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898F650C-B7FF-481A-A578-1846D797382E}" xr6:coauthVersionLast="47" xr6:coauthVersionMax="47" xr10:uidLastSave="{00000000-0000-0000-0000-000000000000}"/>
  <bookViews>
    <workbookView xWindow="-120" yWindow="-120" windowWidth="20730" windowHeight="11160" xr2:uid="{00000000-000D-0000-FFFF-FFFF00000000}"/>
  </bookViews>
  <sheets>
    <sheet name="GESTIÓN" sheetId="26" r:id="rId1"/>
    <sheet name="INVERSIÓN" sheetId="6" r:id="rId2"/>
    <sheet name="ACTIVIDADES" sheetId="7" r:id="rId3"/>
    <sheet name="TERRITORIALIZACION" sheetId="29" r:id="rId4"/>
    <sheet name="SPI " sheetId="20" r:id="rId5"/>
  </sheets>
  <definedNames>
    <definedName name="_xlnm._FilterDatabase" localSheetId="2" hidden="1">ACTIVIDADES!$A$8:$X$8</definedName>
    <definedName name="_xlnm._FilterDatabase" localSheetId="1" hidden="1">INVERSIÓN!$A$9:$FB$61</definedName>
    <definedName name="_xlnm.Print_Area" localSheetId="2">ACTIVIDADES!$A$1:$V$60</definedName>
    <definedName name="_xlnm.Print_Area" localSheetId="1">INVERSIÓN!$A$1:$FA$62</definedName>
    <definedName name="ce" localSheetId="0">#REF!</definedName>
    <definedName name="ce">INVERSIÓN!$BX$37</definedName>
    <definedName name="CONDICION_POBLACIONAL">#REF!</definedName>
    <definedName name="GRUPO_ETAREO">#REF!</definedName>
    <definedName name="GRUPO_ETAREOS" localSheetId="0">#REF!</definedName>
    <definedName name="GRUPO_ETAREOS" localSheetId="4">#REF!</definedName>
    <definedName name="GRUPO_ETAREOS">#REF!</definedName>
    <definedName name="GRUPO_ETARIO" localSheetId="0">#REF!</definedName>
    <definedName name="GRUPO_ETARIO" localSheetId="4">#REF!</definedName>
    <definedName name="GRUPO_ETARIO">#REF!</definedName>
    <definedName name="GRUPO_ETNICO" localSheetId="0">#REF!</definedName>
    <definedName name="GRUPO_ETNICO" localSheetId="4">#REF!</definedName>
    <definedName name="GRUPO_ETNICO">#REF!</definedName>
    <definedName name="GRUPOETNICO" localSheetId="0">#REF!</definedName>
    <definedName name="GRUPOETNICO" localSheetId="4">#REF!</definedName>
    <definedName name="GRUPOETNICO">#REF!</definedName>
    <definedName name="GRUPOS_ETNICOS">#REF!</definedName>
    <definedName name="LOCALIDAD" localSheetId="0">#REF!</definedName>
    <definedName name="LOCALIDAD" localSheetId="4">#REF!</definedName>
    <definedName name="LOCALIDAD">#REF!</definedName>
    <definedName name="LOCALIZACION" localSheetId="0">#REF!</definedName>
    <definedName name="LOCALIZACION" localSheetId="4">#REF!</definedName>
    <definedName name="LOCALIZACION">#REF!</definedName>
  </definedNames>
  <calcPr calcId="181029"/>
</workbook>
</file>

<file path=xl/calcChain.xml><?xml version="1.0" encoding="utf-8"?>
<calcChain xmlns="http://schemas.openxmlformats.org/spreadsheetml/2006/main">
  <c r="G28" i="6" l="1"/>
  <c r="G25" i="6"/>
  <c r="G18" i="6"/>
  <c r="G14" i="6"/>
  <c r="G11" i="6"/>
  <c r="ES16" i="6"/>
  <c r="ES10" i="6"/>
  <c r="ER58" i="6"/>
  <c r="ER23" i="6"/>
  <c r="ER16" i="6"/>
  <c r="ER10" i="6"/>
  <c r="EV53" i="6"/>
  <c r="EV57" i="6"/>
  <c r="EV56" i="6"/>
  <c r="EV52" i="6"/>
  <c r="EV58" i="6"/>
  <c r="EU58" i="6"/>
  <c r="EU50" i="6"/>
  <c r="EU28" i="6"/>
  <c r="EU23" i="6"/>
  <c r="EU16" i="6"/>
  <c r="EU10" i="6"/>
  <c r="ET58" i="6"/>
  <c r="ET44" i="6"/>
  <c r="ET37" i="6"/>
  <c r="ET30" i="6"/>
  <c r="ET23" i="6"/>
  <c r="ET16" i="6"/>
  <c r="ET10" i="6"/>
  <c r="ES37" i="6"/>
  <c r="ES51" i="6"/>
  <c r="ES58" i="6"/>
  <c r="ES23" i="6"/>
  <c r="ER11" i="6"/>
  <c r="EW15" i="26"/>
  <c r="EX15" i="26"/>
  <c r="EX16" i="26"/>
  <c r="EW16" i="26"/>
  <c r="EV16" i="26"/>
  <c r="EP15" i="26"/>
  <c r="EP16" i="26"/>
  <c r="EV15" i="26"/>
  <c r="EU15" i="26"/>
  <c r="ET15" i="26"/>
  <c r="EX14" i="26"/>
  <c r="EW14" i="26"/>
  <c r="EV14" i="26"/>
  <c r="EU14" i="26"/>
  <c r="ET14" i="26"/>
  <c r="EX13" i="26"/>
  <c r="EW13" i="26"/>
  <c r="EV13" i="26"/>
  <c r="EU13" i="26"/>
  <c r="ET13" i="26"/>
  <c r="EX12" i="26"/>
  <c r="EW12" i="26"/>
  <c r="EV12" i="26"/>
  <c r="EU12" i="26"/>
  <c r="ET12" i="26"/>
  <c r="EU16" i="26"/>
  <c r="ET16" i="26" l="1"/>
  <c r="EQ45" i="6" l="1"/>
  <c r="EQ16" i="26" l="1"/>
  <c r="EQ15" i="26"/>
  <c r="ES16" i="26"/>
  <c r="ES15" i="26"/>
  <c r="ER12" i="26"/>
  <c r="EP49" i="6"/>
  <c r="EO21" i="6"/>
  <c r="DW26" i="6" l="1"/>
  <c r="DW12" i="6"/>
  <c r="DW25" i="6"/>
  <c r="DW11" i="6"/>
  <c r="G1592" i="20" l="1"/>
  <c r="G1591" i="20"/>
  <c r="G1588" i="20"/>
  <c r="DX58" i="6" l="1"/>
  <c r="DX57" i="6"/>
  <c r="DX51" i="6"/>
  <c r="DX50" i="6"/>
  <c r="DX44" i="6"/>
  <c r="DX43" i="6"/>
  <c r="DX37" i="6"/>
  <c r="DX36" i="6"/>
  <c r="DX30" i="6"/>
  <c r="DX29" i="6"/>
  <c r="ER29" i="6" s="1"/>
  <c r="DW22" i="6"/>
  <c r="DX23" i="6"/>
  <c r="DX22" i="6"/>
  <c r="DX16" i="6"/>
  <c r="DX15" i="6"/>
  <c r="H1594" i="20"/>
  <c r="K905" i="20"/>
  <c r="H1593" i="20"/>
  <c r="K904" i="20"/>
  <c r="H1592" i="20"/>
  <c r="K903" i="20"/>
  <c r="H1591" i="20"/>
  <c r="K902" i="20"/>
  <c r="H1590" i="20"/>
  <c r="K901" i="20"/>
  <c r="H1589" i="20"/>
  <c r="K900" i="20"/>
  <c r="H1588" i="20"/>
  <c r="K899" i="20"/>
  <c r="I560" i="20"/>
  <c r="I559" i="20"/>
  <c r="I558" i="20"/>
  <c r="I557" i="20"/>
  <c r="I556" i="20"/>
  <c r="I555" i="20"/>
  <c r="I554" i="20"/>
  <c r="I553" i="20"/>
  <c r="I552" i="20"/>
  <c r="I551" i="20"/>
  <c r="EQ14" i="26"/>
  <c r="EP14" i="26"/>
  <c r="EP13" i="26"/>
  <c r="ER53" i="6"/>
  <c r="ER54" i="6"/>
  <c r="ER55" i="6"/>
  <c r="ER56" i="6"/>
  <c r="ER52" i="6"/>
  <c r="ER46" i="6"/>
  <c r="ER47" i="6"/>
  <c r="ER48" i="6"/>
  <c r="ER49" i="6"/>
  <c r="ER39" i="6"/>
  <c r="ER40" i="6"/>
  <c r="ER41" i="6"/>
  <c r="ER42" i="6"/>
  <c r="ER38" i="6"/>
  <c r="ER12" i="6"/>
  <c r="ER13" i="6"/>
  <c r="ER14" i="6"/>
  <c r="ER18" i="6"/>
  <c r="ER19" i="6"/>
  <c r="ER20" i="6"/>
  <c r="ER21" i="6"/>
  <c r="ER17" i="6"/>
  <c r="ER25" i="6"/>
  <c r="ER26" i="6"/>
  <c r="ER27" i="6"/>
  <c r="ER28" i="6"/>
  <c r="ER24" i="6"/>
  <c r="ER32" i="6"/>
  <c r="ER33" i="6"/>
  <c r="ER34" i="6"/>
  <c r="ER35" i="6"/>
  <c r="ER31" i="6"/>
  <c r="EO54" i="6"/>
  <c r="EO55" i="6"/>
  <c r="EO56" i="6"/>
  <c r="EO53" i="6"/>
  <c r="EO48" i="6"/>
  <c r="EO49" i="6"/>
  <c r="EO46" i="6"/>
  <c r="EO47" i="6"/>
  <c r="EO45" i="6"/>
  <c r="EO42" i="6"/>
  <c r="EO40" i="6"/>
  <c r="EO41" i="6"/>
  <c r="EO39" i="6"/>
  <c r="EO35" i="6"/>
  <c r="EO34" i="6"/>
  <c r="EO33" i="6"/>
  <c r="EO32" i="6"/>
  <c r="EO31" i="6"/>
  <c r="EO28" i="6"/>
  <c r="EO27" i="6"/>
  <c r="EO25" i="6"/>
  <c r="EO26" i="6"/>
  <c r="EO24" i="6"/>
  <c r="EO20" i="6"/>
  <c r="EO18" i="6"/>
  <c r="EO19" i="6"/>
  <c r="EO17" i="6"/>
  <c r="EO14" i="6"/>
  <c r="EO13" i="6"/>
  <c r="EO12" i="6"/>
  <c r="EO11" i="6"/>
  <c r="EN56" i="6"/>
  <c r="EN55" i="6"/>
  <c r="EN54" i="6"/>
  <c r="EN53" i="6"/>
  <c r="EN49" i="6"/>
  <c r="EN48" i="6"/>
  <c r="EN46" i="6"/>
  <c r="EN47" i="6"/>
  <c r="EN42" i="6"/>
  <c r="EN41" i="6"/>
  <c r="EN40" i="6"/>
  <c r="EN39" i="6"/>
  <c r="EN35" i="6"/>
  <c r="EN34" i="6"/>
  <c r="EN32" i="6"/>
  <c r="EN33" i="6"/>
  <c r="EN31" i="6"/>
  <c r="EN28" i="6"/>
  <c r="EN27" i="6"/>
  <c r="EN25" i="6"/>
  <c r="EN26" i="6"/>
  <c r="EN24" i="6"/>
  <c r="EN21" i="6"/>
  <c r="EN20" i="6"/>
  <c r="EN17" i="6"/>
  <c r="EN14" i="6"/>
  <c r="EN13" i="6"/>
  <c r="DU45" i="6" l="1"/>
  <c r="EP17" i="6" l="1"/>
  <c r="H900" i="20" l="1"/>
  <c r="E1589" i="20"/>
  <c r="DY45" i="6"/>
  <c r="DW45" i="6"/>
  <c r="ER45" i="6" s="1"/>
  <c r="L898" i="20" l="1"/>
  <c r="H1587" i="20" s="1"/>
  <c r="L897" i="20"/>
  <c r="H1586" i="20" s="1"/>
  <c r="L896" i="20"/>
  <c r="H1585" i="20" s="1"/>
  <c r="L895" i="20"/>
  <c r="H1584" i="20" s="1"/>
  <c r="L894" i="20"/>
  <c r="H1583" i="20" s="1"/>
  <c r="L893" i="20"/>
  <c r="H1582" i="20" s="1"/>
  <c r="L892" i="20"/>
  <c r="H1581" i="20" s="1"/>
  <c r="DU19" i="6" l="1"/>
  <c r="EN19" i="6" s="1"/>
  <c r="DU12" i="6"/>
  <c r="DU18" i="6"/>
  <c r="DU11" i="6"/>
  <c r="DX12" i="26"/>
  <c r="ES12" i="26" s="1"/>
  <c r="G1585" i="20" l="1"/>
  <c r="G1584" i="20"/>
  <c r="G1581" i="20"/>
  <c r="K898" i="20"/>
  <c r="K897" i="20"/>
  <c r="K896" i="20"/>
  <c r="K895" i="20"/>
  <c r="K894" i="20"/>
  <c r="K893" i="20"/>
  <c r="K892" i="20"/>
  <c r="I550" i="20"/>
  <c r="I549" i="20"/>
  <c r="I548" i="20"/>
  <c r="I547" i="20"/>
  <c r="I546" i="20"/>
  <c r="I545" i="20"/>
  <c r="I544" i="20"/>
  <c r="I543" i="20"/>
  <c r="I542" i="20"/>
  <c r="I541" i="20"/>
  <c r="DV58" i="6"/>
  <c r="DV57" i="6"/>
  <c r="DV51" i="6"/>
  <c r="DV50" i="6"/>
  <c r="DV44" i="6"/>
  <c r="DV43" i="6"/>
  <c r="DV37" i="6"/>
  <c r="DV36" i="6"/>
  <c r="DV30" i="6"/>
  <c r="DV29" i="6"/>
  <c r="DV23" i="6"/>
  <c r="DV22" i="6"/>
  <c r="DV16" i="6"/>
  <c r="DV15" i="6"/>
  <c r="EP24" i="6" l="1"/>
  <c r="EP10" i="6"/>
  <c r="EO57" i="6"/>
  <c r="EO52" i="6"/>
  <c r="EO43" i="6"/>
  <c r="EO38" i="6"/>
  <c r="EO15" i="6"/>
  <c r="EO10" i="6"/>
  <c r="EN38" i="6"/>
  <c r="EN43" i="6" s="1"/>
  <c r="EN52" i="6"/>
  <c r="EP52" i="6" s="1"/>
  <c r="EN10" i="6"/>
  <c r="EN15" i="6" s="1"/>
  <c r="ES14" i="26"/>
  <c r="ES13" i="26"/>
  <c r="EQ13" i="26"/>
  <c r="EQ12" i="26"/>
  <c r="H905" i="20" l="1"/>
  <c r="E1594" i="20"/>
  <c r="H901" i="20"/>
  <c r="E1590" i="20"/>
  <c r="H892" i="20"/>
  <c r="H899" i="20"/>
  <c r="ES35" i="6"/>
  <c r="E1587" i="20"/>
  <c r="G1587" i="20" s="1"/>
  <c r="H898" i="20"/>
  <c r="EO23" i="6"/>
  <c r="H893" i="20"/>
  <c r="E1582" i="20"/>
  <c r="H894" i="20"/>
  <c r="E1583" i="20"/>
  <c r="EO16" i="6"/>
  <c r="EQ10" i="6"/>
  <c r="EN57" i="6"/>
  <c r="EQ47" i="6" l="1"/>
  <c r="EM19" i="6"/>
  <c r="EQ56" i="6" l="1"/>
  <c r="EQ49" i="6"/>
  <c r="EQ42" i="6"/>
  <c r="EQ35" i="6"/>
  <c r="EQ28" i="6"/>
  <c r="EQ21" i="6"/>
  <c r="EQ14" i="6"/>
  <c r="DT22" i="6"/>
  <c r="EQ31" i="6"/>
  <c r="EQ24" i="6"/>
  <c r="EQ17" i="6"/>
  <c r="EQ54" i="6"/>
  <c r="EQ40" i="6"/>
  <c r="EQ33" i="6"/>
  <c r="EQ26" i="6"/>
  <c r="EQ19" i="6"/>
  <c r="EQ12" i="6"/>
  <c r="EQ53" i="6"/>
  <c r="EO51" i="6"/>
  <c r="EQ46" i="6"/>
  <c r="EQ39" i="6"/>
  <c r="EQ32" i="6"/>
  <c r="EQ25" i="6"/>
  <c r="EQ18" i="6"/>
  <c r="EQ11" i="6"/>
  <c r="DS12" i="6"/>
  <c r="EN12" i="6" s="1"/>
  <c r="F1590" i="20" l="1"/>
  <c r="G1590" i="20" s="1"/>
  <c r="F1589" i="20"/>
  <c r="G1589" i="20" s="1"/>
  <c r="F1593" i="20"/>
  <c r="F1250" i="20"/>
  <c r="F1249" i="20"/>
  <c r="F1248" i="20"/>
  <c r="F1247" i="20"/>
  <c r="F1246" i="20"/>
  <c r="F1245" i="20"/>
  <c r="F1244" i="20"/>
  <c r="F1582" i="20"/>
  <c r="G1582" i="20" s="1"/>
  <c r="F1243" i="20"/>
  <c r="EQ51" i="6"/>
  <c r="F1242" i="20"/>
  <c r="F1241" i="20"/>
  <c r="F1240" i="20"/>
  <c r="F1239" i="20"/>
  <c r="F1238" i="20"/>
  <c r="F1237" i="20"/>
  <c r="EM12" i="6"/>
  <c r="DT58" i="6"/>
  <c r="DT57" i="6"/>
  <c r="DT51" i="6"/>
  <c r="DT50" i="6"/>
  <c r="DT43" i="6"/>
  <c r="DT44" i="6"/>
  <c r="DT37" i="6"/>
  <c r="DT36" i="6"/>
  <c r="DT30" i="6"/>
  <c r="DT29" i="6"/>
  <c r="DT16" i="6"/>
  <c r="DT15" i="6"/>
  <c r="DS22" i="6"/>
  <c r="DT23" i="6"/>
  <c r="EM20" i="6"/>
  <c r="I540" i="20" l="1"/>
  <c r="I539" i="20"/>
  <c r="I538" i="20"/>
  <c r="I537" i="20"/>
  <c r="I536" i="20"/>
  <c r="I535" i="20"/>
  <c r="I534" i="20"/>
  <c r="I533" i="20"/>
  <c r="I532" i="20"/>
  <c r="I531" i="20"/>
  <c r="DS18" i="6"/>
  <c r="EN18" i="6" s="1"/>
  <c r="DS11" i="6"/>
  <c r="EN11" i="6" s="1"/>
  <c r="EM11" i="6" l="1"/>
  <c r="EN16" i="6"/>
  <c r="EP11" i="6"/>
  <c r="DS23" i="6"/>
  <c r="EN23" i="6"/>
  <c r="G1578" i="20"/>
  <c r="G1577" i="20"/>
  <c r="G1574" i="20"/>
  <c r="K885" i="20"/>
  <c r="K891" i="20"/>
  <c r="K890" i="20"/>
  <c r="K889" i="20"/>
  <c r="K888" i="20"/>
  <c r="K887" i="20"/>
  <c r="K886" i="20"/>
  <c r="E1237" i="20" l="1"/>
  <c r="E1244" i="20"/>
  <c r="DS30" i="6"/>
  <c r="DS29" i="6"/>
  <c r="DS15" i="6"/>
  <c r="DS16" i="6"/>
  <c r="EQ41" i="6" l="1"/>
  <c r="EQ34" i="6"/>
  <c r="EQ27" i="6"/>
  <c r="EQ13" i="6"/>
  <c r="EQ57" i="6"/>
  <c r="EQ52" i="6"/>
  <c r="EQ38" i="6"/>
  <c r="EM25" i="6"/>
  <c r="EM18" i="6"/>
  <c r="EM17" i="6"/>
  <c r="EM31" i="6"/>
  <c r="EM35" i="6"/>
  <c r="EM34" i="6"/>
  <c r="EM33" i="6"/>
  <c r="EM32" i="6"/>
  <c r="EM28" i="6"/>
  <c r="EM27" i="6"/>
  <c r="EM26" i="6"/>
  <c r="EM24" i="6"/>
  <c r="ER13" i="26"/>
  <c r="F1594" i="20" l="1"/>
  <c r="G1594" i="20" s="1"/>
  <c r="F1583" i="20"/>
  <c r="G1583" i="20" s="1"/>
  <c r="EQ15" i="6"/>
  <c r="EQ44" i="6"/>
  <c r="EQ30" i="6"/>
  <c r="EQ16" i="6"/>
  <c r="EN59" i="6"/>
  <c r="EQ43" i="6"/>
  <c r="EQ23" i="6"/>
  <c r="EQ37" i="6"/>
  <c r="S13" i="7" l="1"/>
  <c r="DJ48" i="6"/>
  <c r="DQ45" i="6"/>
  <c r="DY12" i="26"/>
  <c r="DS12" i="26"/>
  <c r="EP12" i="26" l="1"/>
  <c r="EN45" i="6"/>
  <c r="ES45" i="6" s="1"/>
  <c r="DQ50" i="6"/>
  <c r="EP53" i="6"/>
  <c r="EM45" i="6"/>
  <c r="EP45" i="6"/>
  <c r="DR36" i="6"/>
  <c r="DR29" i="6"/>
  <c r="DR22" i="6"/>
  <c r="E1243" i="20" l="1"/>
  <c r="E1250" i="20"/>
  <c r="H904" i="20"/>
  <c r="E1593" i="20"/>
  <c r="G1593" i="20" s="1"/>
  <c r="E1586" i="20"/>
  <c r="G1586" i="20" s="1"/>
  <c r="H897" i="20"/>
  <c r="H890" i="20"/>
  <c r="G1579" i="20"/>
  <c r="EO12" i="26"/>
  <c r="DR60" i="6" l="1"/>
  <c r="DR59" i="6"/>
  <c r="DR58" i="6"/>
  <c r="DR57" i="6"/>
  <c r="DR51" i="6"/>
  <c r="DR50" i="6"/>
  <c r="DR44" i="6"/>
  <c r="DR43" i="6"/>
  <c r="DR37" i="6"/>
  <c r="DR30" i="6"/>
  <c r="DR23" i="6"/>
  <c r="DR15" i="6"/>
  <c r="DR16" i="6"/>
  <c r="G1573" i="20"/>
  <c r="G1571" i="20"/>
  <c r="G1570" i="20"/>
  <c r="G1567" i="20"/>
  <c r="K884" i="20"/>
  <c r="K883" i="20"/>
  <c r="K882" i="20"/>
  <c r="K881" i="20"/>
  <c r="K880" i="20"/>
  <c r="K879" i="20"/>
  <c r="K878" i="20"/>
  <c r="EN58" i="6"/>
  <c r="ES52" i="6"/>
  <c r="ES17" i="6"/>
  <c r="ES11" i="6"/>
  <c r="CH12" i="6"/>
  <c r="G1566" i="20"/>
  <c r="G1565" i="20"/>
  <c r="G1564" i="20"/>
  <c r="G1563" i="20"/>
  <c r="G1562" i="20"/>
  <c r="G1561" i="20"/>
  <c r="G1560" i="20"/>
  <c r="EP42" i="6"/>
  <c r="EP35" i="6"/>
  <c r="EP28" i="6"/>
  <c r="EP21" i="6"/>
  <c r="EP14" i="6"/>
  <c r="ET14" i="6" s="1"/>
  <c r="EP54" i="6"/>
  <c r="EP47" i="6"/>
  <c r="EP40" i="6"/>
  <c r="EP33" i="6"/>
  <c r="EP26" i="6"/>
  <c r="EP19" i="6"/>
  <c r="ET19" i="6" s="1"/>
  <c r="EP12" i="6"/>
  <c r="H885" i="20"/>
  <c r="EM38" i="6"/>
  <c r="EM10" i="6"/>
  <c r="EM52" i="6"/>
  <c r="EO13" i="26"/>
  <c r="DM45" i="6"/>
  <c r="F1555" i="20" s="1"/>
  <c r="EN44" i="6"/>
  <c r="EM56" i="6"/>
  <c r="EM54" i="6"/>
  <c r="EM53" i="6"/>
  <c r="EM49" i="6"/>
  <c r="EM47" i="6"/>
  <c r="EM46" i="6"/>
  <c r="EM42" i="6"/>
  <c r="EM40" i="6"/>
  <c r="EM39" i="6"/>
  <c r="EM21" i="6"/>
  <c r="EM14" i="6"/>
  <c r="DO59" i="6"/>
  <c r="DN25" i="6"/>
  <c r="DN56" i="6"/>
  <c r="DN54" i="6"/>
  <c r="DN53" i="6"/>
  <c r="DN49" i="6"/>
  <c r="DN47" i="6"/>
  <c r="DN46" i="6"/>
  <c r="DN42" i="6"/>
  <c r="DN40" i="6"/>
  <c r="DN39" i="6"/>
  <c r="DN35" i="6"/>
  <c r="DN33" i="6"/>
  <c r="DN32" i="6"/>
  <c r="DN28" i="6"/>
  <c r="DN26" i="6"/>
  <c r="DN21" i="6"/>
  <c r="DN19" i="6"/>
  <c r="DN18" i="6"/>
  <c r="DN14" i="6"/>
  <c r="DN12" i="6"/>
  <c r="DN11" i="6"/>
  <c r="EM13" i="6"/>
  <c r="EK60" i="6"/>
  <c r="EK59" i="6"/>
  <c r="EI60" i="6"/>
  <c r="EI59" i="6"/>
  <c r="EG60" i="6"/>
  <c r="EG59" i="6"/>
  <c r="EE60" i="6"/>
  <c r="EE59" i="6"/>
  <c r="EC60" i="6"/>
  <c r="EC59" i="6"/>
  <c r="EA60" i="6"/>
  <c r="EA59" i="6"/>
  <c r="DW60" i="6"/>
  <c r="DW59" i="6"/>
  <c r="DY60" i="6"/>
  <c r="DY59" i="6"/>
  <c r="DX60" i="6"/>
  <c r="DX59" i="6"/>
  <c r="DV60" i="6"/>
  <c r="DV59" i="6"/>
  <c r="DU60" i="6"/>
  <c r="DU59" i="6"/>
  <c r="DT60" i="6"/>
  <c r="DT59" i="6"/>
  <c r="DS60" i="6"/>
  <c r="DS59" i="6"/>
  <c r="DQ60" i="6"/>
  <c r="DQ59" i="6"/>
  <c r="DP60" i="6"/>
  <c r="DP59" i="6"/>
  <c r="DO60" i="6"/>
  <c r="DY23" i="6"/>
  <c r="DY22" i="6"/>
  <c r="DW23" i="6"/>
  <c r="ER22" i="6"/>
  <c r="DU23" i="6"/>
  <c r="DU22" i="6"/>
  <c r="DQ23" i="6"/>
  <c r="DQ22" i="6"/>
  <c r="DO23" i="6"/>
  <c r="DO22" i="6"/>
  <c r="DY16" i="6"/>
  <c r="DY15" i="6"/>
  <c r="DW16" i="6"/>
  <c r="DW15" i="6"/>
  <c r="ER15" i="6" s="1"/>
  <c r="DU16" i="6"/>
  <c r="DU15" i="6"/>
  <c r="DN22" i="6"/>
  <c r="DP23" i="6"/>
  <c r="DP22" i="6"/>
  <c r="EO22" i="6" s="1"/>
  <c r="EO16" i="26"/>
  <c r="ER16" i="26" s="1"/>
  <c r="EO15" i="26"/>
  <c r="S9" i="7"/>
  <c r="DP13" i="26"/>
  <c r="DY58" i="6"/>
  <c r="DY57" i="6"/>
  <c r="DW58" i="6"/>
  <c r="DW57" i="6"/>
  <c r="ER57" i="6" s="1"/>
  <c r="DU58" i="6"/>
  <c r="DU57" i="6"/>
  <c r="DS58" i="6"/>
  <c r="DS57" i="6"/>
  <c r="DQ58" i="6"/>
  <c r="DQ57" i="6"/>
  <c r="DY51" i="6"/>
  <c r="DY50" i="6"/>
  <c r="DW51" i="6"/>
  <c r="ER51" i="6" s="1"/>
  <c r="DW50" i="6"/>
  <c r="ER50" i="6" s="1"/>
  <c r="DU51" i="6"/>
  <c r="DU50" i="6"/>
  <c r="DS51" i="6"/>
  <c r="DS50" i="6"/>
  <c r="DQ51" i="6"/>
  <c r="DY44" i="6"/>
  <c r="DY43" i="6"/>
  <c r="DW44" i="6"/>
  <c r="ER44" i="6" s="1"/>
  <c r="DW43" i="6"/>
  <c r="ER43" i="6" s="1"/>
  <c r="DU44" i="6"/>
  <c r="DU43" i="6"/>
  <c r="DS44" i="6"/>
  <c r="DS43" i="6"/>
  <c r="DQ44" i="6"/>
  <c r="DQ43" i="6"/>
  <c r="DY37" i="6"/>
  <c r="DY36" i="6"/>
  <c r="DW37" i="6"/>
  <c r="ER37" i="6" s="1"/>
  <c r="DW36" i="6"/>
  <c r="ER36" i="6" s="1"/>
  <c r="DU37" i="6"/>
  <c r="DU36" i="6"/>
  <c r="DS37" i="6"/>
  <c r="DS36" i="6"/>
  <c r="DQ37" i="6"/>
  <c r="DQ36" i="6"/>
  <c r="DY30" i="6"/>
  <c r="DY29" i="6"/>
  <c r="DW30" i="6"/>
  <c r="ER30" i="6" s="1"/>
  <c r="DW29" i="6"/>
  <c r="DU30" i="6"/>
  <c r="DU29" i="6"/>
  <c r="DQ30" i="6"/>
  <c r="DQ29" i="6"/>
  <c r="DQ16" i="6"/>
  <c r="DQ15" i="6"/>
  <c r="DP58" i="6"/>
  <c r="DP57" i="6"/>
  <c r="DO58" i="6"/>
  <c r="DO57" i="6"/>
  <c r="DP51" i="6"/>
  <c r="DP50" i="6"/>
  <c r="EO50" i="6" s="1"/>
  <c r="DO51" i="6"/>
  <c r="DO50" i="6"/>
  <c r="DP37" i="6"/>
  <c r="DP36" i="6"/>
  <c r="EO36" i="6" s="1"/>
  <c r="DO37" i="6"/>
  <c r="DO36" i="6"/>
  <c r="DP44" i="6"/>
  <c r="DP43" i="6"/>
  <c r="DO44" i="6"/>
  <c r="DO43" i="6"/>
  <c r="DP30" i="6"/>
  <c r="DP29" i="6"/>
  <c r="EO29" i="6" s="1"/>
  <c r="DO30" i="6"/>
  <c r="DO29" i="6"/>
  <c r="DP16" i="6"/>
  <c r="DP15" i="6"/>
  <c r="DO16" i="6"/>
  <c r="DO15" i="6"/>
  <c r="DZ60" i="6"/>
  <c r="EB60" i="6"/>
  <c r="ED60" i="6"/>
  <c r="EF60" i="6"/>
  <c r="EH60" i="6"/>
  <c r="EJ60" i="6"/>
  <c r="EL60" i="6"/>
  <c r="DZ59" i="6"/>
  <c r="EB59" i="6"/>
  <c r="ED59" i="6"/>
  <c r="EF59" i="6"/>
  <c r="EH59" i="6"/>
  <c r="EJ59" i="6"/>
  <c r="EL59" i="6"/>
  <c r="EO14" i="26"/>
  <c r="DO15" i="26"/>
  <c r="DN15" i="26"/>
  <c r="DM15" i="26"/>
  <c r="DM12" i="26"/>
  <c r="DG35" i="6"/>
  <c r="DG36" i="6"/>
  <c r="DO16" i="26"/>
  <c r="DP12" i="26"/>
  <c r="DI12" i="26"/>
  <c r="DG45" i="6"/>
  <c r="DE54" i="6"/>
  <c r="DG28" i="6"/>
  <c r="DG21" i="6"/>
  <c r="DG14" i="6"/>
  <c r="DG47" i="6"/>
  <c r="DG40" i="6"/>
  <c r="DG33" i="6"/>
  <c r="DG32" i="6"/>
  <c r="DG26" i="6"/>
  <c r="DG19" i="6"/>
  <c r="DG12" i="6"/>
  <c r="DG46" i="6"/>
  <c r="DG39" i="6"/>
  <c r="DG25" i="6"/>
  <c r="DG30" i="6" s="1"/>
  <c r="DG18" i="6"/>
  <c r="DG11" i="6"/>
  <c r="G1556" i="20"/>
  <c r="G1554" i="20"/>
  <c r="G1553" i="20"/>
  <c r="G1550" i="20"/>
  <c r="L867" i="20"/>
  <c r="H1556" i="20" s="1"/>
  <c r="L866" i="20"/>
  <c r="H1555" i="20" s="1"/>
  <c r="L865" i="20"/>
  <c r="H1554" i="20" s="1"/>
  <c r="L864" i="20"/>
  <c r="H1553" i="20" s="1"/>
  <c r="L863" i="20"/>
  <c r="H1552" i="20" s="1"/>
  <c r="L862" i="20"/>
  <c r="H1551" i="20" s="1"/>
  <c r="L861" i="20"/>
  <c r="H1550" i="20" s="1"/>
  <c r="H507" i="20"/>
  <c r="H506" i="20"/>
  <c r="H505" i="20"/>
  <c r="H504" i="20"/>
  <c r="H503" i="20"/>
  <c r="H502" i="20"/>
  <c r="H501" i="20"/>
  <c r="H500" i="20"/>
  <c r="H499" i="20"/>
  <c r="H498" i="20"/>
  <c r="H497" i="20"/>
  <c r="DL16" i="26"/>
  <c r="DL15" i="26"/>
  <c r="DL14" i="26"/>
  <c r="DL13" i="26"/>
  <c r="DK10" i="6"/>
  <c r="DJ56" i="6"/>
  <c r="DJ55" i="6"/>
  <c r="DJ52" i="6"/>
  <c r="DJ49" i="6"/>
  <c r="DJ41" i="6"/>
  <c r="DJ38" i="6"/>
  <c r="DJ34" i="6"/>
  <c r="DJ31" i="6"/>
  <c r="DJ27" i="6"/>
  <c r="DJ24" i="6"/>
  <c r="DJ20" i="6"/>
  <c r="DJ17" i="6"/>
  <c r="DJ13" i="6"/>
  <c r="DJ10" i="6"/>
  <c r="DK52" i="6"/>
  <c r="DK45" i="6"/>
  <c r="DK38" i="6"/>
  <c r="DK31" i="6"/>
  <c r="DK26" i="6"/>
  <c r="DK24" i="6"/>
  <c r="DK17" i="6"/>
  <c r="DK11" i="6"/>
  <c r="DM16" i="26"/>
  <c r="DM14" i="26"/>
  <c r="DM13" i="26"/>
  <c r="DE33" i="6"/>
  <c r="DE26" i="6"/>
  <c r="DE19" i="6"/>
  <c r="DE12" i="6"/>
  <c r="H492" i="20"/>
  <c r="H493" i="20"/>
  <c r="H494" i="20"/>
  <c r="H495" i="20"/>
  <c r="H496" i="20"/>
  <c r="DE53" i="6"/>
  <c r="DE58" i="6" s="1"/>
  <c r="DE32" i="6"/>
  <c r="DE37" i="6" s="1"/>
  <c r="DE25" i="6"/>
  <c r="DE30" i="6" s="1"/>
  <c r="DE18" i="6"/>
  <c r="DE23" i="6" s="1"/>
  <c r="DE11" i="6"/>
  <c r="DF50" i="6"/>
  <c r="G1549" i="20"/>
  <c r="G1547" i="20"/>
  <c r="G1546" i="20"/>
  <c r="G1543" i="20"/>
  <c r="H491" i="20"/>
  <c r="H490" i="20"/>
  <c r="H489" i="20"/>
  <c r="H488" i="20"/>
  <c r="H487" i="20"/>
  <c r="H486" i="20"/>
  <c r="H485" i="20"/>
  <c r="DF57" i="6"/>
  <c r="DF43" i="6"/>
  <c r="DF36" i="6"/>
  <c r="DF29" i="6"/>
  <c r="DF22" i="6"/>
  <c r="DF15" i="6"/>
  <c r="DK39" i="6"/>
  <c r="I14" i="26"/>
  <c r="DN16" i="26"/>
  <c r="DK16" i="26"/>
  <c r="CK16" i="26"/>
  <c r="CJ16" i="26"/>
  <c r="CI16" i="26"/>
  <c r="CH16" i="26"/>
  <c r="CG16" i="26"/>
  <c r="BG16" i="26"/>
  <c r="BF16" i="26"/>
  <c r="BE16" i="26"/>
  <c r="BC16" i="26"/>
  <c r="DK15" i="26"/>
  <c r="CK15" i="26"/>
  <c r="CJ15" i="26"/>
  <c r="CI15" i="26"/>
  <c r="CH15" i="26"/>
  <c r="CG15" i="26"/>
  <c r="BG15" i="26"/>
  <c r="BF15" i="26"/>
  <c r="BE15" i="26"/>
  <c r="BC15" i="26"/>
  <c r="DO14" i="26"/>
  <c r="DN14" i="26"/>
  <c r="DK14" i="26"/>
  <c r="CK14" i="26"/>
  <c r="CJ14" i="26"/>
  <c r="CI14" i="26"/>
  <c r="CH14" i="26"/>
  <c r="CG14" i="26"/>
  <c r="BG14" i="26"/>
  <c r="BF14" i="26"/>
  <c r="BE14" i="26"/>
  <c r="BD14" i="26"/>
  <c r="BC14" i="26"/>
  <c r="DO13" i="26"/>
  <c r="DN13" i="26"/>
  <c r="DK13" i="26"/>
  <c r="CK13" i="26"/>
  <c r="CJ13" i="26"/>
  <c r="CI13" i="26"/>
  <c r="CH13" i="26"/>
  <c r="CG13" i="26"/>
  <c r="BG13" i="26"/>
  <c r="BF13" i="26"/>
  <c r="BE13" i="26"/>
  <c r="BD13" i="26"/>
  <c r="BC13" i="26"/>
  <c r="W13" i="26"/>
  <c r="DO12" i="26"/>
  <c r="DG12" i="26"/>
  <c r="DE12" i="26"/>
  <c r="DC12" i="26"/>
  <c r="DA12" i="26"/>
  <c r="CY12" i="26"/>
  <c r="CW12" i="26"/>
  <c r="CU12" i="26"/>
  <c r="CS12" i="26"/>
  <c r="CK12" i="26"/>
  <c r="CI12" i="26"/>
  <c r="CE12" i="26"/>
  <c r="BI12" i="26"/>
  <c r="BH12" i="26"/>
  <c r="BG12" i="26"/>
  <c r="BF12" i="26"/>
  <c r="BE12" i="26"/>
  <c r="BD12" i="26"/>
  <c r="BC12" i="26"/>
  <c r="W12" i="26"/>
  <c r="DD58" i="6"/>
  <c r="DD59" i="6"/>
  <c r="DK20" i="6"/>
  <c r="DM20" i="6" s="1"/>
  <c r="DD35" i="6"/>
  <c r="DK35" i="6" s="1"/>
  <c r="DM35" i="6" s="1"/>
  <c r="DD28" i="6"/>
  <c r="DK28" i="6" s="1"/>
  <c r="DD21" i="6"/>
  <c r="DK21" i="6" s="1"/>
  <c r="DM21" i="6" s="1"/>
  <c r="DD14" i="6"/>
  <c r="DC42" i="6"/>
  <c r="CZ60" i="6" s="1"/>
  <c r="DC35" i="6"/>
  <c r="DC28" i="6"/>
  <c r="DC21" i="6"/>
  <c r="DC14" i="6"/>
  <c r="DD36" i="6"/>
  <c r="H474" i="20"/>
  <c r="DC54" i="6"/>
  <c r="DC53" i="6"/>
  <c r="DC47" i="6"/>
  <c r="DC46" i="6"/>
  <c r="DC51" i="6" s="1"/>
  <c r="DC40" i="6"/>
  <c r="DC39" i="6"/>
  <c r="DC33" i="6"/>
  <c r="DC32" i="6"/>
  <c r="DC26" i="6"/>
  <c r="DC25" i="6"/>
  <c r="DC19" i="6"/>
  <c r="DC18" i="6"/>
  <c r="DC12" i="6"/>
  <c r="DC11" i="6"/>
  <c r="DC16" i="6" s="1"/>
  <c r="G1542" i="20"/>
  <c r="G1540" i="20"/>
  <c r="G1539" i="20"/>
  <c r="G1536" i="20"/>
  <c r="H484" i="20"/>
  <c r="H483" i="20"/>
  <c r="H482" i="20"/>
  <c r="H480" i="20"/>
  <c r="H479" i="20"/>
  <c r="H478" i="20"/>
  <c r="H477" i="20"/>
  <c r="H476" i="20"/>
  <c r="H475" i="20"/>
  <c r="DM17" i="6"/>
  <c r="F1551" i="20" s="1"/>
  <c r="DM12" i="6"/>
  <c r="DM11" i="6"/>
  <c r="F1206" i="20" s="1"/>
  <c r="DM10" i="6"/>
  <c r="DK56" i="6"/>
  <c r="DK55" i="6"/>
  <c r="DK54" i="6"/>
  <c r="DK53" i="6"/>
  <c r="DK49" i="6"/>
  <c r="DM49" i="6" s="1"/>
  <c r="DK48" i="6"/>
  <c r="DK47" i="6"/>
  <c r="DK46" i="6"/>
  <c r="DK42" i="6"/>
  <c r="DK41" i="6"/>
  <c r="DK40" i="6"/>
  <c r="DK34" i="6"/>
  <c r="DK33" i="6"/>
  <c r="DK32" i="6"/>
  <c r="DK27" i="6"/>
  <c r="DK25" i="6"/>
  <c r="DK19" i="6"/>
  <c r="DK18" i="6"/>
  <c r="DK13" i="6"/>
  <c r="DK12" i="6"/>
  <c r="H389" i="20"/>
  <c r="DB58" i="6"/>
  <c r="DB59" i="6"/>
  <c r="DB60" i="6"/>
  <c r="DB51" i="6"/>
  <c r="DB44" i="6"/>
  <c r="DB30" i="6"/>
  <c r="DB23" i="6"/>
  <c r="DB16" i="6"/>
  <c r="DA21" i="6"/>
  <c r="DA14" i="6"/>
  <c r="DA54" i="6"/>
  <c r="DA53" i="6"/>
  <c r="DA58" i="6" s="1"/>
  <c r="DA47" i="6"/>
  <c r="DA46" i="6"/>
  <c r="DA51" i="6" s="1"/>
  <c r="DA33" i="6"/>
  <c r="DA32" i="6"/>
  <c r="DA26" i="6"/>
  <c r="DA25" i="6"/>
  <c r="DA30" i="6" s="1"/>
  <c r="DA19" i="6"/>
  <c r="DA18" i="6"/>
  <c r="DA12" i="6"/>
  <c r="DA11" i="6"/>
  <c r="H473" i="20"/>
  <c r="H472" i="20"/>
  <c r="H471" i="20"/>
  <c r="H469" i="20"/>
  <c r="H468" i="20"/>
  <c r="H467" i="20"/>
  <c r="H466" i="20"/>
  <c r="H465" i="20"/>
  <c r="H464" i="20"/>
  <c r="H463" i="20"/>
  <c r="DB57" i="6"/>
  <c r="DB50" i="6"/>
  <c r="DB43" i="6"/>
  <c r="DB36" i="6"/>
  <c r="DB29" i="6"/>
  <c r="DB22" i="6"/>
  <c r="DB15" i="6"/>
  <c r="G1535" i="20"/>
  <c r="G1533" i="20"/>
  <c r="G1532" i="20"/>
  <c r="G1529" i="20"/>
  <c r="DM18" i="6"/>
  <c r="F1186" i="20" s="1"/>
  <c r="DL17" i="6"/>
  <c r="E1551" i="20" s="1"/>
  <c r="DL13" i="6"/>
  <c r="I826" i="20" s="1"/>
  <c r="K826" i="20" s="1"/>
  <c r="G1544" i="20"/>
  <c r="G1537" i="20"/>
  <c r="G1513" i="20"/>
  <c r="CY54" i="6"/>
  <c r="CY47" i="6"/>
  <c r="CY26" i="6"/>
  <c r="CY19" i="6"/>
  <c r="H457" i="20"/>
  <c r="H458" i="20"/>
  <c r="H459" i="20"/>
  <c r="H460" i="20"/>
  <c r="H461" i="20"/>
  <c r="CZ30" i="6"/>
  <c r="CZ16" i="6"/>
  <c r="CZ15" i="6"/>
  <c r="CZ59" i="6"/>
  <c r="CZ58" i="6"/>
  <c r="CZ57" i="6"/>
  <c r="CZ51" i="6"/>
  <c r="CZ50" i="6"/>
  <c r="CZ43" i="6"/>
  <c r="CZ37" i="6"/>
  <c r="CZ36" i="6"/>
  <c r="CZ29" i="6"/>
  <c r="CZ23" i="6"/>
  <c r="CZ22" i="6"/>
  <c r="CY15" i="6"/>
  <c r="DA45" i="6"/>
  <c r="DC45" i="6"/>
  <c r="DC50" i="6" s="1"/>
  <c r="DE45" i="6"/>
  <c r="DE50" i="6" s="1"/>
  <c r="CY45" i="6"/>
  <c r="CY53" i="6"/>
  <c r="CY46" i="6"/>
  <c r="CY51" i="6" s="1"/>
  <c r="CY25" i="6"/>
  <c r="CY30" i="6" s="1"/>
  <c r="CY18" i="6"/>
  <c r="CY23" i="6" s="1"/>
  <c r="H462" i="20"/>
  <c r="H456" i="20"/>
  <c r="H455" i="20"/>
  <c r="H454" i="20"/>
  <c r="H453" i="20"/>
  <c r="H452" i="20"/>
  <c r="K565" i="20"/>
  <c r="K566" i="20"/>
  <c r="K567" i="20"/>
  <c r="K568" i="20"/>
  <c r="K569" i="20"/>
  <c r="CO11" i="6"/>
  <c r="CO16" i="6" s="1"/>
  <c r="CU11" i="6"/>
  <c r="CU16" i="6" s="1"/>
  <c r="CW11" i="6"/>
  <c r="DM13" i="6"/>
  <c r="CW14" i="6"/>
  <c r="CW60" i="6" s="1"/>
  <c r="DL10" i="6"/>
  <c r="CO18" i="6"/>
  <c r="CU18" i="6"/>
  <c r="CU23" i="6" s="1"/>
  <c r="CW18" i="6"/>
  <c r="DL20" i="6"/>
  <c r="I827" i="20" s="1"/>
  <c r="K827" i="20" s="1"/>
  <c r="CS21" i="6"/>
  <c r="DM24" i="6"/>
  <c r="F1552" i="20" s="1"/>
  <c r="DL24" i="6"/>
  <c r="E1517" i="20" s="1"/>
  <c r="DM25" i="6"/>
  <c r="F1208" i="20" s="1"/>
  <c r="CW25" i="6"/>
  <c r="DM27" i="6"/>
  <c r="J863" i="20" s="1"/>
  <c r="DL27" i="6"/>
  <c r="I828" i="20" s="1"/>
  <c r="K828" i="20" s="1"/>
  <c r="CS28" i="6"/>
  <c r="CS30" i="6" s="1"/>
  <c r="DM31" i="6"/>
  <c r="DM36" i="6" s="1"/>
  <c r="DL31" i="6"/>
  <c r="DM32" i="6"/>
  <c r="F1174" i="20" s="1"/>
  <c r="CW32" i="6"/>
  <c r="DL34" i="6"/>
  <c r="I857" i="20" s="1"/>
  <c r="CQ35" i="6"/>
  <c r="DM38" i="6"/>
  <c r="DL38" i="6"/>
  <c r="DM39" i="6"/>
  <c r="F1210" i="20" s="1"/>
  <c r="DM41" i="6"/>
  <c r="J858" i="20" s="1"/>
  <c r="DL41" i="6"/>
  <c r="I823" i="20" s="1"/>
  <c r="K823" i="20" s="1"/>
  <c r="CS42" i="6"/>
  <c r="CW45" i="6"/>
  <c r="DM46" i="6"/>
  <c r="F1211" i="20" s="1"/>
  <c r="CW46" i="6"/>
  <c r="DM48" i="6"/>
  <c r="DL48" i="6"/>
  <c r="I824" i="20" s="1"/>
  <c r="K824" i="20" s="1"/>
  <c r="DL49" i="6"/>
  <c r="DM52" i="6"/>
  <c r="DL52" i="6"/>
  <c r="DM53" i="6"/>
  <c r="F1212" i="20" s="1"/>
  <c r="DM55" i="6"/>
  <c r="J867" i="20" s="1"/>
  <c r="DL55" i="6"/>
  <c r="I867" i="20" s="1"/>
  <c r="DL56" i="6"/>
  <c r="CW47" i="6"/>
  <c r="CW33" i="6"/>
  <c r="CW26" i="6"/>
  <c r="CW19" i="6"/>
  <c r="CW12" i="6"/>
  <c r="DI20" i="6"/>
  <c r="CX22" i="6"/>
  <c r="H451" i="20"/>
  <c r="H450" i="20"/>
  <c r="H449" i="20"/>
  <c r="H448" i="20"/>
  <c r="H447" i="20"/>
  <c r="H446" i="20"/>
  <c r="H445" i="20"/>
  <c r="H444" i="20"/>
  <c r="H443" i="20"/>
  <c r="CX59" i="6"/>
  <c r="G1521" i="20"/>
  <c r="G1519" i="20"/>
  <c r="G1518" i="20"/>
  <c r="G1515" i="20"/>
  <c r="L832" i="20"/>
  <c r="H1521" i="20" s="1"/>
  <c r="L831" i="20"/>
  <c r="H1520" i="20" s="1"/>
  <c r="L830" i="20"/>
  <c r="H1519" i="20" s="1"/>
  <c r="L829" i="20"/>
  <c r="H1518" i="20" s="1"/>
  <c r="L828" i="20"/>
  <c r="H1517" i="20" s="1"/>
  <c r="L827" i="20"/>
  <c r="H1516" i="20" s="1"/>
  <c r="L826" i="20"/>
  <c r="H1515" i="20" s="1"/>
  <c r="L825" i="20"/>
  <c r="H1514" i="20" s="1"/>
  <c r="L824" i="20"/>
  <c r="H1513" i="20" s="1"/>
  <c r="L823" i="20"/>
  <c r="H1512" i="20" s="1"/>
  <c r="L822" i="20"/>
  <c r="H1511" i="20" s="1"/>
  <c r="L821" i="20"/>
  <c r="H1510" i="20" s="1"/>
  <c r="L820" i="20"/>
  <c r="H1509" i="20" s="1"/>
  <c r="L819" i="20"/>
  <c r="H1508" i="20" s="1"/>
  <c r="CX60" i="6"/>
  <c r="CX58" i="6"/>
  <c r="CX57" i="6"/>
  <c r="CX43" i="6"/>
  <c r="CX44" i="6"/>
  <c r="CX37" i="6"/>
  <c r="CX36" i="6"/>
  <c r="CX30" i="6"/>
  <c r="CX23" i="6"/>
  <c r="CX16" i="6"/>
  <c r="CX15" i="6"/>
  <c r="CX50" i="6"/>
  <c r="CX29" i="6"/>
  <c r="H410" i="20"/>
  <c r="H409" i="20"/>
  <c r="CU12" i="6"/>
  <c r="CU19" i="6"/>
  <c r="H434" i="20"/>
  <c r="H435" i="20"/>
  <c r="H436" i="20"/>
  <c r="H437" i="20"/>
  <c r="H438" i="20"/>
  <c r="H439" i="20"/>
  <c r="H440" i="20"/>
  <c r="H441" i="20"/>
  <c r="H442" i="20"/>
  <c r="CV60" i="6"/>
  <c r="CV59" i="6"/>
  <c r="G1514" i="20"/>
  <c r="G1512" i="20"/>
  <c r="G1511" i="20"/>
  <c r="G1510" i="20"/>
  <c r="G1509" i="20"/>
  <c r="G1508" i="20"/>
  <c r="G1507" i="20"/>
  <c r="G1505" i="20"/>
  <c r="G1504" i="20"/>
  <c r="G1502" i="20"/>
  <c r="G1501" i="20"/>
  <c r="G1500" i="20"/>
  <c r="G1498" i="20"/>
  <c r="G1497" i="20"/>
  <c r="G1494" i="20"/>
  <c r="G1493" i="20"/>
  <c r="G1491" i="20"/>
  <c r="G1490" i="20"/>
  <c r="G1487" i="20"/>
  <c r="G1486" i="20"/>
  <c r="G1484" i="20"/>
  <c r="G1483" i="20"/>
  <c r="G1480" i="20"/>
  <c r="G1479" i="20"/>
  <c r="G1478" i="20"/>
  <c r="G1477" i="20"/>
  <c r="G1476" i="20"/>
  <c r="G1475" i="20"/>
  <c r="G1474" i="20"/>
  <c r="G1473" i="20"/>
  <c r="G1469" i="20"/>
  <c r="G1468" i="20"/>
  <c r="G1467" i="20"/>
  <c r="G1466" i="20"/>
  <c r="G1465" i="20"/>
  <c r="G1464" i="20"/>
  <c r="G1463" i="20"/>
  <c r="G1462" i="20"/>
  <c r="G1461" i="20"/>
  <c r="G1460" i="20"/>
  <c r="G1459" i="20"/>
  <c r="G1458" i="20"/>
  <c r="G1457" i="20"/>
  <c r="G1456" i="20"/>
  <c r="G1455" i="20"/>
  <c r="G1454" i="20"/>
  <c r="G1453" i="20"/>
  <c r="G1452" i="20"/>
  <c r="G1451" i="20"/>
  <c r="G1450" i="20"/>
  <c r="G1449" i="20"/>
  <c r="G1448" i="20"/>
  <c r="G1447" i="20"/>
  <c r="G1446" i="20"/>
  <c r="G1445" i="20"/>
  <c r="G1444" i="20"/>
  <c r="G1443" i="20"/>
  <c r="G1442" i="20"/>
  <c r="G1441" i="20"/>
  <c r="G1440" i="20"/>
  <c r="G1439" i="20"/>
  <c r="G1438" i="20"/>
  <c r="G1437" i="20"/>
  <c r="G1436" i="20"/>
  <c r="G1435" i="20"/>
  <c r="G1434" i="20"/>
  <c r="G1433" i="20"/>
  <c r="G1432" i="20"/>
  <c r="G1431" i="20"/>
  <c r="G1430" i="20"/>
  <c r="G1429" i="20"/>
  <c r="G1428" i="20"/>
  <c r="G1427" i="20"/>
  <c r="G1426" i="20"/>
  <c r="G1425" i="20"/>
  <c r="G1424" i="20"/>
  <c r="G1423" i="20"/>
  <c r="G1422" i="20"/>
  <c r="G1421" i="20"/>
  <c r="G1420" i="20"/>
  <c r="G1419" i="20"/>
  <c r="G1418" i="20"/>
  <c r="G1417" i="20"/>
  <c r="G1416" i="20"/>
  <c r="G1415" i="20"/>
  <c r="G1414" i="20"/>
  <c r="G1413" i="20"/>
  <c r="G1412" i="20"/>
  <c r="G1411" i="20"/>
  <c r="G1410" i="20"/>
  <c r="G1409" i="20"/>
  <c r="G1408" i="20"/>
  <c r="G1407" i="20"/>
  <c r="G1406" i="20"/>
  <c r="G1405" i="20"/>
  <c r="G1404" i="20"/>
  <c r="G1403" i="20"/>
  <c r="G1402" i="20"/>
  <c r="G1401" i="20"/>
  <c r="G1400" i="20"/>
  <c r="G1399" i="20"/>
  <c r="G1398" i="20"/>
  <c r="G1397" i="20"/>
  <c r="G1396" i="20"/>
  <c r="G1395" i="20"/>
  <c r="G1394" i="20"/>
  <c r="G1393" i="20"/>
  <c r="G1392" i="20"/>
  <c r="G1391" i="20"/>
  <c r="G1390" i="20"/>
  <c r="G1389" i="20"/>
  <c r="G1388" i="20"/>
  <c r="G1387" i="20"/>
  <c r="G1386" i="20"/>
  <c r="G1382" i="20"/>
  <c r="G1381" i="20"/>
  <c r="G1380" i="20"/>
  <c r="G1379" i="20"/>
  <c r="G1378" i="20"/>
  <c r="G1377" i="20"/>
  <c r="G1376" i="20"/>
  <c r="G1375" i="20"/>
  <c r="G1374" i="20"/>
  <c r="G1373" i="20"/>
  <c r="G1372" i="20"/>
  <c r="G1371" i="20"/>
  <c r="G1370" i="20"/>
  <c r="G1369" i="20"/>
  <c r="G1368" i="20"/>
  <c r="G1367" i="20"/>
  <c r="G1366" i="20"/>
  <c r="G1365" i="20"/>
  <c r="G1364" i="20"/>
  <c r="G1363" i="20"/>
  <c r="G1362" i="20"/>
  <c r="G1361" i="20"/>
  <c r="G1360" i="20"/>
  <c r="G1359" i="20"/>
  <c r="G1358" i="20"/>
  <c r="G1357" i="20"/>
  <c r="G1356" i="20"/>
  <c r="G1355" i="20"/>
  <c r="G1354" i="20"/>
  <c r="G1353" i="20"/>
  <c r="G1352" i="20"/>
  <c r="G1351" i="20"/>
  <c r="G1350" i="20"/>
  <c r="G1349" i="20"/>
  <c r="G1348" i="20"/>
  <c r="G1347" i="20"/>
  <c r="G1346" i="20"/>
  <c r="G1345" i="20"/>
  <c r="G1344" i="20"/>
  <c r="G1343" i="20"/>
  <c r="G1342" i="20"/>
  <c r="G1341" i="20"/>
  <c r="G1340" i="20"/>
  <c r="G1339" i="20"/>
  <c r="G1338" i="20"/>
  <c r="G1337" i="20"/>
  <c r="G1336" i="20"/>
  <c r="G1335" i="20"/>
  <c r="G1334" i="20"/>
  <c r="G1333" i="20"/>
  <c r="G1332" i="20"/>
  <c r="G1331" i="20"/>
  <c r="G1330" i="20"/>
  <c r="G1329" i="20"/>
  <c r="G1328" i="20"/>
  <c r="G1327" i="20"/>
  <c r="G1326" i="20"/>
  <c r="G1325" i="20"/>
  <c r="G1324" i="20"/>
  <c r="G1323" i="20"/>
  <c r="G1322" i="20"/>
  <c r="G1321" i="20"/>
  <c r="G1320" i="20"/>
  <c r="G1319" i="20"/>
  <c r="G1318" i="20"/>
  <c r="G1317" i="20"/>
  <c r="G1316" i="20"/>
  <c r="G1315" i="20"/>
  <c r="G1314" i="20"/>
  <c r="G1313" i="20"/>
  <c r="G1312" i="20"/>
  <c r="G1311" i="20"/>
  <c r="G1310" i="20"/>
  <c r="G1309" i="20"/>
  <c r="G1308" i="20"/>
  <c r="G1307" i="20"/>
  <c r="G1306" i="20"/>
  <c r="G1305" i="20"/>
  <c r="G1304" i="20"/>
  <c r="G1303" i="20"/>
  <c r="G1302" i="20"/>
  <c r="G1301" i="20"/>
  <c r="G1300" i="20"/>
  <c r="G1299" i="20"/>
  <c r="G1295" i="20"/>
  <c r="G1294" i="20"/>
  <c r="G1293" i="20"/>
  <c r="G1292" i="20"/>
  <c r="G1291" i="20"/>
  <c r="G1290" i="20"/>
  <c r="G1289" i="20"/>
  <c r="H1288" i="20"/>
  <c r="G1288" i="20"/>
  <c r="H1287" i="20"/>
  <c r="G1287" i="20"/>
  <c r="H1286" i="20"/>
  <c r="G1286" i="20"/>
  <c r="H1285" i="20"/>
  <c r="G1285" i="20"/>
  <c r="H1284" i="20"/>
  <c r="G1284" i="20"/>
  <c r="H1283" i="20"/>
  <c r="G1283" i="20"/>
  <c r="H1282" i="20"/>
  <c r="G1282" i="20"/>
  <c r="H1281" i="20"/>
  <c r="G1281" i="20"/>
  <c r="H1280" i="20"/>
  <c r="G1280" i="20"/>
  <c r="H1279" i="20"/>
  <c r="G1279" i="20"/>
  <c r="H1278" i="20"/>
  <c r="G1278" i="20"/>
  <c r="H1277" i="20"/>
  <c r="G1277" i="20"/>
  <c r="H1276" i="20"/>
  <c r="G1276" i="20"/>
  <c r="H1275" i="20"/>
  <c r="G1275" i="20"/>
  <c r="H1274" i="20"/>
  <c r="G1274" i="20"/>
  <c r="H1273" i="20"/>
  <c r="G1273" i="20"/>
  <c r="H1272" i="20"/>
  <c r="G1272" i="20"/>
  <c r="H1271" i="20"/>
  <c r="G1271" i="20"/>
  <c r="H1270" i="20"/>
  <c r="G1270" i="20"/>
  <c r="H1269" i="20"/>
  <c r="G1269" i="20"/>
  <c r="H1268" i="20"/>
  <c r="G1268" i="20"/>
  <c r="H1267" i="20"/>
  <c r="G1267" i="20"/>
  <c r="H1266" i="20"/>
  <c r="G1266" i="20"/>
  <c r="H1265" i="20"/>
  <c r="G1265" i="20"/>
  <c r="H1264" i="20"/>
  <c r="G1264" i="20"/>
  <c r="H1263" i="20"/>
  <c r="G1263" i="20"/>
  <c r="H1262" i="20"/>
  <c r="G1262" i="20"/>
  <c r="H1261" i="20"/>
  <c r="G1261" i="20"/>
  <c r="H1260" i="20"/>
  <c r="G1260" i="20"/>
  <c r="H1259" i="20"/>
  <c r="G1259" i="20"/>
  <c r="H1258" i="20"/>
  <c r="G1258" i="20"/>
  <c r="H1257" i="20"/>
  <c r="G1257" i="20"/>
  <c r="H1256" i="20"/>
  <c r="G1256" i="20"/>
  <c r="H1255" i="20"/>
  <c r="G1255" i="20"/>
  <c r="H1254" i="20"/>
  <c r="G1254" i="20"/>
  <c r="K818" i="20"/>
  <c r="K817" i="20"/>
  <c r="K816" i="20"/>
  <c r="K815" i="20"/>
  <c r="K814" i="20"/>
  <c r="K813" i="20"/>
  <c r="K812" i="20"/>
  <c r="K811" i="20"/>
  <c r="K810" i="20"/>
  <c r="K809" i="20"/>
  <c r="K808" i="20"/>
  <c r="K807" i="20"/>
  <c r="K806" i="20"/>
  <c r="K805" i="20"/>
  <c r="K804" i="20"/>
  <c r="K803" i="20"/>
  <c r="K802" i="20"/>
  <c r="K801" i="20"/>
  <c r="K800" i="20"/>
  <c r="K799" i="20"/>
  <c r="K798" i="20"/>
  <c r="K797" i="20"/>
  <c r="K796" i="20"/>
  <c r="K795" i="20"/>
  <c r="K794" i="20"/>
  <c r="K793" i="20"/>
  <c r="K792" i="20"/>
  <c r="K791" i="20"/>
  <c r="K790" i="20"/>
  <c r="K789" i="20"/>
  <c r="K788" i="20"/>
  <c r="K787" i="20"/>
  <c r="K786" i="20"/>
  <c r="K785" i="20"/>
  <c r="K784" i="20"/>
  <c r="K780" i="20"/>
  <c r="K779" i="20"/>
  <c r="K778" i="20"/>
  <c r="K777" i="20"/>
  <c r="K776" i="20"/>
  <c r="K775" i="20"/>
  <c r="K774" i="20"/>
  <c r="K773" i="20"/>
  <c r="K772" i="20"/>
  <c r="K771" i="20"/>
  <c r="K770" i="20"/>
  <c r="K769" i="20"/>
  <c r="K768" i="20"/>
  <c r="K767" i="20"/>
  <c r="K766" i="20"/>
  <c r="K765" i="20"/>
  <c r="K764" i="20"/>
  <c r="K763" i="20"/>
  <c r="K762" i="20"/>
  <c r="K761" i="20"/>
  <c r="K760" i="20"/>
  <c r="K759" i="20"/>
  <c r="K758" i="20"/>
  <c r="K757" i="20"/>
  <c r="K756" i="20"/>
  <c r="K755" i="20"/>
  <c r="K754" i="20"/>
  <c r="K753" i="20"/>
  <c r="K752" i="20"/>
  <c r="K751" i="20"/>
  <c r="K750" i="20"/>
  <c r="K749" i="20"/>
  <c r="K748" i="20"/>
  <c r="K747" i="20"/>
  <c r="K746" i="20"/>
  <c r="K745" i="20"/>
  <c r="K744" i="20"/>
  <c r="K743" i="20"/>
  <c r="K742" i="20"/>
  <c r="K741" i="20"/>
  <c r="K740" i="20"/>
  <c r="K739" i="20"/>
  <c r="K738" i="20"/>
  <c r="K737" i="20"/>
  <c r="K736" i="20"/>
  <c r="K735" i="20"/>
  <c r="K734" i="20"/>
  <c r="K733" i="20"/>
  <c r="K732" i="20"/>
  <c r="K731" i="20"/>
  <c r="K730" i="20"/>
  <c r="K729" i="20"/>
  <c r="K728" i="20"/>
  <c r="K727" i="20"/>
  <c r="K726" i="20"/>
  <c r="K725" i="20"/>
  <c r="K724" i="20"/>
  <c r="K723" i="20"/>
  <c r="K722" i="20"/>
  <c r="K721" i="20"/>
  <c r="K720" i="20"/>
  <c r="K719" i="20"/>
  <c r="K718" i="20"/>
  <c r="K717" i="20"/>
  <c r="K716" i="20"/>
  <c r="K715" i="20"/>
  <c r="K714" i="20"/>
  <c r="K713" i="20"/>
  <c r="K712" i="20"/>
  <c r="K711" i="20"/>
  <c r="K710" i="20"/>
  <c r="K709" i="20"/>
  <c r="K708" i="20"/>
  <c r="K707" i="20"/>
  <c r="K706" i="20"/>
  <c r="K705" i="20"/>
  <c r="K704" i="20"/>
  <c r="K703" i="20"/>
  <c r="K702" i="20"/>
  <c r="K701" i="20"/>
  <c r="K700" i="20"/>
  <c r="K699" i="20"/>
  <c r="K698" i="20"/>
  <c r="K697" i="20"/>
  <c r="K693" i="20"/>
  <c r="K692" i="20"/>
  <c r="K691" i="20"/>
  <c r="K690" i="20"/>
  <c r="K689" i="20"/>
  <c r="K688" i="20"/>
  <c r="K687" i="20"/>
  <c r="K686" i="20"/>
  <c r="K685" i="20"/>
  <c r="K684" i="20"/>
  <c r="K683" i="20"/>
  <c r="K682" i="20"/>
  <c r="K681" i="20"/>
  <c r="K680" i="20"/>
  <c r="K679" i="20"/>
  <c r="K678" i="20"/>
  <c r="K677" i="20"/>
  <c r="K676" i="20"/>
  <c r="K675" i="20"/>
  <c r="K674" i="20"/>
  <c r="K673" i="20"/>
  <c r="K672" i="20"/>
  <c r="K671" i="20"/>
  <c r="K670" i="20"/>
  <c r="K669" i="20"/>
  <c r="K668" i="20"/>
  <c r="K667" i="20"/>
  <c r="K666" i="20"/>
  <c r="K665" i="20"/>
  <c r="K664" i="20"/>
  <c r="K663" i="20"/>
  <c r="K662" i="20"/>
  <c r="K661" i="20"/>
  <c r="K660" i="20"/>
  <c r="K659" i="20"/>
  <c r="K658" i="20"/>
  <c r="K657" i="20"/>
  <c r="K656" i="20"/>
  <c r="K655" i="20"/>
  <c r="K654" i="20"/>
  <c r="K653" i="20"/>
  <c r="K652" i="20"/>
  <c r="K651" i="20"/>
  <c r="K650" i="20"/>
  <c r="K649" i="20"/>
  <c r="K648" i="20"/>
  <c r="K647" i="20"/>
  <c r="K646" i="20"/>
  <c r="K645" i="20"/>
  <c r="K644" i="20"/>
  <c r="K643" i="20"/>
  <c r="K642" i="20"/>
  <c r="K641" i="20"/>
  <c r="K640" i="20"/>
  <c r="K639" i="20"/>
  <c r="K638" i="20"/>
  <c r="K637" i="20"/>
  <c r="K636" i="20"/>
  <c r="K635" i="20"/>
  <c r="K634" i="20"/>
  <c r="K633" i="20"/>
  <c r="K632" i="20"/>
  <c r="K631" i="20"/>
  <c r="K630" i="20"/>
  <c r="K629" i="20"/>
  <c r="K628" i="20"/>
  <c r="K627" i="20"/>
  <c r="K626" i="20"/>
  <c r="K625" i="20"/>
  <c r="K624" i="20"/>
  <c r="K623" i="20"/>
  <c r="K622" i="20"/>
  <c r="K621" i="20"/>
  <c r="K620" i="20"/>
  <c r="K619" i="20"/>
  <c r="K618" i="20"/>
  <c r="K617" i="20"/>
  <c r="K616" i="20"/>
  <c r="K615" i="20"/>
  <c r="K614" i="20"/>
  <c r="K613" i="20"/>
  <c r="K612" i="20"/>
  <c r="K611" i="20"/>
  <c r="K610" i="20"/>
  <c r="K606" i="20"/>
  <c r="K605" i="20"/>
  <c r="K604" i="20"/>
  <c r="K603" i="20"/>
  <c r="K602" i="20"/>
  <c r="K601" i="20"/>
  <c r="K600" i="20"/>
  <c r="K599" i="20"/>
  <c r="K598" i="20"/>
  <c r="K597" i="20"/>
  <c r="K596" i="20"/>
  <c r="K595" i="20"/>
  <c r="K594" i="20"/>
  <c r="K593" i="20"/>
  <c r="K592" i="20"/>
  <c r="K591" i="20"/>
  <c r="K590" i="20"/>
  <c r="K589" i="20"/>
  <c r="K588" i="20"/>
  <c r="K587" i="20"/>
  <c r="K586" i="20"/>
  <c r="K585" i="20"/>
  <c r="K584" i="20"/>
  <c r="K583" i="20"/>
  <c r="K582" i="20"/>
  <c r="K581" i="20"/>
  <c r="K580" i="20"/>
  <c r="K579" i="20"/>
  <c r="K578" i="20"/>
  <c r="K577" i="20"/>
  <c r="K576" i="20"/>
  <c r="K575" i="20"/>
  <c r="K574" i="20"/>
  <c r="K573" i="20"/>
  <c r="K572" i="20"/>
  <c r="K571" i="20"/>
  <c r="K570" i="20"/>
  <c r="H433" i="20"/>
  <c r="H432" i="20"/>
  <c r="H431" i="20"/>
  <c r="H430" i="20"/>
  <c r="H429" i="20"/>
  <c r="H428" i="20"/>
  <c r="H427" i="20"/>
  <c r="H426" i="20"/>
  <c r="H425" i="20"/>
  <c r="H424" i="20"/>
  <c r="H423" i="20"/>
  <c r="H422" i="20"/>
  <c r="H421" i="20"/>
  <c r="H420" i="20"/>
  <c r="H419" i="20"/>
  <c r="H418" i="20"/>
  <c r="H417" i="20"/>
  <c r="H416" i="20"/>
  <c r="H415" i="20"/>
  <c r="H414" i="20"/>
  <c r="H413" i="20"/>
  <c r="H412" i="20"/>
  <c r="H411" i="20"/>
  <c r="H408" i="20"/>
  <c r="H407" i="20"/>
  <c r="H406" i="20"/>
  <c r="H405" i="20"/>
  <c r="H404" i="20"/>
  <c r="H403" i="20"/>
  <c r="H402" i="20"/>
  <c r="H401" i="20"/>
  <c r="H400" i="20"/>
  <c r="H399" i="20"/>
  <c r="H398" i="20"/>
  <c r="H397" i="20"/>
  <c r="H396" i="20"/>
  <c r="H395" i="20"/>
  <c r="H394" i="20"/>
  <c r="H393" i="20"/>
  <c r="H392" i="20"/>
  <c r="H391" i="20"/>
  <c r="H390" i="20"/>
  <c r="C375" i="20"/>
  <c r="C336" i="20"/>
  <c r="C318" i="20"/>
  <c r="C305" i="20"/>
  <c r="I301" i="20"/>
  <c r="I300" i="20"/>
  <c r="I299" i="20"/>
  <c r="I298" i="20"/>
  <c r="I297" i="20"/>
  <c r="I296" i="20"/>
  <c r="I295" i="20"/>
  <c r="I294" i="20"/>
  <c r="I293" i="20"/>
  <c r="I292" i="20"/>
  <c r="D292" i="20"/>
  <c r="I291" i="20"/>
  <c r="I290" i="20"/>
  <c r="I289" i="20"/>
  <c r="I288" i="20"/>
  <c r="I287" i="20"/>
  <c r="C277" i="20"/>
  <c r="H68" i="20"/>
  <c r="H67" i="20"/>
  <c r="H66" i="20"/>
  <c r="H65" i="20"/>
  <c r="H63" i="20"/>
  <c r="H62" i="20"/>
  <c r="H61" i="20"/>
  <c r="H60" i="20"/>
  <c r="H59" i="20"/>
  <c r="CV57" i="6"/>
  <c r="CU57" i="6"/>
  <c r="CV50" i="6"/>
  <c r="CU50" i="6"/>
  <c r="CV43" i="6"/>
  <c r="CU43" i="6"/>
  <c r="CV36" i="6"/>
  <c r="CU36" i="6"/>
  <c r="CV29" i="6"/>
  <c r="CU29" i="6"/>
  <c r="CV22" i="6"/>
  <c r="CU22" i="6"/>
  <c r="CV15" i="6"/>
  <c r="CU15" i="6"/>
  <c r="CV58" i="6"/>
  <c r="CU58" i="6"/>
  <c r="CV51" i="6"/>
  <c r="CU51" i="6"/>
  <c r="CV44" i="6"/>
  <c r="CV37" i="6"/>
  <c r="CY37" i="6"/>
  <c r="DA37" i="6"/>
  <c r="DB37" i="6"/>
  <c r="DF37" i="6"/>
  <c r="DH37" i="6"/>
  <c r="CV30" i="6"/>
  <c r="CV23" i="6"/>
  <c r="CV16" i="6"/>
  <c r="S14" i="7"/>
  <c r="CT58" i="6"/>
  <c r="CT57" i="6"/>
  <c r="CT50" i="6"/>
  <c r="CT43" i="6"/>
  <c r="CT36" i="6"/>
  <c r="CT29" i="6"/>
  <c r="CT22" i="6"/>
  <c r="CT60" i="6"/>
  <c r="CT59" i="6"/>
  <c r="CT51" i="6"/>
  <c r="CT44" i="6"/>
  <c r="CT37" i="6"/>
  <c r="CT30" i="6"/>
  <c r="CT16" i="6"/>
  <c r="CT23" i="6"/>
  <c r="G57" i="6"/>
  <c r="G43" i="6"/>
  <c r="G15" i="6"/>
  <c r="CO19" i="6"/>
  <c r="CO12" i="6"/>
  <c r="DI49" i="6"/>
  <c r="DI48" i="6"/>
  <c r="DM47" i="6"/>
  <c r="DI34" i="6"/>
  <c r="DM33" i="6"/>
  <c r="DI31" i="6"/>
  <c r="H857" i="20" s="1"/>
  <c r="DI27" i="6"/>
  <c r="DM26" i="6"/>
  <c r="DI24" i="6"/>
  <c r="H856" i="20" s="1"/>
  <c r="DI56" i="6"/>
  <c r="DI55" i="6"/>
  <c r="DM54" i="6"/>
  <c r="DI52" i="6"/>
  <c r="H846" i="20" s="1"/>
  <c r="DI41" i="6"/>
  <c r="DM40" i="6"/>
  <c r="DI38" i="6"/>
  <c r="H865" i="20" s="1"/>
  <c r="DI10" i="6"/>
  <c r="H861" i="20" s="1"/>
  <c r="S43" i="7"/>
  <c r="CH32" i="6"/>
  <c r="CP60" i="6"/>
  <c r="CP59" i="6"/>
  <c r="CP58" i="6"/>
  <c r="CP57" i="6"/>
  <c r="CP51" i="6"/>
  <c r="CP50" i="6"/>
  <c r="CP44" i="6"/>
  <c r="CP43" i="6"/>
  <c r="CP37" i="6"/>
  <c r="CP36" i="6"/>
  <c r="CP30" i="6"/>
  <c r="CP29" i="6"/>
  <c r="CP23" i="6"/>
  <c r="CP22" i="6"/>
  <c r="CP16" i="6"/>
  <c r="CP15" i="6"/>
  <c r="CM60" i="6"/>
  <c r="CM51" i="6"/>
  <c r="CM50" i="6"/>
  <c r="CN29" i="6"/>
  <c r="DI17" i="6"/>
  <c r="H862" i="20" s="1"/>
  <c r="CL59" i="6"/>
  <c r="CK59" i="6"/>
  <c r="S49" i="7"/>
  <c r="DA22" i="6"/>
  <c r="CW22" i="6"/>
  <c r="CM29" i="6"/>
  <c r="CQ60" i="6"/>
  <c r="CQ59" i="6"/>
  <c r="CM58" i="6"/>
  <c r="CM57" i="6"/>
  <c r="CU44" i="6"/>
  <c r="CY44" i="6"/>
  <c r="CY43" i="6"/>
  <c r="DG43" i="6"/>
  <c r="CY60" i="6"/>
  <c r="CU60" i="6"/>
  <c r="CS59" i="6"/>
  <c r="CS44" i="6"/>
  <c r="CS43" i="6"/>
  <c r="CS29" i="6"/>
  <c r="CQ37" i="6"/>
  <c r="CQ36" i="6"/>
  <c r="CJ60" i="6"/>
  <c r="CM23" i="6"/>
  <c r="DH16" i="6"/>
  <c r="DH15" i="6"/>
  <c r="CM16" i="6"/>
  <c r="CJ29" i="6"/>
  <c r="CK29" i="6"/>
  <c r="CL36" i="6"/>
  <c r="U59" i="7"/>
  <c r="T59" i="7"/>
  <c r="S58" i="7"/>
  <c r="S57" i="7"/>
  <c r="S56" i="7"/>
  <c r="S55" i="7"/>
  <c r="S54" i="7"/>
  <c r="S53" i="7"/>
  <c r="S52" i="7"/>
  <c r="S51" i="7"/>
  <c r="S50" i="7"/>
  <c r="S48" i="7"/>
  <c r="S47" i="7"/>
  <c r="S46" i="7"/>
  <c r="S45" i="7"/>
  <c r="S44"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2" i="7"/>
  <c r="S11" i="7"/>
  <c r="S10" i="7"/>
  <c r="DM19" i="6"/>
  <c r="DI13" i="6"/>
  <c r="DH58" i="6"/>
  <c r="DG58" i="6"/>
  <c r="CY58" i="6"/>
  <c r="CW58" i="6"/>
  <c r="CS58" i="6"/>
  <c r="CR58" i="6"/>
  <c r="CQ58" i="6"/>
  <c r="CO58" i="6"/>
  <c r="CN58" i="6"/>
  <c r="CL58" i="6"/>
  <c r="CK58" i="6"/>
  <c r="CJ58" i="6"/>
  <c r="DH57" i="6"/>
  <c r="DG57" i="6"/>
  <c r="DE57" i="6"/>
  <c r="DC57" i="6"/>
  <c r="DA57" i="6"/>
  <c r="CY57" i="6"/>
  <c r="CW57" i="6"/>
  <c r="CS57" i="6"/>
  <c r="CR57" i="6"/>
  <c r="CQ57" i="6"/>
  <c r="CO57" i="6"/>
  <c r="CN57" i="6"/>
  <c r="CL57" i="6"/>
  <c r="CK57" i="6"/>
  <c r="CJ57" i="6"/>
  <c r="DH51" i="6"/>
  <c r="DG51" i="6"/>
  <c r="DE51" i="6"/>
  <c r="CS51" i="6"/>
  <c r="CR51" i="6"/>
  <c r="CQ51" i="6"/>
  <c r="CO51" i="6"/>
  <c r="CN51" i="6"/>
  <c r="CL51" i="6"/>
  <c r="CK51" i="6"/>
  <c r="CJ51" i="6"/>
  <c r="DH50" i="6"/>
  <c r="CS50" i="6"/>
  <c r="CR50" i="6"/>
  <c r="CQ50" i="6"/>
  <c r="CO50" i="6"/>
  <c r="CN50" i="6"/>
  <c r="CL50" i="6"/>
  <c r="CK50" i="6"/>
  <c r="CJ50" i="6"/>
  <c r="DH44" i="6"/>
  <c r="DE44" i="6"/>
  <c r="DA44" i="6"/>
  <c r="CW44" i="6"/>
  <c r="CR44" i="6"/>
  <c r="CO44" i="6"/>
  <c r="CN44" i="6"/>
  <c r="CM44" i="6"/>
  <c r="CL44" i="6"/>
  <c r="CK44" i="6"/>
  <c r="CJ44" i="6"/>
  <c r="DH43" i="6"/>
  <c r="DE43" i="6"/>
  <c r="DC43" i="6"/>
  <c r="DA43" i="6"/>
  <c r="CW43" i="6"/>
  <c r="CR43" i="6"/>
  <c r="CQ43" i="6"/>
  <c r="CO43" i="6"/>
  <c r="CN43" i="6"/>
  <c r="CM43" i="6"/>
  <c r="CL43" i="6"/>
  <c r="CK43" i="6"/>
  <c r="CJ43" i="6"/>
  <c r="CU37" i="6"/>
  <c r="CS37" i="6"/>
  <c r="CR37" i="6"/>
  <c r="CO37" i="6"/>
  <c r="CN37" i="6"/>
  <c r="CM37" i="6"/>
  <c r="CL37" i="6"/>
  <c r="CK37" i="6"/>
  <c r="CJ37" i="6"/>
  <c r="DH36" i="6"/>
  <c r="DE36" i="6"/>
  <c r="DC36" i="6"/>
  <c r="DA36" i="6"/>
  <c r="CY36" i="6"/>
  <c r="CW36" i="6"/>
  <c r="CS36" i="6"/>
  <c r="CR36" i="6"/>
  <c r="CO36" i="6"/>
  <c r="CN36" i="6"/>
  <c r="CM36" i="6"/>
  <c r="CK36" i="6"/>
  <c r="CJ36" i="6"/>
  <c r="DH30" i="6"/>
  <c r="CU30" i="6"/>
  <c r="CR30" i="6"/>
  <c r="CO30" i="6"/>
  <c r="CN30" i="6"/>
  <c r="CM30" i="6"/>
  <c r="CL30" i="6"/>
  <c r="CK30" i="6"/>
  <c r="CJ30" i="6"/>
  <c r="DH29" i="6"/>
  <c r="DG29" i="6"/>
  <c r="DE29" i="6"/>
  <c r="DC29" i="6"/>
  <c r="DA29" i="6"/>
  <c r="CY29" i="6"/>
  <c r="CW29" i="6"/>
  <c r="CR29" i="6"/>
  <c r="CQ29" i="6"/>
  <c r="CO29" i="6"/>
  <c r="CL29" i="6"/>
  <c r="DH23" i="6"/>
  <c r="CR23" i="6"/>
  <c r="CN23" i="6"/>
  <c r="CL23" i="6"/>
  <c r="CK23" i="6"/>
  <c r="CJ23" i="6"/>
  <c r="DH22" i="6"/>
  <c r="DG22" i="6"/>
  <c r="DE22" i="6"/>
  <c r="DC22" i="6"/>
  <c r="CY22" i="6"/>
  <c r="CS22" i="6"/>
  <c r="CR22" i="6"/>
  <c r="CQ22" i="6"/>
  <c r="CO22" i="6"/>
  <c r="CN22" i="6"/>
  <c r="CM22" i="6"/>
  <c r="CL22" i="6"/>
  <c r="CK22" i="6"/>
  <c r="CJ22" i="6"/>
  <c r="DE16" i="6"/>
  <c r="CY16" i="6"/>
  <c r="CS16" i="6"/>
  <c r="CR16" i="6"/>
  <c r="CQ16" i="6"/>
  <c r="CN16" i="6"/>
  <c r="CL16" i="6"/>
  <c r="CK16" i="6"/>
  <c r="CJ16" i="6"/>
  <c r="DG15" i="6"/>
  <c r="DE15" i="6"/>
  <c r="DC15" i="6"/>
  <c r="DA15" i="6"/>
  <c r="CW15" i="6"/>
  <c r="CS15" i="6"/>
  <c r="CR15" i="6"/>
  <c r="CQ15" i="6"/>
  <c r="CO15" i="6"/>
  <c r="CN15" i="6"/>
  <c r="CM15" i="6"/>
  <c r="CL15" i="6"/>
  <c r="CK15" i="6"/>
  <c r="CJ15" i="6"/>
  <c r="E1516" i="20"/>
  <c r="CC45" i="6"/>
  <c r="CH45" i="6" s="1"/>
  <c r="CG14" i="6"/>
  <c r="CI49" i="6"/>
  <c r="CH49" i="6"/>
  <c r="CG49" i="6"/>
  <c r="CF49" i="6"/>
  <c r="CE49" i="6"/>
  <c r="CI48" i="6"/>
  <c r="CH48" i="6"/>
  <c r="CG48" i="6"/>
  <c r="CF48" i="6"/>
  <c r="CE48" i="6"/>
  <c r="CI47" i="6"/>
  <c r="CH47" i="6"/>
  <c r="CG47" i="6"/>
  <c r="CF47" i="6"/>
  <c r="CE47" i="6"/>
  <c r="CI46" i="6"/>
  <c r="CG46" i="6"/>
  <c r="CI45" i="6"/>
  <c r="CG45" i="6"/>
  <c r="CI35" i="6"/>
  <c r="CG35" i="6"/>
  <c r="CI34" i="6"/>
  <c r="CH34" i="6"/>
  <c r="CG34" i="6"/>
  <c r="CF34" i="6"/>
  <c r="CE34" i="6"/>
  <c r="CI33" i="6"/>
  <c r="CH33" i="6"/>
  <c r="CG33" i="6"/>
  <c r="CF33" i="6"/>
  <c r="CE33" i="6"/>
  <c r="CI32" i="6"/>
  <c r="CI37" i="6" s="1"/>
  <c r="CG32" i="6"/>
  <c r="CF32" i="6"/>
  <c r="CE32" i="6"/>
  <c r="CI31" i="6"/>
  <c r="CH31" i="6"/>
  <c r="CG31" i="6"/>
  <c r="CF31" i="6"/>
  <c r="CE31" i="6"/>
  <c r="CI28" i="6"/>
  <c r="CG28" i="6"/>
  <c r="CI27" i="6"/>
  <c r="CH27" i="6"/>
  <c r="CG27" i="6"/>
  <c r="CF27" i="6"/>
  <c r="CE27" i="6"/>
  <c r="CI26" i="6"/>
  <c r="CH26" i="6"/>
  <c r="CG26" i="6"/>
  <c r="CF26" i="6"/>
  <c r="CE26" i="6"/>
  <c r="CI25" i="6"/>
  <c r="CH25" i="6"/>
  <c r="CG25" i="6"/>
  <c r="CF25" i="6"/>
  <c r="CE25" i="6"/>
  <c r="CI24" i="6"/>
  <c r="CH24" i="6"/>
  <c r="CG24" i="6"/>
  <c r="CF24" i="6"/>
  <c r="CE24" i="6"/>
  <c r="CI21" i="6"/>
  <c r="CI20" i="6"/>
  <c r="CI19" i="6"/>
  <c r="CI18" i="6"/>
  <c r="CI17" i="6"/>
  <c r="CH21" i="6"/>
  <c r="CH20" i="6"/>
  <c r="CH19" i="6"/>
  <c r="CG21" i="6"/>
  <c r="CG20" i="6"/>
  <c r="CG19" i="6"/>
  <c r="CG18" i="6"/>
  <c r="CG17" i="6"/>
  <c r="CF21" i="6"/>
  <c r="CF20" i="6"/>
  <c r="CF19" i="6"/>
  <c r="CG52" i="6"/>
  <c r="CF52" i="6"/>
  <c r="CI56" i="6"/>
  <c r="CH56" i="6"/>
  <c r="CG56" i="6"/>
  <c r="CF56" i="6"/>
  <c r="CE56" i="6"/>
  <c r="CI55" i="6"/>
  <c r="CH55" i="6"/>
  <c r="CG55" i="6"/>
  <c r="CF55" i="6"/>
  <c r="CE55" i="6"/>
  <c r="CI54" i="6"/>
  <c r="CH54" i="6"/>
  <c r="CG54" i="6"/>
  <c r="CF54" i="6"/>
  <c r="CE54" i="6"/>
  <c r="CI53" i="6"/>
  <c r="CH53" i="6"/>
  <c r="CG53" i="6"/>
  <c r="CF53" i="6"/>
  <c r="CE53" i="6"/>
  <c r="CI52" i="6"/>
  <c r="CH52" i="6"/>
  <c r="CE52" i="6"/>
  <c r="CI42" i="6"/>
  <c r="CG42" i="6"/>
  <c r="CI41" i="6"/>
  <c r="CH41" i="6"/>
  <c r="CG41" i="6"/>
  <c r="CF41" i="6"/>
  <c r="CE41" i="6"/>
  <c r="CI40" i="6"/>
  <c r="CH40" i="6"/>
  <c r="CG40" i="6"/>
  <c r="CF40" i="6"/>
  <c r="CE40" i="6"/>
  <c r="CI39" i="6"/>
  <c r="CH39" i="6"/>
  <c r="CG39" i="6"/>
  <c r="CF39" i="6"/>
  <c r="CE39" i="6"/>
  <c r="CI38" i="6"/>
  <c r="CH38" i="6"/>
  <c r="CG38" i="6"/>
  <c r="CF38" i="6"/>
  <c r="CE38" i="6"/>
  <c r="CI11" i="6"/>
  <c r="CG11" i="6"/>
  <c r="CI14" i="6"/>
  <c r="CI12" i="6"/>
  <c r="CI13" i="6"/>
  <c r="CI10" i="6"/>
  <c r="CH13" i="6"/>
  <c r="CH10" i="6"/>
  <c r="CG13" i="6"/>
  <c r="CF13" i="6"/>
  <c r="CG12" i="6"/>
  <c r="CG10" i="6"/>
  <c r="CF12" i="6"/>
  <c r="CF10" i="6"/>
  <c r="CE10" i="6"/>
  <c r="CC29" i="6"/>
  <c r="CA35" i="6"/>
  <c r="CA37" i="6" s="1"/>
  <c r="CB59" i="6"/>
  <c r="CB60" i="6"/>
  <c r="CE21" i="6"/>
  <c r="CE13" i="6"/>
  <c r="BY17" i="6"/>
  <c r="BY22" i="6" s="1"/>
  <c r="BY14" i="6"/>
  <c r="BY11" i="6"/>
  <c r="BY59" i="6" s="1"/>
  <c r="CE12" i="6"/>
  <c r="BW35" i="6"/>
  <c r="BW60" i="6" s="1"/>
  <c r="BW14" i="6"/>
  <c r="BW16" i="6" s="1"/>
  <c r="BW46" i="6"/>
  <c r="BW51" i="6" s="1"/>
  <c r="BV59" i="6"/>
  <c r="BU11" i="6"/>
  <c r="BV60" i="6"/>
  <c r="BU60" i="6"/>
  <c r="BV16" i="6"/>
  <c r="BV15" i="6"/>
  <c r="BS28" i="6"/>
  <c r="BS30" i="6" s="1"/>
  <c r="BS14" i="6"/>
  <c r="BS16" i="6" s="1"/>
  <c r="BQ14" i="6"/>
  <c r="BQ16" i="6" s="1"/>
  <c r="BR60" i="6"/>
  <c r="BP60" i="6"/>
  <c r="BO60" i="6"/>
  <c r="BN60" i="6"/>
  <c r="BM60" i="6"/>
  <c r="BL60" i="6"/>
  <c r="BK60" i="6"/>
  <c r="BJ60" i="6"/>
  <c r="BH60" i="6"/>
  <c r="BG60" i="6"/>
  <c r="BF60" i="6"/>
  <c r="CE20" i="6"/>
  <c r="CE19" i="6"/>
  <c r="BN59" i="6"/>
  <c r="BN58" i="6"/>
  <c r="BN15" i="6"/>
  <c r="BL59" i="6"/>
  <c r="BL58" i="6"/>
  <c r="BK58" i="6"/>
  <c r="BK46" i="6"/>
  <c r="BK51" i="6" s="1"/>
  <c r="BK18" i="6"/>
  <c r="CH18" i="6" s="1"/>
  <c r="BJ59" i="6"/>
  <c r="BI42" i="6"/>
  <c r="CF42" i="6" s="1"/>
  <c r="BI28" i="6"/>
  <c r="BI30" i="6" s="1"/>
  <c r="BI59" i="6"/>
  <c r="BJ58" i="6"/>
  <c r="BJ57" i="6"/>
  <c r="BJ51" i="6"/>
  <c r="BJ50" i="6"/>
  <c r="BJ44" i="6"/>
  <c r="BJ43" i="6"/>
  <c r="BJ37" i="6"/>
  <c r="BJ36" i="6"/>
  <c r="BJ30" i="6"/>
  <c r="BJ29" i="6"/>
  <c r="BJ23" i="6"/>
  <c r="BJ22" i="6"/>
  <c r="BJ16" i="6"/>
  <c r="BJ15" i="6"/>
  <c r="H43" i="6"/>
  <c r="CD30" i="6"/>
  <c r="CC30" i="6"/>
  <c r="CB30" i="6"/>
  <c r="CA30" i="6"/>
  <c r="BZ30" i="6"/>
  <c r="BY30" i="6"/>
  <c r="BX30" i="6"/>
  <c r="BW30" i="6"/>
  <c r="BV30" i="6"/>
  <c r="BU30" i="6"/>
  <c r="BT30" i="6"/>
  <c r="BR30" i="6"/>
  <c r="BQ30" i="6"/>
  <c r="BP30" i="6"/>
  <c r="BO30" i="6"/>
  <c r="BN30" i="6"/>
  <c r="BM30" i="6"/>
  <c r="BL30" i="6"/>
  <c r="BK30" i="6"/>
  <c r="CD29" i="6"/>
  <c r="CB29" i="6"/>
  <c r="CA29" i="6"/>
  <c r="BZ29" i="6"/>
  <c r="BY29" i="6"/>
  <c r="BX29" i="6"/>
  <c r="BW29" i="6"/>
  <c r="BV29" i="6"/>
  <c r="BU29" i="6"/>
  <c r="BT29" i="6"/>
  <c r="BS29" i="6"/>
  <c r="BR29" i="6"/>
  <c r="BQ29" i="6"/>
  <c r="BP29" i="6"/>
  <c r="BO29" i="6"/>
  <c r="BN29" i="6"/>
  <c r="BM29" i="6"/>
  <c r="BL29" i="6"/>
  <c r="BK29" i="6"/>
  <c r="BI29" i="6"/>
  <c r="BH30" i="6"/>
  <c r="BH29" i="6"/>
  <c r="BG30" i="6"/>
  <c r="BG29" i="6"/>
  <c r="BF30" i="6"/>
  <c r="BF29" i="6"/>
  <c r="BH23" i="6"/>
  <c r="CD16" i="6"/>
  <c r="CC16" i="6"/>
  <c r="CB16" i="6"/>
  <c r="CA16" i="6"/>
  <c r="BZ16" i="6"/>
  <c r="BX16" i="6"/>
  <c r="BT16" i="6"/>
  <c r="BR16" i="6"/>
  <c r="BP16" i="6"/>
  <c r="BO16" i="6"/>
  <c r="BN16" i="6"/>
  <c r="BM16" i="6"/>
  <c r="BL16" i="6"/>
  <c r="BK16" i="6"/>
  <c r="CD15" i="6"/>
  <c r="CC15" i="6"/>
  <c r="CB15" i="6"/>
  <c r="CA15" i="6"/>
  <c r="BZ15" i="6"/>
  <c r="BY15" i="6"/>
  <c r="BX15" i="6"/>
  <c r="BW15" i="6"/>
  <c r="BU15" i="6"/>
  <c r="BT15" i="6"/>
  <c r="BS15" i="6"/>
  <c r="BR15" i="6"/>
  <c r="BQ15" i="6"/>
  <c r="BP15" i="6"/>
  <c r="BO15" i="6"/>
  <c r="BM15" i="6"/>
  <c r="BL15" i="6"/>
  <c r="BK15" i="6"/>
  <c r="BI16" i="6"/>
  <c r="BI15" i="6"/>
  <c r="BH16" i="6"/>
  <c r="BG16" i="6"/>
  <c r="CA60" i="6"/>
  <c r="BZ60" i="6"/>
  <c r="BY60" i="6"/>
  <c r="BS60" i="6"/>
  <c r="BI51" i="6"/>
  <c r="BM44" i="6"/>
  <c r="BM43" i="6"/>
  <c r="BL44" i="6"/>
  <c r="BL43" i="6"/>
  <c r="BK44" i="6"/>
  <c r="BK43" i="6"/>
  <c r="BI43" i="6"/>
  <c r="BH44" i="6"/>
  <c r="BG44" i="6"/>
  <c r="CD37" i="6"/>
  <c r="CD36" i="6"/>
  <c r="CC37" i="6"/>
  <c r="CC36" i="6"/>
  <c r="CB37" i="6"/>
  <c r="CB36" i="6"/>
  <c r="BZ37" i="6"/>
  <c r="BZ36" i="6"/>
  <c r="CA36" i="6"/>
  <c r="BY37" i="6"/>
  <c r="BY36" i="6"/>
  <c r="BX37" i="6"/>
  <c r="BX36" i="6"/>
  <c r="BW36" i="6"/>
  <c r="BV37" i="6"/>
  <c r="BV36" i="6"/>
  <c r="BU37" i="6"/>
  <c r="BU36" i="6"/>
  <c r="BT37" i="6"/>
  <c r="BT36" i="6"/>
  <c r="BS37" i="6"/>
  <c r="BS36" i="6"/>
  <c r="BR37" i="6"/>
  <c r="BR36" i="6"/>
  <c r="BQ37" i="6"/>
  <c r="BQ36" i="6"/>
  <c r="BP37" i="6"/>
  <c r="BP36" i="6"/>
  <c r="BO37" i="6"/>
  <c r="BO36" i="6"/>
  <c r="BN37" i="6"/>
  <c r="BN36" i="6"/>
  <c r="BM37" i="6"/>
  <c r="BM36" i="6"/>
  <c r="BL37" i="6"/>
  <c r="BL36" i="6"/>
  <c r="BK37" i="6"/>
  <c r="BK36" i="6"/>
  <c r="BI37" i="6"/>
  <c r="BI36" i="6"/>
  <c r="BH37" i="6"/>
  <c r="BH36" i="6"/>
  <c r="BG37" i="6"/>
  <c r="BG36" i="6"/>
  <c r="BF37" i="6"/>
  <c r="BF36" i="6"/>
  <c r="CD51" i="6"/>
  <c r="CC51" i="6"/>
  <c r="CB51" i="6"/>
  <c r="CA51" i="6"/>
  <c r="BZ51" i="6"/>
  <c r="BY51" i="6"/>
  <c r="BX51" i="6"/>
  <c r="BV51" i="6"/>
  <c r="BU51" i="6"/>
  <c r="BT51" i="6"/>
  <c r="BS51" i="6"/>
  <c r="BR51" i="6"/>
  <c r="BQ51" i="6"/>
  <c r="BP51" i="6"/>
  <c r="BO51" i="6"/>
  <c r="BN51" i="6"/>
  <c r="BM51" i="6"/>
  <c r="BL51" i="6"/>
  <c r="BH51" i="6"/>
  <c r="BG51" i="6"/>
  <c r="CD50" i="6"/>
  <c r="CB50" i="6"/>
  <c r="CA50" i="6"/>
  <c r="BZ50" i="6"/>
  <c r="BY50" i="6"/>
  <c r="BX50" i="6"/>
  <c r="BW50" i="6"/>
  <c r="BV50" i="6"/>
  <c r="BU50" i="6"/>
  <c r="BT50" i="6"/>
  <c r="BS50" i="6"/>
  <c r="BR50" i="6"/>
  <c r="BQ50" i="6"/>
  <c r="BP50" i="6"/>
  <c r="BO50" i="6"/>
  <c r="BN50" i="6"/>
  <c r="BM50" i="6"/>
  <c r="BL50" i="6"/>
  <c r="BK50" i="6"/>
  <c r="BI50" i="6"/>
  <c r="BH50" i="6"/>
  <c r="BG50" i="6"/>
  <c r="CD23" i="6"/>
  <c r="CC23" i="6"/>
  <c r="CB23" i="6"/>
  <c r="CA23" i="6"/>
  <c r="BZ23" i="6"/>
  <c r="BY23" i="6"/>
  <c r="BX23" i="6"/>
  <c r="BW23" i="6"/>
  <c r="BV23" i="6"/>
  <c r="BU23" i="6"/>
  <c r="BT23" i="6"/>
  <c r="BS23" i="6"/>
  <c r="BR23" i="6"/>
  <c r="BQ23" i="6"/>
  <c r="BP23" i="6"/>
  <c r="BO23" i="6"/>
  <c r="BN23" i="6"/>
  <c r="BM23" i="6"/>
  <c r="BL23" i="6"/>
  <c r="BI23" i="6"/>
  <c r="CD22" i="6"/>
  <c r="CC22" i="6"/>
  <c r="CB22" i="6"/>
  <c r="CA22" i="6"/>
  <c r="BZ22" i="6"/>
  <c r="BX22" i="6"/>
  <c r="BW22" i="6"/>
  <c r="BV22" i="6"/>
  <c r="BU22" i="6"/>
  <c r="BT22" i="6"/>
  <c r="BS22" i="6"/>
  <c r="BR22" i="6"/>
  <c r="BQ22" i="6"/>
  <c r="BP22" i="6"/>
  <c r="BO22" i="6"/>
  <c r="BN22" i="6"/>
  <c r="BM22" i="6"/>
  <c r="BL22" i="6"/>
  <c r="BK22" i="6"/>
  <c r="BI22" i="6"/>
  <c r="BH22" i="6"/>
  <c r="BG23" i="6"/>
  <c r="BG22" i="6"/>
  <c r="BF23" i="6"/>
  <c r="BF22" i="6"/>
  <c r="BG15" i="6"/>
  <c r="BH15" i="6"/>
  <c r="BF15" i="6"/>
  <c r="BC45" i="6"/>
  <c r="BC38" i="6"/>
  <c r="BB41" i="6"/>
  <c r="BB40" i="6"/>
  <c r="BB38" i="6"/>
  <c r="BA41" i="6"/>
  <c r="BA40" i="6"/>
  <c r="BA38" i="6"/>
  <c r="BE55" i="6"/>
  <c r="BE52" i="6"/>
  <c r="BD56" i="6"/>
  <c r="BD55" i="6"/>
  <c r="BD54" i="6"/>
  <c r="BD52" i="6"/>
  <c r="BC55" i="6"/>
  <c r="BC52" i="6"/>
  <c r="BB56" i="6"/>
  <c r="BB55" i="6"/>
  <c r="BB54" i="6"/>
  <c r="BB52" i="6"/>
  <c r="BA56" i="6"/>
  <c r="BA55" i="6"/>
  <c r="BA54" i="6"/>
  <c r="BA52" i="6"/>
  <c r="BE45" i="6"/>
  <c r="BC48" i="6"/>
  <c r="BB48" i="6"/>
  <c r="BB47" i="6"/>
  <c r="BB46" i="6"/>
  <c r="BA48" i="6"/>
  <c r="BA47" i="6"/>
  <c r="BA46" i="6"/>
  <c r="BE41" i="6"/>
  <c r="BE38" i="6"/>
  <c r="BD41" i="6"/>
  <c r="BD38" i="6"/>
  <c r="BC41" i="6"/>
  <c r="BD31" i="6"/>
  <c r="BC34" i="6"/>
  <c r="BC31" i="6"/>
  <c r="BB35" i="6"/>
  <c r="BB34" i="6"/>
  <c r="BB33" i="6"/>
  <c r="BB31" i="6"/>
  <c r="BA31" i="6"/>
  <c r="BE24" i="6"/>
  <c r="BD24" i="6"/>
  <c r="BC24" i="6"/>
  <c r="BC27" i="6"/>
  <c r="BB27" i="6"/>
  <c r="BB24" i="6"/>
  <c r="BA24" i="6"/>
  <c r="BE17" i="6"/>
  <c r="BD17" i="6"/>
  <c r="BC20" i="6"/>
  <c r="BC17" i="6"/>
  <c r="BB21" i="6"/>
  <c r="BB20" i="6"/>
  <c r="BB19" i="6"/>
  <c r="BB17" i="6"/>
  <c r="BA21" i="6"/>
  <c r="BA20" i="6"/>
  <c r="BA19" i="6"/>
  <c r="BA17" i="6"/>
  <c r="BE13" i="6"/>
  <c r="BE10" i="6"/>
  <c r="BD13" i="6"/>
  <c r="BD11" i="6"/>
  <c r="BD10" i="6"/>
  <c r="BC13" i="6"/>
  <c r="BC10" i="6"/>
  <c r="BB13" i="6"/>
  <c r="BB11" i="6"/>
  <c r="BB10" i="6"/>
  <c r="BA13" i="6"/>
  <c r="BA11" i="6"/>
  <c r="BA10" i="6"/>
  <c r="AZ60" i="6"/>
  <c r="AZ59" i="6"/>
  <c r="AZ58" i="6"/>
  <c r="AZ57" i="6"/>
  <c r="AZ51" i="6"/>
  <c r="AZ50" i="6"/>
  <c r="AZ44" i="6"/>
  <c r="AZ43" i="6"/>
  <c r="AZ37" i="6"/>
  <c r="AZ36" i="6"/>
  <c r="AZ30" i="6"/>
  <c r="AZ29" i="6"/>
  <c r="AZ23" i="6"/>
  <c r="AZ22" i="6"/>
  <c r="AZ16" i="6"/>
  <c r="AZ15" i="6"/>
  <c r="AY45" i="6"/>
  <c r="BA45" i="6" s="1"/>
  <c r="AX60" i="6"/>
  <c r="BD46" i="6"/>
  <c r="BD40" i="6"/>
  <c r="BE31" i="6"/>
  <c r="AX59" i="6"/>
  <c r="AX58" i="6"/>
  <c r="AX57" i="6"/>
  <c r="AX51" i="6"/>
  <c r="AX50" i="6"/>
  <c r="AX44" i="6"/>
  <c r="AX43" i="6"/>
  <c r="AX37" i="6"/>
  <c r="AX36" i="6"/>
  <c r="AX30" i="6"/>
  <c r="AX29" i="6"/>
  <c r="AX23" i="6"/>
  <c r="AX22" i="6"/>
  <c r="AX16" i="6"/>
  <c r="AX15" i="6"/>
  <c r="BD33" i="6"/>
  <c r="BD47" i="6"/>
  <c r="BE20" i="6"/>
  <c r="AV60" i="6"/>
  <c r="AV59" i="6"/>
  <c r="AV58" i="6"/>
  <c r="AV57" i="6"/>
  <c r="AV51" i="6"/>
  <c r="AV50" i="6"/>
  <c r="AV44" i="6"/>
  <c r="AV43" i="6"/>
  <c r="AV37" i="6"/>
  <c r="AV36" i="6"/>
  <c r="AV30" i="6"/>
  <c r="AV29" i="6"/>
  <c r="AV23" i="6"/>
  <c r="AV22" i="6"/>
  <c r="AV16" i="6"/>
  <c r="AV15" i="6"/>
  <c r="AT43" i="6"/>
  <c r="AT44" i="6"/>
  <c r="AM60" i="6"/>
  <c r="AK60" i="6"/>
  <c r="AC60" i="6"/>
  <c r="AT60" i="6"/>
  <c r="AS42" i="6"/>
  <c r="BB42" i="6" s="1"/>
  <c r="AS28" i="6"/>
  <c r="AS14" i="6"/>
  <c r="BB14" i="6" s="1"/>
  <c r="AS53" i="6"/>
  <c r="AS58" i="6" s="1"/>
  <c r="AS39" i="6"/>
  <c r="AS32" i="6"/>
  <c r="AS37" i="6" s="1"/>
  <c r="AS25" i="6"/>
  <c r="AS18" i="6"/>
  <c r="AS23" i="6" s="1"/>
  <c r="AT58" i="6"/>
  <c r="AT57" i="6"/>
  <c r="AT30" i="6"/>
  <c r="AT29" i="6"/>
  <c r="AT23" i="6"/>
  <c r="AT22" i="6"/>
  <c r="AT16" i="6"/>
  <c r="AT15" i="6"/>
  <c r="BE34" i="6"/>
  <c r="AR30" i="6"/>
  <c r="AR29" i="6"/>
  <c r="AQ49" i="6"/>
  <c r="AQ60" i="6" s="1"/>
  <c r="AB60" i="6"/>
  <c r="BE48" i="6"/>
  <c r="BE27" i="6"/>
  <c r="AU53" i="6"/>
  <c r="AU58" i="6" s="1"/>
  <c r="AQ53" i="6"/>
  <c r="AQ58" i="6" s="1"/>
  <c r="AU39" i="6"/>
  <c r="AU44" i="6" s="1"/>
  <c r="AQ39" i="6"/>
  <c r="AQ44" i="6" s="1"/>
  <c r="AQ32" i="6"/>
  <c r="AU25" i="6"/>
  <c r="AU30" i="6" s="1"/>
  <c r="AU18" i="6"/>
  <c r="AQ18" i="6"/>
  <c r="AQ23" i="6" s="1"/>
  <c r="AR58" i="6"/>
  <c r="AR57" i="6"/>
  <c r="AR16" i="6"/>
  <c r="AR15" i="6"/>
  <c r="AR23" i="6"/>
  <c r="AR22" i="6"/>
  <c r="AR44" i="6"/>
  <c r="AR43" i="6"/>
  <c r="AP57" i="6"/>
  <c r="AP43" i="6"/>
  <c r="AP29" i="6"/>
  <c r="AP22" i="6"/>
  <c r="AP15" i="6"/>
  <c r="Z50" i="6"/>
  <c r="AM43" i="6"/>
  <c r="AP58" i="6"/>
  <c r="AP51" i="6"/>
  <c r="AP44" i="6"/>
  <c r="AP37" i="6"/>
  <c r="AP30" i="6"/>
  <c r="AP23" i="6"/>
  <c r="AP16" i="6"/>
  <c r="AM59" i="6"/>
  <c r="AS49" i="6"/>
  <c r="AS51" i="6" s="1"/>
  <c r="AY30" i="6"/>
  <c r="AY29" i="6"/>
  <c r="AW30" i="6"/>
  <c r="AW29" i="6"/>
  <c r="AU29" i="6"/>
  <c r="AS29" i="6"/>
  <c r="AQ30" i="6"/>
  <c r="AQ29" i="6"/>
  <c r="AO30" i="6"/>
  <c r="AO29" i="6"/>
  <c r="AN30" i="6"/>
  <c r="AN29" i="6"/>
  <c r="AM30" i="6"/>
  <c r="AM29" i="6"/>
  <c r="AL29" i="6"/>
  <c r="BD21" i="6"/>
  <c r="BD20" i="6"/>
  <c r="BD19" i="6"/>
  <c r="AN60" i="6"/>
  <c r="AN59" i="6"/>
  <c r="AN58" i="6"/>
  <c r="AN57" i="6"/>
  <c r="AN51" i="6"/>
  <c r="AN50" i="6"/>
  <c r="AN44" i="6"/>
  <c r="AN43" i="6"/>
  <c r="AN37" i="6"/>
  <c r="AN36" i="6"/>
  <c r="AN23" i="6"/>
  <c r="AN22" i="6"/>
  <c r="AN16" i="6"/>
  <c r="AN15" i="6"/>
  <c r="AJ54" i="6"/>
  <c r="AF56" i="6"/>
  <c r="AH56" i="6" s="1"/>
  <c r="AJ56" i="6" s="1"/>
  <c r="AF53" i="6"/>
  <c r="AF49" i="6"/>
  <c r="AH49" i="6" s="1"/>
  <c r="AJ49" i="6" s="1"/>
  <c r="AL49" i="6" s="1"/>
  <c r="AJ47" i="6"/>
  <c r="AL47" i="6" s="1"/>
  <c r="BC47" i="6" s="1"/>
  <c r="AF46" i="6"/>
  <c r="AH46" i="6" s="1"/>
  <c r="AF42" i="6"/>
  <c r="AH42" i="6" s="1"/>
  <c r="AF39" i="6"/>
  <c r="AH39" i="6" s="1"/>
  <c r="AJ39" i="6" s="1"/>
  <c r="AL39" i="6" s="1"/>
  <c r="BC39" i="6" s="1"/>
  <c r="AJ33" i="6"/>
  <c r="AL33" i="6" s="1"/>
  <c r="AF32" i="6"/>
  <c r="AH32" i="6" s="1"/>
  <c r="AJ32" i="6" s="1"/>
  <c r="AL32" i="6" s="1"/>
  <c r="BC32" i="6" s="1"/>
  <c r="BC37" i="6" s="1"/>
  <c r="AL36" i="6"/>
  <c r="AF35" i="6"/>
  <c r="AH35" i="6" s="1"/>
  <c r="AJ35" i="6" s="1"/>
  <c r="AF28" i="6"/>
  <c r="AH28" i="6" s="1"/>
  <c r="AJ28" i="6" s="1"/>
  <c r="AL28" i="6" s="1"/>
  <c r="AJ26" i="6"/>
  <c r="AL26" i="6" s="1"/>
  <c r="AL12" i="6"/>
  <c r="AM12" i="6" s="1"/>
  <c r="AO12" i="6" s="1"/>
  <c r="AF14" i="6"/>
  <c r="AH14" i="6" s="1"/>
  <c r="AJ14" i="6" s="1"/>
  <c r="AL14" i="6" s="1"/>
  <c r="AF11" i="6"/>
  <c r="AH11" i="6" s="1"/>
  <c r="AJ11" i="6" s="1"/>
  <c r="AL11" i="6" s="1"/>
  <c r="BC11" i="6" s="1"/>
  <c r="AJ40" i="6"/>
  <c r="AI26" i="6"/>
  <c r="BD26" i="6" s="1"/>
  <c r="AJ19" i="6"/>
  <c r="AL19" i="6" s="1"/>
  <c r="AE28" i="6"/>
  <c r="AF25" i="6"/>
  <c r="AH25" i="6" s="1"/>
  <c r="AF21" i="6"/>
  <c r="AH21" i="6" s="1"/>
  <c r="AF18" i="6"/>
  <c r="AH18" i="6" s="1"/>
  <c r="AB59" i="6"/>
  <c r="DN29" i="6"/>
  <c r="DN15" i="6"/>
  <c r="BF16" i="6"/>
  <c r="AK30" i="6"/>
  <c r="AK29" i="6"/>
  <c r="AJ29" i="6"/>
  <c r="AI30" i="6"/>
  <c r="AI29" i="6"/>
  <c r="AH29" i="6"/>
  <c r="AG30" i="6"/>
  <c r="AG29" i="6"/>
  <c r="AF29" i="6"/>
  <c r="AE29" i="6"/>
  <c r="AD30" i="6"/>
  <c r="AD29" i="6"/>
  <c r="AC30" i="6"/>
  <c r="AC29" i="6"/>
  <c r="AB30" i="6"/>
  <c r="AB29" i="6"/>
  <c r="AA30" i="6"/>
  <c r="AA29" i="6"/>
  <c r="Z30" i="6"/>
  <c r="Z29" i="6"/>
  <c r="H60" i="6"/>
  <c r="DH60" i="6"/>
  <c r="DE60" i="6"/>
  <c r="CR60" i="6"/>
  <c r="CO60" i="6"/>
  <c r="CN60" i="6"/>
  <c r="CL60" i="6"/>
  <c r="CK60" i="6"/>
  <c r="CD60" i="6"/>
  <c r="AW60" i="6"/>
  <c r="AU60" i="6"/>
  <c r="AR60" i="6"/>
  <c r="AP60" i="6"/>
  <c r="AO60" i="6"/>
  <c r="AI60" i="6"/>
  <c r="AG60" i="6"/>
  <c r="AD60" i="6"/>
  <c r="AA60" i="6"/>
  <c r="Z60" i="6"/>
  <c r="Y60" i="6"/>
  <c r="X60" i="6"/>
  <c r="W60" i="6"/>
  <c r="V60" i="6"/>
  <c r="U60" i="6"/>
  <c r="T60" i="6"/>
  <c r="S60" i="6"/>
  <c r="S59" i="6"/>
  <c r="R60" i="6"/>
  <c r="Q60" i="6"/>
  <c r="P60" i="6"/>
  <c r="O60" i="6"/>
  <c r="N60" i="6"/>
  <c r="M60" i="6"/>
  <c r="L60" i="6"/>
  <c r="K60" i="6"/>
  <c r="J60" i="6"/>
  <c r="I60" i="6"/>
  <c r="DH59" i="6"/>
  <c r="CR59" i="6"/>
  <c r="CN59" i="6"/>
  <c r="CM59" i="6"/>
  <c r="CJ59" i="6"/>
  <c r="CD59" i="6"/>
  <c r="CC59" i="6"/>
  <c r="CA59" i="6"/>
  <c r="BZ59" i="6"/>
  <c r="BX59" i="6"/>
  <c r="BT59" i="6"/>
  <c r="BS59" i="6"/>
  <c r="BR59" i="6"/>
  <c r="BQ59" i="6"/>
  <c r="BP59" i="6"/>
  <c r="BO59" i="6"/>
  <c r="BM59" i="6"/>
  <c r="BH59" i="6"/>
  <c r="BG59" i="6"/>
  <c r="BF59" i="6"/>
  <c r="AY59" i="6"/>
  <c r="AW59" i="6"/>
  <c r="AT59" i="6"/>
  <c r="AR59" i="6"/>
  <c r="AP59" i="6"/>
  <c r="AO59" i="6"/>
  <c r="AK59" i="6"/>
  <c r="AI59" i="6"/>
  <c r="AG59" i="6"/>
  <c r="AE59" i="6"/>
  <c r="AD59" i="6"/>
  <c r="AC59" i="6"/>
  <c r="AA59" i="6"/>
  <c r="Z59" i="6"/>
  <c r="Y59" i="6"/>
  <c r="X59" i="6"/>
  <c r="W59" i="6"/>
  <c r="V59" i="6"/>
  <c r="U59" i="6"/>
  <c r="T59" i="6"/>
  <c r="R59" i="6"/>
  <c r="Q59" i="6"/>
  <c r="P59" i="6"/>
  <c r="O59" i="6"/>
  <c r="N59" i="6"/>
  <c r="M59" i="6"/>
  <c r="L59" i="6"/>
  <c r="K59" i="6"/>
  <c r="J59" i="6"/>
  <c r="I59" i="6"/>
  <c r="H59" i="6"/>
  <c r="AB58" i="6"/>
  <c r="AB57" i="6"/>
  <c r="CD58" i="6"/>
  <c r="CC58" i="6"/>
  <c r="CB58" i="6"/>
  <c r="CA58" i="6"/>
  <c r="BZ58" i="6"/>
  <c r="BY58" i="6"/>
  <c r="BX58" i="6"/>
  <c r="BW58" i="6"/>
  <c r="BV58" i="6"/>
  <c r="BU58" i="6"/>
  <c r="BT58" i="6"/>
  <c r="BS58" i="6"/>
  <c r="BR58" i="6"/>
  <c r="BQ58" i="6"/>
  <c r="BP58" i="6"/>
  <c r="BO58" i="6"/>
  <c r="BM58" i="6"/>
  <c r="BI58" i="6"/>
  <c r="BH58" i="6"/>
  <c r="BG58" i="6"/>
  <c r="BF58" i="6"/>
  <c r="AY58" i="6"/>
  <c r="AW58" i="6"/>
  <c r="AO58" i="6"/>
  <c r="AM58" i="6"/>
  <c r="AK58" i="6"/>
  <c r="AI58" i="6"/>
  <c r="AG58" i="6"/>
  <c r="AE58" i="6"/>
  <c r="AD58" i="6"/>
  <c r="AC58" i="6"/>
  <c r="AA58" i="6"/>
  <c r="Z58" i="6"/>
  <c r="Y58" i="6"/>
  <c r="X58" i="6"/>
  <c r="W58" i="6"/>
  <c r="H58" i="6"/>
  <c r="DN57" i="6"/>
  <c r="CD57" i="6"/>
  <c r="CC57" i="6"/>
  <c r="CB57" i="6"/>
  <c r="CA57" i="6"/>
  <c r="BZ57" i="6"/>
  <c r="BY57" i="6"/>
  <c r="BX57" i="6"/>
  <c r="BW57" i="6"/>
  <c r="BV57" i="6"/>
  <c r="BU57" i="6"/>
  <c r="BT57" i="6"/>
  <c r="BS57" i="6"/>
  <c r="BR57" i="6"/>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AC50" i="6"/>
  <c r="AB51" i="6"/>
  <c r="AB50" i="6"/>
  <c r="Z51" i="6"/>
  <c r="X51" i="6"/>
  <c r="X50" i="6"/>
  <c r="W51" i="6"/>
  <c r="W50" i="6"/>
  <c r="H51" i="6"/>
  <c r="H50" i="6"/>
  <c r="BF51" i="6"/>
  <c r="AY51" i="6"/>
  <c r="AW51" i="6"/>
  <c r="AU51" i="6"/>
  <c r="AT51" i="6"/>
  <c r="AR51" i="6"/>
  <c r="AO51" i="6"/>
  <c r="AM51" i="6"/>
  <c r="AK51" i="6"/>
  <c r="AI51" i="6"/>
  <c r="AG51" i="6"/>
  <c r="AE51" i="6"/>
  <c r="AD51" i="6"/>
  <c r="AC51" i="6"/>
  <c r="AA51" i="6"/>
  <c r="Y51" i="6"/>
  <c r="V51" i="6"/>
  <c r="U51" i="6"/>
  <c r="T51" i="6"/>
  <c r="S51" i="6"/>
  <c r="R51" i="6"/>
  <c r="Q51" i="6"/>
  <c r="P51" i="6"/>
  <c r="O51" i="6"/>
  <c r="N51" i="6"/>
  <c r="M51" i="6"/>
  <c r="L51" i="6"/>
  <c r="K51" i="6"/>
  <c r="J51" i="6"/>
  <c r="I51" i="6"/>
  <c r="DN50" i="6"/>
  <c r="BF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CD44" i="6"/>
  <c r="CC44" i="6"/>
  <c r="CB44" i="6"/>
  <c r="CA44" i="6"/>
  <c r="BZ44" i="6"/>
  <c r="BY44" i="6"/>
  <c r="BX44" i="6"/>
  <c r="BW44" i="6"/>
  <c r="BV44" i="6"/>
  <c r="BU44" i="6"/>
  <c r="BT44" i="6"/>
  <c r="BS44" i="6"/>
  <c r="BR44" i="6"/>
  <c r="BQ44" i="6"/>
  <c r="BP44" i="6"/>
  <c r="BO44" i="6"/>
  <c r="BN44" i="6"/>
  <c r="BF44" i="6"/>
  <c r="DN43" i="6"/>
  <c r="CD43" i="6"/>
  <c r="CC43" i="6"/>
  <c r="CB43" i="6"/>
  <c r="CA43" i="6"/>
  <c r="BZ43" i="6"/>
  <c r="BY43" i="6"/>
  <c r="BX43" i="6"/>
  <c r="BW43" i="6"/>
  <c r="BV43" i="6"/>
  <c r="BU43" i="6"/>
  <c r="BT43" i="6"/>
  <c r="BS43" i="6"/>
  <c r="BR43" i="6"/>
  <c r="BQ43" i="6"/>
  <c r="BP43" i="6"/>
  <c r="BO43" i="6"/>
  <c r="BN43" i="6"/>
  <c r="BH43" i="6"/>
  <c r="BG43" i="6"/>
  <c r="BF43" i="6"/>
  <c r="AY44" i="6"/>
  <c r="AY43" i="6"/>
  <c r="AK44" i="6"/>
  <c r="AI44" i="6"/>
  <c r="AG44" i="6"/>
  <c r="AE44" i="6"/>
  <c r="AD44" i="6"/>
  <c r="AC44" i="6"/>
  <c r="AK43" i="6"/>
  <c r="AJ43" i="6"/>
  <c r="AI43" i="6"/>
  <c r="AH43" i="6"/>
  <c r="AG43" i="6"/>
  <c r="AF43" i="6"/>
  <c r="AE43" i="6"/>
  <c r="AD43" i="6"/>
  <c r="AC43" i="6"/>
  <c r="AW44" i="6"/>
  <c r="AO44" i="6"/>
  <c r="AM44" i="6"/>
  <c r="AB44" i="6"/>
  <c r="AA44" i="6"/>
  <c r="Z44" i="6"/>
  <c r="Y44" i="6"/>
  <c r="X44" i="6"/>
  <c r="W44" i="6"/>
  <c r="H44" i="6"/>
  <c r="AW43" i="6"/>
  <c r="AU43" i="6"/>
  <c r="AS43" i="6"/>
  <c r="AQ43" i="6"/>
  <c r="AO43" i="6"/>
  <c r="AL43" i="6"/>
  <c r="AB43" i="6"/>
  <c r="AA43" i="6"/>
  <c r="Z43" i="6"/>
  <c r="Y43" i="6"/>
  <c r="X43" i="6"/>
  <c r="W43" i="6"/>
  <c r="AY37" i="6"/>
  <c r="AW37" i="6"/>
  <c r="AU37" i="6"/>
  <c r="AT37" i="6"/>
  <c r="AR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BA35" i="6"/>
  <c r="BD34" i="6"/>
  <c r="BA34" i="6"/>
  <c r="BA33" i="6"/>
  <c r="Y30" i="6"/>
  <c r="Y29" i="6"/>
  <c r="X30" i="6"/>
  <c r="X29" i="6"/>
  <c r="W30" i="6"/>
  <c r="W29" i="6"/>
  <c r="H30" i="6"/>
  <c r="H29" i="6"/>
  <c r="BD27" i="6"/>
  <c r="BA27" i="6"/>
  <c r="AL15" i="6"/>
  <c r="AY23" i="6"/>
  <c r="AY22" i="6"/>
  <c r="AW23" i="6"/>
  <c r="AW22" i="6"/>
  <c r="AU22" i="6"/>
  <c r="AS22"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Z23" i="6"/>
  <c r="Z22" i="6"/>
  <c r="Y23" i="6"/>
  <c r="Y22" i="6"/>
  <c r="AY16" i="6"/>
  <c r="AY15" i="6"/>
  <c r="AW16" i="6"/>
  <c r="AW15" i="6"/>
  <c r="AU16" i="6"/>
  <c r="AU15" i="6"/>
  <c r="AS15" i="6"/>
  <c r="AQ16" i="6"/>
  <c r="AQ15" i="6"/>
  <c r="AO16" i="6"/>
  <c r="AO15" i="6"/>
  <c r="AM16" i="6"/>
  <c r="AM15" i="6"/>
  <c r="X23" i="6"/>
  <c r="X22" i="6"/>
  <c r="W23" i="6"/>
  <c r="W22" i="6"/>
  <c r="H22" i="6"/>
  <c r="AK16" i="6"/>
  <c r="AK15" i="6"/>
  <c r="AJ15" i="6"/>
  <c r="AI16" i="6"/>
  <c r="AI15" i="6"/>
  <c r="AH15" i="6"/>
  <c r="AG16" i="6"/>
  <c r="AG15" i="6"/>
  <c r="AF15" i="6"/>
  <c r="AE16" i="6"/>
  <c r="AE15" i="6"/>
  <c r="AD16" i="6"/>
  <c r="AD15" i="6"/>
  <c r="AC16" i="6"/>
  <c r="AC15" i="6"/>
  <c r="AB15" i="6"/>
  <c r="AB16" i="6"/>
  <c r="H23" i="6"/>
  <c r="AA16" i="6"/>
  <c r="AA15" i="6"/>
  <c r="Z16" i="6"/>
  <c r="Z15" i="6"/>
  <c r="Y16" i="6"/>
  <c r="Y15" i="6"/>
  <c r="X16" i="6"/>
  <c r="X15" i="6"/>
  <c r="W16" i="6"/>
  <c r="W15" i="6"/>
  <c r="H15" i="6"/>
  <c r="H16" i="6"/>
  <c r="EP34" i="6"/>
  <c r="EP32" i="6"/>
  <c r="EP31" i="6"/>
  <c r="EP27" i="6"/>
  <c r="ET26" i="6"/>
  <c r="EP25" i="6"/>
  <c r="EP20" i="6"/>
  <c r="ES19" i="6"/>
  <c r="EP18" i="6"/>
  <c r="ES18" i="6"/>
  <c r="ES14" i="6"/>
  <c r="EP13" i="6"/>
  <c r="EP56" i="6"/>
  <c r="EP58" i="6" s="1"/>
  <c r="EP55" i="6"/>
  <c r="EM55" i="6"/>
  <c r="ET53" i="6"/>
  <c r="EP48" i="6"/>
  <c r="ES48" i="6"/>
  <c r="EM48" i="6"/>
  <c r="EP46" i="6"/>
  <c r="G1572" i="20"/>
  <c r="EP41" i="6"/>
  <c r="EP39" i="6"/>
  <c r="AY60" i="6"/>
  <c r="CU59" i="6"/>
  <c r="CW37" i="6"/>
  <c r="DN36" i="6"/>
  <c r="I830" i="20"/>
  <c r="K830" i="20" s="1"/>
  <c r="I864" i="20"/>
  <c r="J864" i="20"/>
  <c r="I862" i="20"/>
  <c r="J857" i="20"/>
  <c r="CW50" i="6"/>
  <c r="K847" i="20"/>
  <c r="K848" i="20"/>
  <c r="G1538" i="20"/>
  <c r="CQ23" i="6"/>
  <c r="CO23" i="6"/>
  <c r="BU16" i="6"/>
  <c r="BU59" i="6"/>
  <c r="CE42" i="6"/>
  <c r="CE44" i="6" s="1"/>
  <c r="I844" i="20"/>
  <c r="I822" i="20"/>
  <c r="K822" i="20" s="1"/>
  <c r="J843" i="20"/>
  <c r="I842" i="20"/>
  <c r="F1191" i="20"/>
  <c r="CH42" i="6"/>
  <c r="CS23" i="6"/>
  <c r="EN51" i="6"/>
  <c r="H835" i="20"/>
  <c r="J836" i="20"/>
  <c r="G1482" i="20"/>
  <c r="G1485" i="20"/>
  <c r="G1488" i="20"/>
  <c r="G1496" i="20"/>
  <c r="G1499" i="20"/>
  <c r="G1481" i="20"/>
  <c r="G1489" i="20"/>
  <c r="G1492" i="20"/>
  <c r="G1495" i="20"/>
  <c r="G1503" i="20"/>
  <c r="G1506" i="20"/>
  <c r="DM50" i="6"/>
  <c r="CW30" i="6"/>
  <c r="CW23" i="6"/>
  <c r="DL42" i="6"/>
  <c r="G1545" i="20"/>
  <c r="G1548" i="20"/>
  <c r="K850" i="20"/>
  <c r="K852" i="20"/>
  <c r="G1541" i="20"/>
  <c r="K849" i="20"/>
  <c r="K853" i="20"/>
  <c r="K851" i="20"/>
  <c r="E1246" i="20" l="1"/>
  <c r="E1242" i="20"/>
  <c r="E1249" i="20"/>
  <c r="H827" i="20"/>
  <c r="EN22" i="6"/>
  <c r="I858" i="20"/>
  <c r="H902" i="20"/>
  <c r="H834" i="20"/>
  <c r="DL43" i="6"/>
  <c r="I837" i="20"/>
  <c r="E1241" i="20"/>
  <c r="E1248" i="20"/>
  <c r="E1247" i="20"/>
  <c r="H855" i="20"/>
  <c r="E1245" i="20"/>
  <c r="H823" i="20"/>
  <c r="EN29" i="6"/>
  <c r="EN36" i="6"/>
  <c r="BC57" i="6"/>
  <c r="EN50" i="6"/>
  <c r="EV10" i="6"/>
  <c r="I836" i="20"/>
  <c r="K836" i="20" s="1"/>
  <c r="F1534" i="20"/>
  <c r="G45" i="6"/>
  <c r="I843" i="20"/>
  <c r="K843" i="20" s="1"/>
  <c r="J842" i="20"/>
  <c r="K842" i="20" s="1"/>
  <c r="EM43" i="6"/>
  <c r="I829" i="20"/>
  <c r="K829" i="20" s="1"/>
  <c r="CG43" i="6"/>
  <c r="H843" i="20"/>
  <c r="DI53" i="6"/>
  <c r="DI58" i="6" s="1"/>
  <c r="DI21" i="6"/>
  <c r="H895" i="20"/>
  <c r="CI44" i="6"/>
  <c r="BI60" i="6"/>
  <c r="BI61" i="6" s="1"/>
  <c r="BQ60" i="6"/>
  <c r="E1238" i="20"/>
  <c r="E1239" i="20"/>
  <c r="E1240" i="20"/>
  <c r="DC58" i="6"/>
  <c r="DD37" i="6"/>
  <c r="DI40" i="6"/>
  <c r="CE58" i="6"/>
  <c r="DC44" i="6"/>
  <c r="BK23" i="6"/>
  <c r="DJ42" i="6"/>
  <c r="DG60" i="6" s="1"/>
  <c r="BX60" i="6"/>
  <c r="BX61" i="6" s="1"/>
  <c r="DG23" i="6"/>
  <c r="DI42" i="6"/>
  <c r="CZ44" i="6" s="1"/>
  <c r="BA36" i="6"/>
  <c r="J835" i="20"/>
  <c r="CO59" i="6"/>
  <c r="CO61" i="6" s="1"/>
  <c r="CQ44" i="6"/>
  <c r="DI46" i="6"/>
  <c r="DI51" i="6" s="1"/>
  <c r="CQ30" i="6"/>
  <c r="CF57" i="6"/>
  <c r="CI58" i="6"/>
  <c r="CG37" i="6"/>
  <c r="DK15" i="6"/>
  <c r="ES22" i="6"/>
  <c r="DL21" i="6"/>
  <c r="DI33" i="6"/>
  <c r="EQ29" i="6"/>
  <c r="EQ36" i="6"/>
  <c r="EP38" i="6"/>
  <c r="DM43" i="6"/>
  <c r="J844" i="20"/>
  <c r="K844" i="20" s="1"/>
  <c r="EP51" i="6"/>
  <c r="ET51" i="6" s="1"/>
  <c r="ES55" i="6"/>
  <c r="EQ55" i="6"/>
  <c r="H832" i="20"/>
  <c r="EQ50" i="6"/>
  <c r="EO59" i="6"/>
  <c r="CF43" i="6"/>
  <c r="ET35" i="6"/>
  <c r="EQ22" i="6"/>
  <c r="BG61" i="6"/>
  <c r="ES49" i="6"/>
  <c r="ES53" i="6"/>
  <c r="AO61" i="6"/>
  <c r="AW61" i="6"/>
  <c r="F1171" i="20"/>
  <c r="CH11" i="6"/>
  <c r="ES40" i="6"/>
  <c r="ES46" i="6"/>
  <c r="ES25" i="6"/>
  <c r="H822" i="20"/>
  <c r="CH44" i="6"/>
  <c r="BY16" i="6"/>
  <c r="CE11" i="6"/>
  <c r="CF11" i="6"/>
  <c r="H888" i="20"/>
  <c r="ES34" i="6"/>
  <c r="BE57" i="6"/>
  <c r="AQ51" i="6"/>
  <c r="DI57" i="6"/>
  <c r="ET41" i="6"/>
  <c r="ES47" i="6"/>
  <c r="EO37" i="6"/>
  <c r="ES26" i="6"/>
  <c r="DI14" i="6"/>
  <c r="DM51" i="6"/>
  <c r="DC23" i="6"/>
  <c r="H886" i="20"/>
  <c r="G1575" i="20"/>
  <c r="BD28" i="6"/>
  <c r="DI36" i="6"/>
  <c r="G1576" i="20"/>
  <c r="H887" i="20"/>
  <c r="CI16" i="6"/>
  <c r="CH12" i="26"/>
  <c r="BA32" i="6"/>
  <c r="BA37" i="6" s="1"/>
  <c r="CG58" i="6"/>
  <c r="BA28" i="6"/>
  <c r="H828" i="20"/>
  <c r="CH17" i="6"/>
  <c r="CH22" i="6" s="1"/>
  <c r="CE17" i="6"/>
  <c r="CE22" i="6" s="1"/>
  <c r="I856" i="20"/>
  <c r="E1552" i="20"/>
  <c r="G1552" i="20" s="1"/>
  <c r="I821" i="20"/>
  <c r="K821" i="20" s="1"/>
  <c r="BD29" i="6"/>
  <c r="BB28" i="6"/>
  <c r="BB32" i="6"/>
  <c r="BB37" i="6" s="1"/>
  <c r="EM29" i="6"/>
  <c r="EM23" i="6"/>
  <c r="BC36" i="6"/>
  <c r="F1177" i="20"/>
  <c r="CC50" i="6"/>
  <c r="BD42" i="6"/>
  <c r="CW16" i="6"/>
  <c r="I835" i="20"/>
  <c r="BA25" i="6"/>
  <c r="BI44" i="6"/>
  <c r="DL14" i="6"/>
  <c r="CF17" i="6"/>
  <c r="CF22" i="6" s="1"/>
  <c r="K857" i="20"/>
  <c r="I863" i="20"/>
  <c r="K863" i="20" s="1"/>
  <c r="CH15" i="6"/>
  <c r="DA60" i="6"/>
  <c r="ER15" i="26"/>
  <c r="F1176" i="20"/>
  <c r="EM36" i="6"/>
  <c r="CI29" i="6"/>
  <c r="ER14" i="26"/>
  <c r="BD22" i="6"/>
  <c r="BA57" i="6"/>
  <c r="EU52" i="6"/>
  <c r="CI43" i="6"/>
  <c r="CH58" i="6"/>
  <c r="CE36" i="6"/>
  <c r="EV45" i="6"/>
  <c r="DJ36" i="6"/>
  <c r="CE18" i="6"/>
  <c r="CE23" i="6" s="1"/>
  <c r="CI30" i="6"/>
  <c r="DJ19" i="6"/>
  <c r="DL54" i="6"/>
  <c r="DM23" i="6"/>
  <c r="BC29" i="6"/>
  <c r="CS60" i="6"/>
  <c r="CS61" i="6" s="1"/>
  <c r="DI35" i="6"/>
  <c r="CG57" i="6"/>
  <c r="CH36" i="6"/>
  <c r="DI22" i="6"/>
  <c r="EM37" i="6"/>
  <c r="DI47" i="6"/>
  <c r="AF37" i="6"/>
  <c r="H819" i="20"/>
  <c r="BB45" i="6"/>
  <c r="BB50" i="6" s="1"/>
  <c r="EP23" i="6"/>
  <c r="ES24" i="6"/>
  <c r="DI15" i="6"/>
  <c r="DL36" i="6"/>
  <c r="DJ14" i="6"/>
  <c r="DI12" i="6"/>
  <c r="DL47" i="6"/>
  <c r="CG12" i="26"/>
  <c r="DM37" i="6"/>
  <c r="AF51" i="6"/>
  <c r="I838" i="20"/>
  <c r="DL28" i="6"/>
  <c r="K858" i="20"/>
  <c r="EO44" i="6"/>
  <c r="DN30" i="6"/>
  <c r="BA42" i="6"/>
  <c r="BE22" i="6"/>
  <c r="BA29" i="6"/>
  <c r="BD57" i="6"/>
  <c r="CW59" i="6"/>
  <c r="CW61" i="6" s="1"/>
  <c r="DL18" i="6"/>
  <c r="E1207" i="20" s="1"/>
  <c r="DK43" i="6"/>
  <c r="DD60" i="6"/>
  <c r="DD61" i="6" s="1"/>
  <c r="BD14" i="6"/>
  <c r="J860" i="20"/>
  <c r="I865" i="20"/>
  <c r="BB25" i="6"/>
  <c r="BC43" i="6"/>
  <c r="DJ12" i="6"/>
  <c r="DJ25" i="6"/>
  <c r="DJ43" i="6"/>
  <c r="DI11" i="6"/>
  <c r="DI32" i="6"/>
  <c r="DI45" i="6"/>
  <c r="H866" i="20" s="1"/>
  <c r="BA14" i="6"/>
  <c r="BB39" i="6"/>
  <c r="BB44" i="6" s="1"/>
  <c r="H826" i="20"/>
  <c r="BW37" i="6"/>
  <c r="I833" i="20"/>
  <c r="BT60" i="6"/>
  <c r="BT61" i="6" s="1"/>
  <c r="CH35" i="6"/>
  <c r="CH37" i="6" s="1"/>
  <c r="CF46" i="6"/>
  <c r="ET28" i="6"/>
  <c r="BA18" i="6"/>
  <c r="BA23" i="6" s="1"/>
  <c r="I819" i="20"/>
  <c r="K819" i="20" s="1"/>
  <c r="DI29" i="6"/>
  <c r="DL19" i="6"/>
  <c r="DN12" i="26"/>
  <c r="DI19" i="6"/>
  <c r="DL33" i="6"/>
  <c r="BA39" i="6"/>
  <c r="BA43" i="6"/>
  <c r="DL45" i="6"/>
  <c r="E1534" i="20" s="1"/>
  <c r="DI26" i="6"/>
  <c r="ES54" i="6"/>
  <c r="BD45" i="6"/>
  <c r="AS59" i="6"/>
  <c r="AS16" i="6"/>
  <c r="BD39" i="6"/>
  <c r="AY50" i="6"/>
  <c r="ET56" i="6"/>
  <c r="DJ32" i="6"/>
  <c r="DI28" i="6"/>
  <c r="DL39" i="6"/>
  <c r="E1175" i="20" s="1"/>
  <c r="EP16" i="6"/>
  <c r="I861" i="20"/>
  <c r="CH23" i="6"/>
  <c r="EP29" i="6"/>
  <c r="CE15" i="6"/>
  <c r="ES13" i="6"/>
  <c r="ET24" i="6"/>
  <c r="H61" i="6"/>
  <c r="CG16" i="6"/>
  <c r="DM15" i="6"/>
  <c r="EN30" i="6"/>
  <c r="K867" i="20"/>
  <c r="DL32" i="6"/>
  <c r="E1209" i="20" s="1"/>
  <c r="I846" i="20"/>
  <c r="I860" i="20"/>
  <c r="BA53" i="6"/>
  <c r="BA58" i="6" s="1"/>
  <c r="DL35" i="6"/>
  <c r="H860" i="20"/>
  <c r="BE50" i="6"/>
  <c r="BB29" i="6"/>
  <c r="BB36" i="6"/>
  <c r="BE43" i="6"/>
  <c r="BB57" i="6"/>
  <c r="BB43" i="6"/>
  <c r="DJ28" i="6"/>
  <c r="DG44" i="6"/>
  <c r="I854" i="20"/>
  <c r="DI54" i="6"/>
  <c r="CJ12" i="26"/>
  <c r="DK12" i="26"/>
  <c r="DJ57" i="6"/>
  <c r="DJ40" i="6"/>
  <c r="ES42" i="6"/>
  <c r="EM57" i="6"/>
  <c r="DL57" i="6"/>
  <c r="CW51" i="6"/>
  <c r="I839" i="20"/>
  <c r="DJ35" i="6"/>
  <c r="DJ53" i="6"/>
  <c r="DJ58" i="6" s="1"/>
  <c r="DK58" i="6"/>
  <c r="BD18" i="6"/>
  <c r="BD23" i="6" s="1"/>
  <c r="DJ11" i="6"/>
  <c r="DC30" i="6"/>
  <c r="DL12" i="6"/>
  <c r="F1172" i="20"/>
  <c r="CI50" i="6"/>
  <c r="DL26" i="6"/>
  <c r="BB49" i="6"/>
  <c r="BB51" i="6" s="1"/>
  <c r="EP37" i="6"/>
  <c r="DJ18" i="6"/>
  <c r="CF36" i="6"/>
  <c r="DC37" i="6"/>
  <c r="AS30" i="6"/>
  <c r="EQ58" i="6"/>
  <c r="BE12" i="6"/>
  <c r="BC26" i="6"/>
  <c r="BD32" i="6"/>
  <c r="BD37" i="6" s="1"/>
  <c r="CE45" i="6"/>
  <c r="CE50" i="6" s="1"/>
  <c r="CE35" i="6"/>
  <c r="CE37" i="6" s="1"/>
  <c r="F1173" i="20"/>
  <c r="E1531" i="20"/>
  <c r="CE28" i="6"/>
  <c r="CE30" i="6" s="1"/>
  <c r="CF28" i="6"/>
  <c r="CF30" i="6" s="1"/>
  <c r="BW59" i="6"/>
  <c r="BW61" i="6" s="1"/>
  <c r="I832" i="20"/>
  <c r="K832" i="20" s="1"/>
  <c r="CG15" i="6"/>
  <c r="CG44" i="6"/>
  <c r="CE43" i="6"/>
  <c r="CH57" i="6"/>
  <c r="CE29" i="6"/>
  <c r="CG36" i="6"/>
  <c r="DI39" i="6"/>
  <c r="DJ33" i="6"/>
  <c r="DA23" i="6"/>
  <c r="DG59" i="6"/>
  <c r="BD25" i="6"/>
  <c r="AU23" i="6"/>
  <c r="BB53" i="6"/>
  <c r="BB58" i="6" s="1"/>
  <c r="H825" i="20"/>
  <c r="DL25" i="6"/>
  <c r="E1187" i="20" s="1"/>
  <c r="CE14" i="6"/>
  <c r="BK59" i="6"/>
  <c r="BK61" i="6" s="1"/>
  <c r="AQ59" i="6"/>
  <c r="AQ61" i="6" s="1"/>
  <c r="DL46" i="6"/>
  <c r="DG50" i="6"/>
  <c r="H820" i="20"/>
  <c r="DL11" i="6"/>
  <c r="H830" i="20"/>
  <c r="AQ37" i="6"/>
  <c r="DL29" i="6"/>
  <c r="AF60" i="6"/>
  <c r="AF23" i="6"/>
  <c r="F1187" i="20"/>
  <c r="CH46" i="6"/>
  <c r="CH51" i="6" s="1"/>
  <c r="CE46" i="6"/>
  <c r="CE51" i="6" s="1"/>
  <c r="ET48" i="6"/>
  <c r="ET54" i="6"/>
  <c r="ES31" i="6"/>
  <c r="AP61" i="6"/>
  <c r="DA59" i="6"/>
  <c r="CK61" i="6"/>
  <c r="DG16" i="6"/>
  <c r="CY59" i="6"/>
  <c r="CY61" i="6" s="1"/>
  <c r="DJ26" i="6"/>
  <c r="DJ39" i="6"/>
  <c r="DG37" i="6"/>
  <c r="I825" i="20"/>
  <c r="K825" i="20" s="1"/>
  <c r="AU59" i="6"/>
  <c r="AU61" i="6" s="1"/>
  <c r="DI25" i="6"/>
  <c r="BA49" i="6"/>
  <c r="BA51" i="6" s="1"/>
  <c r="AS60" i="6"/>
  <c r="BD49" i="6"/>
  <c r="BD51" i="6" s="1"/>
  <c r="CH14" i="6"/>
  <c r="AS44" i="6"/>
  <c r="H858" i="20"/>
  <c r="AR61" i="6"/>
  <c r="DC59" i="6"/>
  <c r="BB16" i="6"/>
  <c r="DJ45" i="6"/>
  <c r="DJ47" i="6"/>
  <c r="DA16" i="6"/>
  <c r="H867" i="20"/>
  <c r="CY50" i="6"/>
  <c r="BB18" i="6"/>
  <c r="BB23" i="6" s="1"/>
  <c r="J839" i="20"/>
  <c r="BD53" i="6"/>
  <c r="BD58" i="6" s="1"/>
  <c r="J846" i="20"/>
  <c r="CH28" i="6"/>
  <c r="CH30" i="6" s="1"/>
  <c r="AF30" i="6"/>
  <c r="CF18" i="6"/>
  <c r="CF23" i="6" s="1"/>
  <c r="H839" i="20"/>
  <c r="DI18" i="6"/>
  <c r="CF45" i="6"/>
  <c r="CF50" i="6" s="1"/>
  <c r="CF35" i="6"/>
  <c r="CF37" i="6" s="1"/>
  <c r="CF14" i="6"/>
  <c r="H841" i="20"/>
  <c r="DM57" i="6"/>
  <c r="BC12" i="6"/>
  <c r="ES41" i="6"/>
  <c r="ET49" i="6"/>
  <c r="ET34" i="6"/>
  <c r="AB61" i="6"/>
  <c r="BJ61" i="6"/>
  <c r="CF15" i="6"/>
  <c r="CF58" i="6"/>
  <c r="CI22" i="6"/>
  <c r="CH29" i="6"/>
  <c r="CG51" i="6"/>
  <c r="DL53" i="6"/>
  <c r="E1191" i="20" s="1"/>
  <c r="DC60" i="6"/>
  <c r="DJ15" i="6"/>
  <c r="ES56" i="6"/>
  <c r="BB15" i="6"/>
  <c r="DJ22" i="6"/>
  <c r="CG23" i="6"/>
  <c r="CI23" i="6"/>
  <c r="CG62" i="6"/>
  <c r="BA15" i="6"/>
  <c r="BD15" i="6"/>
  <c r="E1530" i="20"/>
  <c r="F1207" i="20"/>
  <c r="BE39" i="6"/>
  <c r="G39" i="6" s="1"/>
  <c r="EP30" i="6"/>
  <c r="ET45" i="6"/>
  <c r="G31" i="6"/>
  <c r="EV31" i="6" s="1"/>
  <c r="CF44" i="6"/>
  <c r="CG30" i="6"/>
  <c r="ES27" i="6"/>
  <c r="EU24" i="6"/>
  <c r="CG60" i="6"/>
  <c r="DJ21" i="6"/>
  <c r="F1185" i="20"/>
  <c r="DK14" i="6"/>
  <c r="DK60" i="6" s="1"/>
  <c r="DL12" i="26"/>
  <c r="I13" i="26"/>
  <c r="ET33" i="6"/>
  <c r="ET42" i="6"/>
  <c r="ES12" i="6"/>
  <c r="EO58" i="6"/>
  <c r="DE59" i="6"/>
  <c r="DE61" i="6" s="1"/>
  <c r="DA50" i="6"/>
  <c r="DL40" i="6"/>
  <c r="DJ46" i="6"/>
  <c r="DJ51" i="6" s="1"/>
  <c r="DJ54" i="6"/>
  <c r="DK23" i="6"/>
  <c r="DK36" i="6"/>
  <c r="DK44" i="6"/>
  <c r="I12" i="26"/>
  <c r="DN37" i="6"/>
  <c r="ET40" i="6"/>
  <c r="DN44" i="6"/>
  <c r="G35" i="6"/>
  <c r="EV35" i="6" s="1"/>
  <c r="DL15" i="6"/>
  <c r="I840" i="20"/>
  <c r="EP15" i="6"/>
  <c r="ET47" i="6"/>
  <c r="AL56" i="6"/>
  <c r="BE56" i="6" s="1"/>
  <c r="ET20" i="6"/>
  <c r="AH53" i="6"/>
  <c r="AH59" i="6" s="1"/>
  <c r="AF58" i="6"/>
  <c r="BE15" i="6"/>
  <c r="G34" i="6"/>
  <c r="EU34" i="6"/>
  <c r="EP22" i="6"/>
  <c r="DN51" i="6"/>
  <c r="BE11" i="6"/>
  <c r="AH16" i="6"/>
  <c r="CI36" i="6"/>
  <c r="BE29" i="6"/>
  <c r="EV38" i="6"/>
  <c r="EP59" i="6"/>
  <c r="ET32" i="6"/>
  <c r="AJ25" i="6"/>
  <c r="AH30" i="6"/>
  <c r="BE32" i="6"/>
  <c r="DM56" i="6"/>
  <c r="DM58" i="6" s="1"/>
  <c r="DM42" i="6"/>
  <c r="DM44" i="6" s="1"/>
  <c r="BE14" i="6"/>
  <c r="BC14" i="6"/>
  <c r="BC16" i="6" s="1"/>
  <c r="ET17" i="6"/>
  <c r="EU41" i="6"/>
  <c r="ET46" i="6"/>
  <c r="ET25" i="6"/>
  <c r="ET31" i="6"/>
  <c r="ES33" i="6"/>
  <c r="AL40" i="6"/>
  <c r="BE40" i="6" s="1"/>
  <c r="DN23" i="6"/>
  <c r="ET12" i="6"/>
  <c r="DK57" i="6"/>
  <c r="EM22" i="6"/>
  <c r="AF16" i="6"/>
  <c r="G49" i="6"/>
  <c r="EV49" i="6" s="1"/>
  <c r="CI57" i="6"/>
  <c r="CG59" i="6"/>
  <c r="AL16" i="6"/>
  <c r="ET13" i="6"/>
  <c r="G1569" i="20"/>
  <c r="AE60" i="6"/>
  <c r="AE61" i="6" s="1"/>
  <c r="AE30" i="6"/>
  <c r="AJ46" i="6"/>
  <c r="AL46" i="6" s="1"/>
  <c r="AL51" i="6" s="1"/>
  <c r="AL54" i="6"/>
  <c r="BC54" i="6" s="1"/>
  <c r="EU27" i="6"/>
  <c r="BA50" i="6"/>
  <c r="BC15" i="6"/>
  <c r="CI15" i="6"/>
  <c r="CH43" i="6"/>
  <c r="CE57" i="6"/>
  <c r="CH50" i="6"/>
  <c r="CQ61" i="6"/>
  <c r="I866" i="20"/>
  <c r="I859" i="20"/>
  <c r="I845" i="20"/>
  <c r="I831" i="20"/>
  <c r="K831" i="20" s="1"/>
  <c r="F1209" i="20"/>
  <c r="F1188" i="20"/>
  <c r="DK29" i="6"/>
  <c r="DK50" i="6"/>
  <c r="DN58" i="6"/>
  <c r="ET21" i="6"/>
  <c r="EQ60" i="6"/>
  <c r="ET18" i="6"/>
  <c r="ES32" i="6"/>
  <c r="BB26" i="6"/>
  <c r="BA26" i="6"/>
  <c r="DK30" i="6"/>
  <c r="DM28" i="6"/>
  <c r="DM30" i="6" s="1"/>
  <c r="DK51" i="6"/>
  <c r="DN60" i="6"/>
  <c r="EM58" i="6"/>
  <c r="ES28" i="6"/>
  <c r="ES39" i="6"/>
  <c r="EP44" i="6"/>
  <c r="BA22" i="6"/>
  <c r="BB22" i="6"/>
  <c r="BC22" i="6"/>
  <c r="BD43" i="6"/>
  <c r="EU55" i="6"/>
  <c r="BC50" i="6"/>
  <c r="BV61" i="6"/>
  <c r="BY61" i="6"/>
  <c r="CG22" i="6"/>
  <c r="EU20" i="6"/>
  <c r="CI59" i="6"/>
  <c r="CG50" i="6"/>
  <c r="J837" i="20"/>
  <c r="K837" i="20" s="1"/>
  <c r="J865" i="20"/>
  <c r="EM50" i="6"/>
  <c r="ES20" i="6"/>
  <c r="BD36" i="6"/>
  <c r="X61" i="6"/>
  <c r="CG29" i="6"/>
  <c r="G48" i="6"/>
  <c r="EV48" i="6" s="1"/>
  <c r="G1551" i="20"/>
  <c r="DK37" i="6"/>
  <c r="DK22" i="6"/>
  <c r="DJ29" i="6"/>
  <c r="EO60" i="6"/>
  <c r="ES21" i="6"/>
  <c r="EN37" i="6"/>
  <c r="J866" i="20"/>
  <c r="ED61" i="6"/>
  <c r="F1190" i="20"/>
  <c r="J845" i="20"/>
  <c r="CI51" i="6"/>
  <c r="AH51" i="6"/>
  <c r="F1520" i="20"/>
  <c r="AY61" i="6"/>
  <c r="AX61" i="6"/>
  <c r="BC49" i="6"/>
  <c r="BD48" i="6" s="1"/>
  <c r="BD50" i="6" s="1"/>
  <c r="J859" i="20"/>
  <c r="AG61" i="6"/>
  <c r="BE47" i="6"/>
  <c r="EV47" i="6" s="1"/>
  <c r="DI50" i="6"/>
  <c r="J838" i="20"/>
  <c r="Q61" i="6"/>
  <c r="CD61" i="6"/>
  <c r="CR61" i="6"/>
  <c r="EM51" i="6"/>
  <c r="EP50" i="6"/>
  <c r="ET50" i="6" s="1"/>
  <c r="AL35" i="6"/>
  <c r="AL37" i="6" s="1"/>
  <c r="AJ37" i="6"/>
  <c r="CZ61" i="6"/>
  <c r="ET39" i="6"/>
  <c r="H864" i="20"/>
  <c r="H836" i="20"/>
  <c r="H829" i="20"/>
  <c r="DI43" i="6"/>
  <c r="EU31" i="6"/>
  <c r="ES38" i="6"/>
  <c r="AC61" i="6"/>
  <c r="AV61" i="6"/>
  <c r="EU38" i="6"/>
  <c r="BO61" i="6"/>
  <c r="EV41" i="6"/>
  <c r="F1175" i="20"/>
  <c r="F1189" i="20"/>
  <c r="DM59" i="6"/>
  <c r="EH61" i="6"/>
  <c r="DZ61" i="6"/>
  <c r="EM44" i="6"/>
  <c r="BE33" i="6"/>
  <c r="BC33" i="6"/>
  <c r="AH37" i="6"/>
  <c r="AH44" i="6"/>
  <c r="BE36" i="6"/>
  <c r="H837" i="20"/>
  <c r="H844" i="20"/>
  <c r="K864" i="20"/>
  <c r="AJ42" i="6"/>
  <c r="EP36" i="6"/>
  <c r="ES36" i="6"/>
  <c r="AF44" i="6"/>
  <c r="J61" i="6"/>
  <c r="N61" i="6"/>
  <c r="R61" i="6"/>
  <c r="BZ61" i="6"/>
  <c r="T61" i="6"/>
  <c r="BS61" i="6"/>
  <c r="CI60" i="6"/>
  <c r="EP60" i="6"/>
  <c r="CP61" i="6"/>
  <c r="EJ61" i="6"/>
  <c r="EB61" i="6"/>
  <c r="DT61" i="6"/>
  <c r="DV61" i="6"/>
  <c r="DY61" i="6"/>
  <c r="EE61" i="6"/>
  <c r="G24" i="6"/>
  <c r="ET27" i="6"/>
  <c r="W61" i="6"/>
  <c r="AA61" i="6"/>
  <c r="I61" i="6"/>
  <c r="M61" i="6"/>
  <c r="CF29" i="6"/>
  <c r="H863" i="20"/>
  <c r="H821" i="20"/>
  <c r="H842" i="20"/>
  <c r="EL61" i="6"/>
  <c r="EM30" i="6"/>
  <c r="DR61" i="6"/>
  <c r="F1517" i="20"/>
  <c r="G1517" i="20" s="1"/>
  <c r="DM29" i="6"/>
  <c r="F1531" i="20"/>
  <c r="BE26" i="6"/>
  <c r="EN60" i="6"/>
  <c r="BF61" i="6"/>
  <c r="CA61" i="6"/>
  <c r="BE28" i="6"/>
  <c r="G27" i="6"/>
  <c r="EV27" i="6" s="1"/>
  <c r="J856" i="20"/>
  <c r="BL61" i="6"/>
  <c r="BH61" i="6"/>
  <c r="BR61" i="6"/>
  <c r="CB61" i="6"/>
  <c r="CT61" i="6"/>
  <c r="CV61" i="6"/>
  <c r="DB61" i="6"/>
  <c r="BC28" i="6"/>
  <c r="EO30" i="6"/>
  <c r="CU61" i="6"/>
  <c r="P61" i="6"/>
  <c r="U61" i="6"/>
  <c r="Y61" i="6"/>
  <c r="AK61" i="6"/>
  <c r="BP61" i="6"/>
  <c r="CN61" i="6"/>
  <c r="K61" i="6"/>
  <c r="O61" i="6"/>
  <c r="Z61" i="6"/>
  <c r="AI61" i="6"/>
  <c r="CX61" i="6"/>
  <c r="DP61" i="6"/>
  <c r="DS61" i="6"/>
  <c r="DU61" i="6"/>
  <c r="DX61" i="6"/>
  <c r="DW61" i="6"/>
  <c r="EC61" i="6"/>
  <c r="EG61" i="6"/>
  <c r="EK61" i="6"/>
  <c r="AJ18" i="6"/>
  <c r="AH23" i="6"/>
  <c r="DM22" i="6"/>
  <c r="BC19" i="6"/>
  <c r="BE19" i="6"/>
  <c r="AJ21" i="6"/>
  <c r="J862" i="20"/>
  <c r="K862" i="20" s="1"/>
  <c r="J834" i="20"/>
  <c r="J841" i="20"/>
  <c r="J855" i="20"/>
  <c r="CL61" i="6"/>
  <c r="AF59" i="6"/>
  <c r="I834" i="20"/>
  <c r="I841" i="20"/>
  <c r="G20" i="6"/>
  <c r="EV20" i="6" s="1"/>
  <c r="G17" i="6"/>
  <c r="V61" i="6"/>
  <c r="DH61" i="6"/>
  <c r="L61" i="6"/>
  <c r="S61" i="6"/>
  <c r="AN61" i="6"/>
  <c r="AT61" i="6"/>
  <c r="AZ61" i="6"/>
  <c r="BN61" i="6"/>
  <c r="BU61" i="6"/>
  <c r="CM61" i="6"/>
  <c r="F1516" i="20"/>
  <c r="G1516" i="20" s="1"/>
  <c r="F1530" i="20"/>
  <c r="EF61" i="6"/>
  <c r="DO61" i="6"/>
  <c r="G1568" i="20"/>
  <c r="I855" i="20"/>
  <c r="BM61" i="6"/>
  <c r="CJ61" i="6"/>
  <c r="AD61" i="6"/>
  <c r="AH60" i="6"/>
  <c r="AM61" i="6"/>
  <c r="DL22" i="6"/>
  <c r="I820" i="20"/>
  <c r="K820" i="20" s="1"/>
  <c r="DQ61" i="6"/>
  <c r="EA61" i="6"/>
  <c r="EI61" i="6"/>
  <c r="AQ12" i="6"/>
  <c r="AS12" i="6" s="1"/>
  <c r="AU12" i="6" s="1"/>
  <c r="AW12" i="6" s="1"/>
  <c r="AY12" i="6" s="1"/>
  <c r="BA12" i="6" s="1"/>
  <c r="H833" i="20"/>
  <c r="H854" i="20"/>
  <c r="J833" i="20"/>
  <c r="AJ16" i="6"/>
  <c r="EM60" i="6"/>
  <c r="ET11" i="6"/>
  <c r="EQ59" i="6"/>
  <c r="DK59" i="6"/>
  <c r="DN16" i="6"/>
  <c r="J861" i="20"/>
  <c r="EU13" i="6"/>
  <c r="J840" i="20"/>
  <c r="J854" i="20"/>
  <c r="EV13" i="6"/>
  <c r="EM15" i="6"/>
  <c r="DN59" i="6"/>
  <c r="BD16" i="6"/>
  <c r="H840" i="20"/>
  <c r="BQ61" i="6"/>
  <c r="EM16" i="6"/>
  <c r="EM59" i="6"/>
  <c r="ES30" i="6" l="1"/>
  <c r="H896" i="20"/>
  <c r="H903" i="20"/>
  <c r="K854" i="20"/>
  <c r="G1534" i="20"/>
  <c r="EV55" i="6"/>
  <c r="G56" i="6"/>
  <c r="EU49" i="6"/>
  <c r="DJ44" i="6"/>
  <c r="AS61" i="6"/>
  <c r="ES29" i="6"/>
  <c r="DJ30" i="6"/>
  <c r="K856" i="20"/>
  <c r="DI37" i="6"/>
  <c r="ET36" i="6"/>
  <c r="DI23" i="6"/>
  <c r="ET38" i="6"/>
  <c r="H845" i="20"/>
  <c r="DI16" i="6"/>
  <c r="H838" i="20"/>
  <c r="BD44" i="6"/>
  <c r="BB6" i="6"/>
  <c r="H889" i="20"/>
  <c r="K835" i="20"/>
  <c r="EU11" i="6"/>
  <c r="DL60" i="6"/>
  <c r="E1189" i="20"/>
  <c r="BB30" i="6"/>
  <c r="CE16" i="6"/>
  <c r="H831" i="20"/>
  <c r="DI60" i="6"/>
  <c r="H859" i="20"/>
  <c r="DI44" i="6"/>
  <c r="H824" i="20"/>
  <c r="DL16" i="6"/>
  <c r="BA30" i="6"/>
  <c r="CE60" i="6"/>
  <c r="DA61" i="6"/>
  <c r="ET55" i="6"/>
  <c r="BA59" i="6"/>
  <c r="E1210" i="20"/>
  <c r="DL44" i="6"/>
  <c r="CH59" i="6"/>
  <c r="E1173" i="20"/>
  <c r="DJ60" i="6"/>
  <c r="DL30" i="6"/>
  <c r="BD60" i="6"/>
  <c r="ES44" i="6"/>
  <c r="ES50" i="6"/>
  <c r="K861" i="20"/>
  <c r="DI30" i="6"/>
  <c r="BE16" i="6"/>
  <c r="EU17" i="6"/>
  <c r="EU35" i="6"/>
  <c r="EU39" i="6"/>
  <c r="EV39" i="6"/>
  <c r="E1555" i="20"/>
  <c r="G1555" i="20" s="1"/>
  <c r="EP43" i="6"/>
  <c r="EU45" i="6"/>
  <c r="DL50" i="6"/>
  <c r="K865" i="20"/>
  <c r="BB59" i="6"/>
  <c r="E1520" i="20"/>
  <c r="G1520" i="20" s="1"/>
  <c r="K846" i="20"/>
  <c r="BD30" i="6"/>
  <c r="DC61" i="6"/>
  <c r="DJ16" i="6"/>
  <c r="G1580" i="20"/>
  <c r="H891" i="20"/>
  <c r="K845" i="20"/>
  <c r="K833" i="20"/>
  <c r="K838" i="20"/>
  <c r="K866" i="20"/>
  <c r="BA44" i="6"/>
  <c r="BA60" i="6"/>
  <c r="G36" i="6"/>
  <c r="EV36" i="6" s="1"/>
  <c r="E1212" i="20"/>
  <c r="CF59" i="6"/>
  <c r="CC60" i="6"/>
  <c r="CC61" i="6" s="1"/>
  <c r="EU48" i="6"/>
  <c r="CG61" i="6"/>
  <c r="E1172" i="20"/>
  <c r="BA16" i="6"/>
  <c r="CF51" i="6"/>
  <c r="EV34" i="6"/>
  <c r="E1186" i="20"/>
  <c r="CH60" i="6"/>
  <c r="DJ37" i="6"/>
  <c r="G50" i="6"/>
  <c r="EV50" i="6" s="1"/>
  <c r="DL23" i="6"/>
  <c r="K860" i="20"/>
  <c r="E1177" i="20"/>
  <c r="K839" i="20"/>
  <c r="BB60" i="6"/>
  <c r="K859" i="20"/>
  <c r="CF60" i="6"/>
  <c r="G1531" i="20"/>
  <c r="CF16" i="6"/>
  <c r="DG61" i="6"/>
  <c r="CH16" i="6"/>
  <c r="EP61" i="6"/>
  <c r="DK16" i="6"/>
  <c r="DJ23" i="6"/>
  <c r="DM14" i="6"/>
  <c r="EU14" i="6" s="1"/>
  <c r="DN61" i="6"/>
  <c r="AF61" i="6"/>
  <c r="DI59" i="6"/>
  <c r="CE59" i="6"/>
  <c r="G1530" i="20"/>
  <c r="BD59" i="6"/>
  <c r="ES57" i="6"/>
  <c r="E1171" i="20"/>
  <c r="E1206" i="20"/>
  <c r="E1185" i="20"/>
  <c r="K840" i="20"/>
  <c r="DJ59" i="6"/>
  <c r="EO61" i="6"/>
  <c r="E1190" i="20"/>
  <c r="E1211" i="20"/>
  <c r="E1176" i="20"/>
  <c r="DL51" i="6"/>
  <c r="E1208" i="20"/>
  <c r="DL58" i="6"/>
  <c r="E1188" i="20"/>
  <c r="DL37" i="6"/>
  <c r="DL59" i="6"/>
  <c r="E1174" i="20"/>
  <c r="K834" i="20"/>
  <c r="EU22" i="6"/>
  <c r="BE54" i="6"/>
  <c r="EU15" i="6"/>
  <c r="EQ61" i="6"/>
  <c r="EU56" i="6"/>
  <c r="EV43" i="6"/>
  <c r="BC56" i="6"/>
  <c r="ES15" i="6"/>
  <c r="ET22" i="6"/>
  <c r="G29" i="6"/>
  <c r="EV29" i="6" s="1"/>
  <c r="CI61" i="6"/>
  <c r="BE46" i="6"/>
  <c r="BE51" i="6" s="1"/>
  <c r="EU51" i="6" s="1"/>
  <c r="EU57" i="6"/>
  <c r="G32" i="6"/>
  <c r="EU32" i="6"/>
  <c r="BE37" i="6"/>
  <c r="EU37" i="6" s="1"/>
  <c r="EP57" i="6"/>
  <c r="ET52" i="6"/>
  <c r="BC46" i="6"/>
  <c r="BC51" i="6" s="1"/>
  <c r="AL25" i="6"/>
  <c r="BC25" i="6" s="1"/>
  <c r="BC30" i="6" s="1"/>
  <c r="AJ30" i="6"/>
  <c r="AJ51" i="6"/>
  <c r="K855" i="20"/>
  <c r="BC40" i="6"/>
  <c r="EU43" i="6"/>
  <c r="AJ53" i="6"/>
  <c r="AJ59" i="6" s="1"/>
  <c r="AH58" i="6"/>
  <c r="AH61" i="6"/>
  <c r="EN61" i="6"/>
  <c r="EU36" i="6"/>
  <c r="AJ44" i="6"/>
  <c r="AL42" i="6"/>
  <c r="AL44" i="6" s="1"/>
  <c r="ES43" i="6"/>
  <c r="EU29" i="6"/>
  <c r="EV28" i="6"/>
  <c r="EV24" i="6"/>
  <c r="DK61" i="6"/>
  <c r="ET29" i="6"/>
  <c r="K841" i="20"/>
  <c r="G22" i="6"/>
  <c r="EV22" i="6" s="1"/>
  <c r="EV17" i="6"/>
  <c r="AL18" i="6"/>
  <c r="AJ23" i="6"/>
  <c r="AL21" i="6"/>
  <c r="AJ60" i="6"/>
  <c r="ET15" i="6"/>
  <c r="BB12" i="6"/>
  <c r="EM61" i="6"/>
  <c r="EV15" i="6"/>
  <c r="BD12" i="6"/>
  <c r="CH61" i="6" l="1"/>
  <c r="DL61" i="6"/>
  <c r="BD61" i="6"/>
  <c r="ET43" i="6"/>
  <c r="BA61" i="6"/>
  <c r="DJ61" i="6"/>
  <c r="CE61" i="6"/>
  <c r="DI61" i="6"/>
  <c r="EV11" i="6"/>
  <c r="DM16" i="6"/>
  <c r="BB61" i="6"/>
  <c r="CF61" i="6"/>
  <c r="DM60" i="6"/>
  <c r="DM61" i="6" s="1"/>
  <c r="G46" i="6"/>
  <c r="G51" i="6" s="1"/>
  <c r="EV51" i="6" s="1"/>
  <c r="ET57" i="6"/>
  <c r="BE42" i="6"/>
  <c r="G42" i="6" s="1"/>
  <c r="G44" i="6" s="1"/>
  <c r="AJ58" i="6"/>
  <c r="AL53" i="6"/>
  <c r="AL58" i="6" s="1"/>
  <c r="EU46" i="6"/>
  <c r="AL30" i="6"/>
  <c r="BE25" i="6"/>
  <c r="EV32" i="6"/>
  <c r="G37" i="6"/>
  <c r="EV37" i="6" s="1"/>
  <c r="BC42" i="6"/>
  <c r="BC44" i="6" s="1"/>
  <c r="AL23" i="6"/>
  <c r="BC18" i="6"/>
  <c r="AL60" i="6"/>
  <c r="BC21" i="6"/>
  <c r="AJ61" i="6"/>
  <c r="BE21" i="6"/>
  <c r="G21" i="6" s="1"/>
  <c r="BE18" i="6"/>
  <c r="EV46" i="6" l="1"/>
  <c r="EU42" i="6"/>
  <c r="BE44" i="6"/>
  <c r="EV44" i="6" s="1"/>
  <c r="BE53" i="6"/>
  <c r="BE58" i="6" s="1"/>
  <c r="BC53" i="6"/>
  <c r="BC58" i="6" s="1"/>
  <c r="G16" i="6"/>
  <c r="EV16" i="6" s="1"/>
  <c r="EV14" i="6"/>
  <c r="AL59" i="6"/>
  <c r="AL61" i="6" s="1"/>
  <c r="BC60" i="6"/>
  <c r="EV42" i="6"/>
  <c r="G30" i="6"/>
  <c r="BE30" i="6"/>
  <c r="EU25" i="6"/>
  <c r="EU18" i="6"/>
  <c r="BE23" i="6"/>
  <c r="EU21" i="6"/>
  <c r="G60" i="6"/>
  <c r="BE60" i="6"/>
  <c r="BC23" i="6"/>
  <c r="BE59" i="6" l="1"/>
  <c r="BE61" i="6" s="1"/>
  <c r="EU44" i="6"/>
  <c r="BC59" i="6"/>
  <c r="BC61" i="6" s="1"/>
  <c r="G53" i="6"/>
  <c r="EU53" i="6"/>
  <c r="EV21" i="6"/>
  <c r="EV25" i="6"/>
  <c r="EV30" i="6"/>
  <c r="EU30" i="6"/>
  <c r="G23" i="6"/>
  <c r="EV23" i="6" s="1"/>
  <c r="EV18" i="6"/>
  <c r="G59" i="6" l="1"/>
  <c r="G61" i="6" s="1"/>
  <c r="G5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4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387" authorId="0" shapeId="0" xr:uid="{00000000-0006-0000-0400-000003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88" authorId="0" shapeId="0" xr:uid="{00000000-0006-0000-0400-000004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38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88" authorId="0" shapeId="0" xr:uid="{00000000-0006-0000-0400-000006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88" authorId="0" shapeId="0" xr:uid="{00000000-0006-0000-0400-000007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88" authorId="0" shapeId="0" xr:uid="{00000000-0006-0000-0400-000008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88" authorId="0" shapeId="0" xr:uid="{00000000-0006-0000-0400-000009000000}">
      <text>
        <r>
          <rPr>
            <b/>
            <sz val="9"/>
            <color rgb="FF000000"/>
            <rFont val="Tahoma"/>
            <family val="2"/>
          </rPr>
          <t>YULIED.PENARANDA:</t>
        </r>
        <r>
          <rPr>
            <sz val="9"/>
            <color rgb="FF000000"/>
            <rFont val="Tahoma"/>
            <family val="2"/>
          </rPr>
          <t xml:space="preserve">
</t>
        </r>
        <r>
          <rPr>
            <sz val="9"/>
            <color rgb="FF000000"/>
            <rFont val="Tahoma"/>
            <family val="2"/>
          </rPr>
          <t>Extinción de la obligación a cargo de la SDA.</t>
        </r>
      </text>
    </comment>
  </commentList>
</comments>
</file>

<file path=xl/sharedStrings.xml><?xml version="1.0" encoding="utf-8"?>
<sst xmlns="http://schemas.openxmlformats.org/spreadsheetml/2006/main" count="5457" uniqueCount="823">
  <si>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</si>
  <si>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</si>
  <si>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</si>
  <si>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</si>
  <si>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</si>
  <si>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</si>
  <si>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</si>
  <si>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</si>
  <si>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</si>
  <si>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</si>
  <si>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</si>
  <si>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</si>
  <si>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</si>
  <si>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</si>
  <si>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</si>
  <si>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</si>
  <si>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</si>
  <si>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</si>
  <si>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</si>
  <si>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</si>
  <si>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</si>
  <si>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</si>
  <si>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</si>
  <si>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</si>
  <si>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</si>
  <si>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</si>
  <si>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</si>
  <si>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</si>
  <si>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</si>
  <si>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</si>
  <si>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</si>
  <si>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</si>
  <si>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</si>
  <si>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</si>
  <si>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</si>
  <si>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</si>
  <si>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</si>
  <si>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</si>
  <si>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</si>
  <si>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</si>
  <si>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</si>
  <si>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</si>
  <si>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</si>
  <si>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</si>
  <si>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</si>
  <si>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</si>
  <si>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</si>
  <si>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</si>
  <si>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</si>
  <si>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</si>
  <si>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</si>
  <si>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</si>
  <si>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</si>
  <si>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</si>
  <si>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</si>
  <si>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</si>
  <si>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</si>
  <si>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</si>
  <si>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</si>
  <si>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</si>
  <si>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</si>
  <si>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</si>
  <si>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</si>
  <si>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</si>
  <si>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</si>
  <si>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</si>
  <si>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</si>
  <si>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</si>
  <si>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</si>
  <si>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</si>
  <si>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</si>
  <si>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</si>
  <si>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</si>
  <si>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</si>
  <si>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</si>
  <si>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</si>
  <si>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</si>
  <si>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</si>
  <si>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</si>
  <si>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</si>
  <si>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</si>
  <si>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</si>
  <si>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</si>
  <si>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</si>
  <si>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</si>
  <si>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</si>
  <si>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</si>
  <si>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</si>
  <si>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</si>
  <si>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</si>
  <si>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</si>
  <si>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</si>
  <si>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</si>
  <si>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</si>
  <si>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</si>
  <si>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</si>
  <si>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</si>
  <si>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</si>
  <si>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</si>
  <si>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</si>
  <si>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</si>
  <si>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</si>
  <si>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</si>
  <si>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</si>
  <si>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</si>
  <si>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</si>
  <si>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</si>
  <si>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</si>
  <si>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</si>
  <si>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</si>
  <si>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</si>
  <si>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</si>
  <si>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</si>
  <si>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</si>
  <si>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</si>
  <si>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</si>
  <si>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</si>
  <si>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</si>
  <si>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</si>
  <si>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</si>
  <si>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</si>
  <si>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</si>
  <si>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</si>
  <si>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</si>
  <si>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</si>
  <si>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</si>
  <si>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</si>
  <si>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</si>
  <si>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</si>
  <si>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</si>
  <si>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</si>
  <si>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</si>
  <si>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</si>
  <si>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</si>
  <si>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</si>
  <si>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</si>
  <si>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</si>
  <si>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</si>
  <si>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</si>
  <si>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</si>
  <si>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</si>
  <si>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</si>
  <si>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</si>
  <si>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</si>
  <si>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</si>
  <si>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</si>
  <si>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</si>
  <si>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</si>
  <si>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</si>
  <si>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</si>
  <si>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</si>
  <si>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</si>
  <si>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</si>
  <si>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</si>
  <si>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</si>
  <si>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</si>
  <si>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</si>
  <si>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</si>
  <si>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</si>
  <si>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</si>
  <si>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</si>
  <si>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</si>
  <si>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</si>
  <si>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</si>
  <si>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</si>
  <si>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</si>
  <si>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</si>
  <si>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</si>
  <si>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</si>
  <si>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</si>
  <si>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</si>
  <si>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</si>
  <si>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</si>
  <si>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</si>
  <si>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</si>
  <si>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</si>
  <si>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</si>
  <si>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</si>
  <si>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</si>
  <si>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</si>
  <si>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</si>
  <si>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</si>
  <si>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</si>
  <si>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</si>
  <si>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</si>
  <si>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</si>
  <si>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</si>
  <si>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</si>
  <si>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</si>
  <si>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</si>
  <si>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</si>
  <si>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</si>
  <si>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</si>
  <si>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</si>
  <si>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</si>
  <si>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</si>
  <si>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</si>
  <si>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</si>
  <si>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</si>
  <si>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</si>
  <si>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</si>
  <si>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</si>
  <si>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</si>
  <si>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</si>
  <si>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</si>
  <si>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</si>
  <si>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</si>
  <si>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</si>
  <si>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</si>
  <si>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</si>
  <si>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</si>
  <si>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</si>
  <si>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</si>
  <si>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</si>
  <si>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</si>
  <si>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</si>
  <si>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</si>
  <si>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</si>
  <si>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</si>
  <si>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</si>
  <si>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</si>
  <si>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</si>
  <si>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</si>
  <si>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</si>
  <si>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</si>
  <si>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</si>
  <si>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</si>
  <si>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</si>
  <si>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</si>
  <si>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</si>
  <si>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</si>
  <si>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</si>
  <si>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</si>
  <si>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</si>
  <si>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</si>
  <si>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</si>
  <si>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</si>
  <si>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</si>
  <si>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</si>
  <si>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</si>
  <si>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</si>
  <si>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</si>
  <si>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</si>
  <si>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</si>
  <si>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</si>
  <si>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</si>
  <si>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</si>
  <si>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</si>
  <si>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</si>
  <si>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</si>
  <si>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</si>
  <si>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</si>
  <si>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</si>
  <si>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</si>
  <si>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</si>
  <si>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</si>
  <si>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</si>
  <si>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</si>
  <si>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</si>
  <si>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</si>
  <si>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</si>
  <si>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</si>
  <si>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</si>
  <si>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</si>
  <si>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</si>
  <si>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</si>
  <si>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</si>
  <si>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</si>
  <si>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</si>
  <si>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</si>
  <si>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</si>
  <si>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</si>
  <si>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</si>
  <si>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</si>
  <si>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</si>
  <si>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</si>
  <si>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</si>
  <si>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</si>
  <si>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</si>
  <si>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</si>
  <si>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</si>
  <si>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</si>
  <si>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</si>
  <si>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</si>
  <si>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</si>
  <si>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</si>
  <si>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</si>
  <si>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</si>
  <si>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</si>
  <si>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</si>
  <si>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</si>
  <si>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</si>
  <si>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</si>
  <si>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</si>
  <si>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</si>
  <si>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</si>
  <si>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</si>
  <si>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</si>
  <si>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</si>
  <si>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</si>
  <si>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</si>
  <si>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</si>
  <si>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</si>
  <si>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</si>
  <si>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</si>
  <si>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Ruido</t>
  </si>
  <si>
    <t>Red de Ruido</t>
  </si>
  <si>
    <t>Realizar el 100% de las acciones para operar, mantener y ampliar la Red de Monitoreo de Ruido Ambiental de Bogotá para la identificación de la población urbana afectada por ruido en el distrito.</t>
  </si>
  <si>
    <t>Atender el 100% de los conceptos técnicos que recomiendan actuaciones administrativas sancionatorias durante la vigencia para mejorar la eficiencia del proceso sancionatorio ambiental</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</si>
  <si>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</si>
  <si>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</si>
  <si>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</si>
  <si>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</si>
  <si>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</si>
  <si>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</si>
  <si>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</si>
  <si>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</si>
  <si>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</si>
  <si>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</si>
  <si>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</si>
  <si>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</si>
  <si>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</si>
  <si>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</si>
  <si>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Mantener las condiciones ambientales atmosféricas de la ciudad, de acuerdo con la norma nacional de calidad del aire con el objetivo de mejorar las condiciones de vida de la población de la ciudad.</t>
  </si>
  <si>
    <t xml:space="preserve">Realizar 8 informes de acciones de evaluación, control y seguimiento a fuentes fijas y fuentes móviles incluidos centros de diagnóstico automotor que operan en el distrito capital.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</si>
  <si>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</si>
  <si>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</si>
  <si>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</si>
  <si>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</si>
  <si>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</si>
  <si>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</si>
  <si>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</si>
  <si>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</si>
  <si>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</si>
  <si>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</si>
  <si>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</si>
  <si>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</si>
  <si>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</si>
  <si>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</si>
  <si>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</si>
  <si>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</si>
  <si>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</si>
  <si>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</si>
  <si>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</si>
  <si>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</si>
  <si>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</si>
  <si>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</si>
  <si>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</si>
  <si>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</si>
  <si>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</si>
  <si>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</si>
  <si>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</si>
  <si>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</si>
  <si>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</si>
  <si>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</si>
  <si>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</si>
  <si>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</si>
  <si>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</si>
  <si>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</si>
  <si>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</si>
  <si>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</si>
  <si>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</si>
  <si>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</si>
  <si>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</si>
  <si>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</si>
  <si>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</si>
  <si>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</si>
  <si>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</si>
  <si>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</si>
  <si>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</si>
  <si>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</si>
  <si>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</si>
  <si>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</si>
  <si>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</si>
  <si>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</si>
  <si>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</si>
  <si>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</si>
  <si>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</si>
  <si>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</si>
  <si>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</si>
  <si>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</si>
  <si>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</si>
  <si>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</si>
  <si>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</si>
  <si>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</si>
  <si>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</si>
  <si>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</si>
  <si>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</si>
  <si>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</si>
  <si>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</si>
  <si>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</si>
  <si>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</si>
  <si>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</si>
  <si>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</si>
  <si>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</si>
  <si>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</si>
  <si>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</si>
  <si>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</si>
  <si>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</si>
  <si>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</si>
  <si>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</si>
  <si>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</si>
  <si>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</si>
  <si>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</si>
  <si>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</si>
  <si>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</si>
  <si>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</si>
  <si>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</si>
  <si>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</si>
  <si>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</si>
  <si>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</si>
  <si>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</si>
  <si>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</si>
  <si>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</si>
  <si>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</si>
  <si>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</si>
  <si>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</si>
  <si>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</si>
  <si>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</si>
  <si>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</si>
  <si>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</si>
  <si>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</si>
  <si>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</si>
  <si>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</si>
  <si>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</si>
  <si>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</si>
  <si>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</si>
  <si>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</si>
  <si>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</si>
  <si>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</si>
  <si>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</si>
  <si>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</si>
  <si>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</si>
  <si>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</si>
  <si>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</si>
  <si>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</si>
  <si>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</si>
  <si>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</si>
  <si>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</si>
  <si>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</si>
  <si>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</si>
  <si>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</si>
  <si>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</si>
  <si>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</si>
  <si>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</si>
  <si>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</si>
  <si>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</si>
  <si>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</si>
  <si>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</si>
  <si>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</si>
  <si>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</si>
  <si>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</si>
  <si>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</si>
  <si>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</si>
  <si>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</si>
  <si>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</si>
  <si>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</si>
  <si>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</si>
  <si>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</si>
  <si>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</si>
  <si>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</si>
  <si>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</si>
  <si>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</si>
  <si>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</si>
  <si>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</si>
  <si>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</si>
  <si>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</si>
  <si>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</si>
  <si>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</si>
  <si>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</si>
  <si>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</si>
  <si>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</si>
  <si>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</si>
  <si>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</si>
  <si>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</si>
  <si>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</si>
  <si>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</si>
  <si>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</si>
  <si>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</si>
  <si>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</si>
  <si>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</si>
  <si>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</si>
  <si>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</si>
  <si>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</si>
  <si>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</si>
  <si>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</si>
  <si>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</si>
  <si>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</si>
  <si>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</si>
  <si>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</si>
  <si>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</si>
  <si>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</si>
  <si>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</si>
  <si>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</si>
  <si>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</si>
  <si>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</si>
  <si>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</si>
  <si>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</si>
  <si>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</si>
  <si>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</si>
  <si>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</si>
  <si>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</si>
  <si>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</si>
  <si>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</si>
  <si>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</si>
  <si>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</si>
  <si>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</si>
  <si>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</si>
  <si>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</si>
  <si>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</si>
  <si>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</si>
  <si>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</si>
  <si>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</si>
  <si>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</si>
  <si>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</si>
  <si>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</si>
  <si>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</si>
  <si>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</si>
  <si>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En la vigencia 2022, se presenta un avance en el desarrollo de 11 actuaciones técnicas correspondiente a:
El avance 2022 es: 7 visitas y 4 actuaciones de otros documentos técnicos
Total, Actuaciones acumuladas en el PDD 1.399 actuaciones.</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</si>
  <si>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</si>
  <si>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</si>
  <si>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</si>
  <si>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</si>
  <si>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</si>
  <si>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</si>
  <si>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</si>
  <si>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</si>
  <si>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</si>
  <si>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</si>
  <si>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</si>
  <si>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</si>
  <si>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</si>
  <si>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</si>
  <si>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</si>
  <si>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</si>
  <si>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</si>
  <si>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</si>
  <si>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</si>
  <si>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</si>
  <si>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</si>
  <si>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</si>
  <si>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</si>
  <si>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</si>
  <si>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</si>
  <si>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</si>
  <si>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</si>
  <si>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</si>
  <si>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</si>
  <si>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</si>
  <si>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</si>
  <si>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</si>
  <si>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</si>
  <si>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</si>
  <si>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</si>
  <si>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</si>
  <si>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</si>
  <si>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</si>
  <si>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</si>
  <si>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</si>
  <si>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</si>
  <si>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</si>
  <si>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</si>
  <si>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</si>
  <si>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</si>
  <si>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</si>
  <si>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</si>
  <si>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</si>
  <si>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</si>
  <si>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Para la vigencia del Proyecto de Inversión del año 2022 se han realizado seiscientos doce (612) acciones de evaluación, control y seguimiento:
- Veintitrés (23) operativos de control a zonas de Resto del Distrito.
- Ciento veintisiete (127) visitas de evaluación a elementos mayores.
- Cuarenta y tres (43) documentos técnicos firmados para el resto del Distrito.
- Seis (06) cargues de información a la plataforma SIIPEV.
- Cuatrocientos trece (413) evaluaciones a solicitudes de elementos de publicidad exterior visual.
Lo anterior, dando un avance para el cuatrienio de 6.854 acciones de evaluación, control y seguimiento: 137 operativos de control y seguimiento, 377 visitas de evaluación a elementos mayores, 250 documentos técnicos, 54 visitas a elementos menores, 19 cargues de información a la plataforma SIIPEV, 6.017 evaluaciones a solicitudes de elementos de publicidad exterior visual. 
JULIO:
Durante el mes de Julio, se realizaron sesenta y cinco (65) acciones en cumplimiento de la meta:
- Un (01) operativo de control a las zonas de Resto del Distrito
- Veintiocho (28) visitas de evaluación a elementos mayores.
- Diecisiete (17) documentos técnicos firmados para el resto del Distrito.
- Un (01) cargue de información a la plataforma SIIPEV.
- Dieciocho (18) evaluaciones a solicitudes de elementos de publicidad exterior visual.
</t>
  </si>
  <si>
    <t>En la vigencia 2022 se han realizado un total de 823 acciones, 64,70% de lo planeado, 47,1% del PDD, en 699 visitas y 124 otras acciones.
I trimestre: 28 efectivas con medición, 12 efectivas sin medición (sensibilizaciones, actos administrativos) 39 efectivas cerrar el caso y 117 no efectivas reprogramaciones. Otras acciones 9 informes acciones populares AP, 4 estudio de ruido, 10 mesas de trabajo, 3 socializaciones y 27 SUGA.
II trimestre: 23 efectivas con medición, 191 efectivas sin medición (141, sensibilizaciones, actos administrativos y 50 para cerrar el caso) y 169 no efectivas reprogramaciones. Otras acciones 15 informes de AP, 4 socializaciones, 7 estudios de ruido, 16 mesas de trabajo, 11 SUGA.
Julio: 120 visitas técnicas correspondientes a: 8 visitas efectivas con medición, 63 efectivas sin medición (40 sensibilizaciones, actos administrativos y 23 para cerrar el caso) y 49 visitas no efectivas reprogramar. Otras acciones 4 informes AP, 3 presentaciones o socializaciones, 1 estudio de ruido, 6 mesas de trabajo y 4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</si>
  <si>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realizó estudio de mercado para la adquisición de baterías secas de 12 voltios, estaciones meteorológicas y calibración de sonómetros. Además, se realizó el desmonte de 20 estaciones de monitoreo de ruido ambiental ubicadas en los CAI de la ciudad con el objetivo de salvaguarda su integridad física por posibles actos bandalicos y se generó el avance para la re instalación de la mismas.</t>
  </si>
  <si>
    <t>Se realizaron mantenimientos preventivos y correctivos, validación y análisis de datos y publicación de informes periódicos.
Para el mes de julio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julio fue del 92,7% el cual es promedio de los datos validos de todos los parámetros de la red en las estaciones que se genera a través de Envista.  Para el mes de julio se completó el análisis de datos y la redacción del informe mensual de junio de 2022 y la revisión pendiente del informe anual de 2021, completando su elaboración y posterior publicación.</t>
  </si>
  <si>
    <t xml:space="preserve">En el marco de la gestión integral de la calidad del aire de Bogotá, para el año 2022 se contempla la entrega de seis (6) documentos técnicos, de los cuales, tres (3) se presentaron en el primer semestre del año, siendo: 
•	Informe semestral de Seguimiento al Plan Estratégico para la Gestión Integral de la Calidad del Aire – Plan Aire 2030 (I-2022).
•	Informe semestral (I-2022) de gestión del Sistema de Alertas Tempranas Ambientales en su componente aire.
•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estructura y actualización de información para los respectivos cálculos. </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</si>
  <si>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julio del año en curso, el acumulado es de 1,17 de avance en la ejecución de la meta.</t>
  </si>
  <si>
    <t>La Secretaría Distrital de Ambiente del 01 de enero al 31 de julio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994
No de Conceptos Técnicos acogidos jurídicamente mediante acto administrativo: 994
Avance total corte 31 de julio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</si>
  <si>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 xml:space="preserve">
AGOSTO:
Durante el mes de Agosto, se realizaron noventa y nueve (99) acciones en cumplimiento de la meta:
- Un (01) operativo de control a las zonas de Resto del Distrito
- Veintiún (21) visitas de evaluación a elementos mayores.
- Trece (13) documentos técnicos firmados para el resto del Distrito.
- Un (01) cargue de información a la plataforma SIIPEV.
- Sesenta y tres (63) evaluaciones a solicitudes de elementos de publicidad exterior visual.
Para la vigencia del Proyecto de Inversión del año 2022 se han realizado setecientos once (711) acciones de evaluación, control y seguimiento:
- Veinticuatro (24) operativos de control a zonas de Resto del Distrito.
- Ciento cuarenta y ocho (148) visitas de evaluación a elementos mayores.
- Cincuenta y seis (56) documentos técnicos firmados para el resto del Distrito.
- Siete (07) cargues de información a la plataforma SIIPEV.
- Cuatrocientos setenta y seis (476) evaluaciones a solicitudes de elementos de publicidad exterior visual.</t>
  </si>
  <si>
    <t>Vigencia 2022 Total 940 acciones, 64,70% de lo planeado del año, 49,5% del PDD.
I trim: 28 con medición, 12 sin medición, 39 cerrar el caso y 117 reprogramar. Otras acciones 9 informes acciones populares AP, 4 estudio de ruido, 10 mesas de trabajo, 3 socializaciones y 27 SUGA.
II trim: 23 con medición, 191 sin medición (141, sensibilizaciones, actos administrativos y 50 cerrar el caso) y 169 reprogramar. Otras acciones 15 informes AP, 4 socializaciones, 7 estudios de ruido, 16 mesas de trabajo, 11 SUGA.
Julio 8 con medición, 63 sin medición (40 sensibilizaciones, actos administrativos y 23 cerrar el caso) y 49 reprogramar. Otras acciones 4 informes AP, 3 presentaciones, 1 estudio de ruido, 6 mesas de trabajo y 4 SUGA  
Agosto 100 visitas así: 4 con medición, 41 sin medición (21 sensibilizaciones, seguimiento a actos administrativos y 20 cerrar el caso) y 55 reprogramar. Otras acciones de gestión 17: 6 informes AP, 1 presentaciones, 3 estudios de ruido, 2 mesas de trabajo y 5 SUGA.</t>
  </si>
  <si>
    <t>En el marco de la gestión integral de la calidad del aire de Bogotá, para el año 2022 se contempla la entrega de seis (6) documentos técnicos, de los cuales, tres (3) se presentaron en el primer semestre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validación de datos y reestructuración del documento.</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</si>
  <si>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Agosto. Se continua con la operación de la Red al 100 % en su ejecución."</t>
  </si>
  <si>
    <t>La Secretaría Distrital de Ambiente del 01 de enero al 31 de agosto de 2022 atendió el 92,48%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1144
No de Conceptos Técnicos acogidos jurídicamente mediante acto administrativo: 1058
Avance total corte 31 de Agosto de 2022 (Vigencia): 92,48%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</si>
  <si>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agosto del año en curso, el acumulado es de 1,34 de avance en la ejecución de la meta.</t>
  </si>
  <si>
    <t>Se realizaron mantenimientos preventivos y correctivos, validación y análisis de datos y publicación de informes periódicos.
Para el mes de agosto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agosto se completó el análisis de datos y la redacción del informe mensual de julio de 2022, completando su elaboración y posterior publicación.</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</si>
  <si>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
Avance total corte 30 de septiembre de 2022 (Vigencia): 90,19%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</si>
  <si>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Durante el mes de Septiembre, se realizaron ciento setenta y uno (171) acciones en cumplimiento de la meta:
- Quince (15) operativos de control a las zonas de Resto del Distrito
- Diecinueve (19) visitas de evaluación a elementos mayores.
- Quince (15) documentos técnicos firmados para el resto del Distrito.
- Un (01) cargue de información a la plataforma SIIPEV.
- Ciento veintiún (121) evaluaciones a solicitudes de elementos de publicidad exterior visual.
Para la vigencia del Proyecto de Inversión del año 2022 se han realizado ochocientos ochenta y dos (882) acciones de evaluación, control y seguimiento: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</si>
  <si>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Total vigencia 2022: 1082 acciones, 85,1% de lo planeado y 52,6% del PDD.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</si>
  <si>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t>
  </si>
  <si>
    <t>En el tercer trimestre de la vigencia 2022, se realizaron mantenimientos preventivos y correctivos, validación y análisis de datos y publicación de informes periódicos.
Para el mes de septiembre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septiembre se completó el análisis de datos y la redacción del informe mensual de julio de 2022, completando su elaboración y posterior publicación.</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</si>
  <si>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</si>
  <si>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Durante el mes de Octubre, se realizaron ciento tres (103) acciones en cumplimiento de la meta:
- Diez (10) operativos de control a las zonas de Resto del Distrito
- Once (11) visitas de evaluación a elementos mayores.
- Seis (6) documentos técnicos firmados para el resto del Distrito.
- Un (01) cargue de información a la plataforma SIIPEV.
- Setenta y cinco (75) evaluaciones a solicitudes de elementos de publicidad exterior visual.
Para la vigencia del Proyecto de Inversión del año 2022 se han realizado novecientos ochenta y cinco (985) acciones de evaluación, control y seguimiento:
- Cuarenta y nueve (49) operativos de control a zonas de Resto del Distrito.
- Ciento setenta y ocho (178) visitas de evaluación a elementos mayores.
- Setenta y siete (77) documentos técnicos firmados para el resto del Distrito.
- Nueve (09) cargues de información a la plataforma SIIPEV.
- Seiscientos setenta y dos (672) evaluaciones a solicitudes de elementos de publicidad exterior visual.
Lo anterior, dando un avance para el cuatrienio de 7.227 acciones de evaluación, control y seguimiento: 163 operativos de control y seguimiento, 428 visitas de evaluación a elementos mayores, 284 documentos técnicos, 54 visitas a elementos menores, 22 cargues de información a la plataforma SIIPEV, 6.276 evaluaciones a solicitudes de elementos de publicidad exterior visual.</t>
  </si>
  <si>
    <t>Total, vigencia 2022; 1203 acciones, 86,7% de lo planeado año y 55,1% del PDD.
o	I trimestre: 28 con medición, 12 sin medición, 39 cerrar el caso y 117 reprogramar. Otras acciones 9 informes acciones populares AP, 4 estudio de ruido, 10 mesas de trabajo, 3 socializaciones y 27 SUGA.
o	II trimestre: 23 con medición, 191 sin medición (141, sensibilizaciones, actos administrativos y 50 cerrar el caso) y 169 reprogramar. Otras acciones 15 informes AP, 4 socializaciones, 7 estudios de ruido, 16 mesas de trabajo, 11 SUGA.
o	III trimestre: 17 con medición, 160 sin medición (93 sensibilizaciones, actos administrativos y 67 cierre de caso) y 165 para reprogramar. Otras acciones 15 informes AP, 5 socializaciones, 8 estudios de ruido, 12 mesas de trabajo, 15 SUGA.
o	Octubre: 2 con medición 47 sin medición (33 sensibilizaciones, actos administrativos y 14 cerrar el caso) y 52 no efectivas para reprogramar. Otras acciones 5 informes AP, 1 presentaciones, 3 estudios de ruido, 4 mesas de trabajo y 7 oficios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</si>
  <si>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t>
  </si>
  <si>
    <t>Se realizaron mantenimientos preventivos y correctivos, validación y análisis de datos y publicación de informes periódicos.
Para el mes de Octubre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Octubre se completó el análisis de datos y la redacción del  informe mensual, completando su elaboración y posterior publicación.</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</si>
  <si>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</si>
  <si>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La Secretaría Distrital de Ambiente del 01 de enero al 31 de octubre de 2022 atendió el 92,85%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1498
No de Conceptos Técnicos acogidos jurídicamente mediante acto administrativo: 1391
Avance total corte 31 de octubre de 2022 (Vigencia): 92,85%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</si>
  <si>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Formular 30 documentos técnicos de formulación, seguimiento o evaluación de la gestión integral de la calidad del aire de Bogotá</t>
  </si>
  <si>
    <t>En la vigencia del Año 2022; 1340 acciones 92,3% planeado y 58,0% del PDD.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Octubre: 2 con medición 47 sin medición (33 sensibilizaciones, sancionatorio, 14 cerrar caso), 52 reprogramar. Otras acciones 5 AP, 1 presentaciones, 3 ER, 4 mesa de trabajo, 7 SUGA
Noviembre: 5 con medición, 56 sin medición (39 sensibilizaciones, sancionatorio, 17 cerrar caso) y 56 reprogramar. Otras acciones 6 AP, 1 presentación, 5 mesa de trabajo, 8 SUGA.</t>
  </si>
  <si>
    <t>Durante el mes de Noviembre, se realizaron noventa y cuatro (94) acciones en cumplimiento de la meta:
- Cuatro (04) operativos de control a las zonas de Resto del Distrito
- Trece (13) visitas de evaluación a elementos mayores.
- Once (11) documentos técnicos firmados para el resto del Distrito.
- Un (01) cargue de información a la plataforma SIIPEV.
- Sesenta y cinco (65) evaluaciones a solicitudes de elementos de publicidad exterior visual.
Para la vigencia del Proyecto de Inversión del año 2022 se han realizado un mil setenta y nueve (1.079) acciones de evaluación, control y seguimiento:
- Cincuenta y tres (53) operativos de control a zonas de Resto del Distrito.
- Ciento noventa y uno (191) visitas de evaluación a elementos mayores.
- Ochenta y ocho (88) documentos técnicos firmados para el resto del Distrito.
- Diez (10) cargues de información a la plataforma SIIPEV.
- Setecientos treinta y siete (737) evaluaciones a solicitudes de elementos de publicidad exterior visual.
Lo anterior, dando un avance para el cuatrienio de 7.321 acciones de evaluación, control y seguimiento: 167 operativos de control y seguimiento, 441 visitas de evaluación a elementos mayores, 295 documentos técnicos, 54 visitas a elementos menores, 23 cargues de información a la plataforma SIIPEV, 6.341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</si>
  <si>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el desmonte de 20 estaciones de monitoreo de ruido ambiental ubicadas en los CAI de la ciudad con el objetivo de salvaguarda su integridad física, se genera informe de los indicadores relacionados con el día sin carro y moto en la ciudad de Bogotá.</t>
  </si>
  <si>
    <t>La Secretaría Distrital de Ambiente del 01 de enero al 30 de noviembre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1.593
No de Conceptos Técnicos acogidos jurídicamente mediante acto administrativo: 1.593
Avance total corte 30 de noviembre de 2022 (Vigencia): 100%  
Acorde con la programación establecida, durante el mes de enero a noviembre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</si>
  <si>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Noviembre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Noviembre se completó el análisis de datos y la redacción del  informe mensual, completando su elaboración y posterior publicación.</t>
  </si>
  <si>
    <t xml:space="preserve">Formular 30 documentos técnicos de formulación, seguimiento o evaluación de la gestión integral de la calidad del aire de Bogotá
</t>
  </si>
  <si>
    <t>En el marco de la gestión integral de la calidad del aire de Bogotá, para el año 2022 se contempla la entrega de siete (7)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cuatro (4)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Un (01) documento del análisis de las acciones resultado del impacto del mantenimiento de la malla vial en la Calidad del Aire.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</si>
  <si>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Noviembre del año en curso, el acumulado es de 1,85 de avance en la ejecución de la meta.</t>
  </si>
  <si>
    <t>En el cumplimiento de los dos (02) informes de gestión programados para la vigencia 2022;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Diciembre del año en curso, el acumulado es de 2 (100%) de avance en la ejecución de la meta.  con un total de 841 actuaciones técnicas entre conceptos, informes técnicos y oficios producto de 629 vistas técnicas en atención a  1471 solicitudes.</t>
  </si>
  <si>
    <t xml:space="preserve">Año 2022:  1418 acciones, 80 con medicion, 531 sin medicion (327 sensibilizaciones, inventarios, actos administrativos, 204 cerrar el caso), 591 no efectivas discriminadas asi: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IV trimestre: 12 con medición, 129 sin medición (80 sensibilizaciones, sancionatorio, 49 cerrar caso), 140 reprogramar. Otras acciones 17 AP, 3 presentaciones, 3 estudios de ruido, 17 mesa de trabajo, 15 SUGA.
</t>
  </si>
  <si>
    <t>Para la vigencia del Proyecto de Inversión del año 2022 se han realizado un mil ciento ochenta y tres (1.183) acciones de evaluación, control y seguimiento:
- Setenta y dos (72) operativos de control a zonas de Resto del Distrito.
- Doscientos once (211) visitas de evaluación a elementos mayores.
- Ciento ocho (108) documentos técnicos firmados para el resto del Distrito.
- Once (11) cargues de información a la plataforma SIIPEV.
- Setecientos ochenta y uno (781) evaluaciones a solicitudes de elementos de publicidad exterior visual. 
Durante el mes de Diciembre, se realizaron ciento cuatro (104) acciones en cumplimiento de la meta:
- Diecinueve (19) operativos de control a las zonas de Resto del Distrito
- Veinte (20) visitas de evaluación a elementos mayores.
- Veinte (20) documentos técnicos firmados para el resto del Distrito.
- Un (01) cargue de información a la plataforma SIIPEV.
- Cuarenta y cuatro (44) evaluaciones a solicitudes de elementos de publicidad exterior visual.
Lo anterior, dando un avance para el cuatrienio de 7.425 acciones de evaluación, control y seguimiento: 186 operativos de control y seguimiento, 461 visitas de evaluación a elementos mayores, 315 documentos técnicos, 54 visitas a elementos menores, 24 cargues de información a la plataforma SIIPEV, 6.385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</si>
  <si>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la vigencia 2022 Se reporta la realización del 100%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 
Además, se generó el informe de los indicadores relacionados con el día sin carro y moto en la ciudad de Bogotá, se generó acta de pago relacionada con el deducible de las estaciones vandalizadas.</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</si>
  <si>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según lo proyecto se realiza la entrega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el cual se encuentra en la etapa de revisión final para su debida publicación.</t>
  </si>
  <si>
    <t>La Secretaría Distrital de Ambiente del 01 de enero al 31 de diciembre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1.766
No de Conceptos Técnicos acogidos jurídicamente mediante acto administrativo: 1.766.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</si>
  <si>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Se realizaron mantenimientos preventivos y correctivos, validación y análisis de datos y publicación de informes periódicos.
Para el mes de Diciembre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fue del 100% el cual es promedio de los datos validos de todos los parámetros de la red en las estaciones que se genera a través de Envista.  Para el mes de Diciembre se completó el análisis de datos y la redacción del informe mensual de Noviembre de 2022, completando su elaboración y posterior publicación.</t>
  </si>
  <si>
    <t xml:space="preserve">Formular 30 documentos técnicos de formulación, seguimiento o evaluación de la gestión integral de la calidad del aire de Bogotá.
</t>
  </si>
  <si>
    <t>1-100-F001  VA-RECURSOS DISTRITO</t>
  </si>
  <si>
    <t>1-100-I034  VA-OTRAS DONACIONES</t>
  </si>
  <si>
    <t xml:space="preserve">1-200-I032  RB-OTRAS DONACIONES </t>
  </si>
  <si>
    <t>Durante el mes de Enero 2023, se realizaron diez (10) acciones en cumplimiento de la meta:
- Nueve (09) visitas de evaluación a elementos mayores.
- Uno (01) cargue de información a la plataforma SIIPEV.
Lo anterior, dando un avance para el cuatrienio de 7.435 acciones de evaluación, control y seguimiento: 186 operativos de control y seguimiento, 470 visitas de evaluación a elementos mayores, 315 documentos técnicos, 25 visitas a elementos menores, 24 cargues de información a la plataforma SIIPEV, 6.385 evaluaciones a solicitudes de elementos de publicidad exterior visual.</t>
  </si>
  <si>
    <t>Vigencia 2023:  62 acciones, 48 visitas y 14 otras acciones de gestión:
Enero: 21 visitas sin medición (18 sensibilizaciones, 3 cerrar caso), 27 no efectivas para reprogramar; 5 informes de AP, 7 mesas de trabajo, 2 oficios SUGA.</t>
  </si>
  <si>
    <t>En la vigencia 2023 se ha cumplido con la realización del 100% de las actividades para gestionar, estructurar y ampliar la red de monitoreo de ruido ambiental se realizaron actividades de mantenimiento, actualización de cartas control y análisis de los datos obtenidos de la red. Además, se realizó el avance del informe semestral e informe de laboratorio.</t>
  </si>
  <si>
    <t>Se realizaron mantenimientos preventivos y correctivos, validación y análisis de datos y publicación de informes periódicos.
Para el mes de Enero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</si>
  <si>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 xml:space="preserve">Durante el periodo comprendido entre el 01 al 31 de enero de 2023 no se realizaron actuaciones administrativas sancionatorias de impulso o de fondo.
Los avances en la magnitud de la meta están sujetos a la demanda de conceptos técnicos que remita el área técnica para ser acogidos jurídicamente. Para el mes de Enero se intervinieron 2 de estos conceptos. Generando un avance acumulado en el cumplimiento del 100%.
</t>
  </si>
  <si>
    <t>1. Realizar mantenimientos preventivos y correctivos en los equipos de la RMCAB</t>
  </si>
  <si>
    <t>2. Realizar la validación y análisis de los datos provenientes de las estaciones de la RMCAB</t>
  </si>
  <si>
    <t>4. Realizar acciones encaminadas al aseguramiento de calidad y validez de los datos generados por la RMCAB.</t>
  </si>
  <si>
    <t>5. Realizar acciones de tipo administrativo y contractual que permitan garantizar la correcta operación de la RMCAB.</t>
  </si>
  <si>
    <t>11. Realizar las mediciones a los vehículos durante el desarrollo de los diferentes operativos de evaluación, control y seguimiento a las fuentes móviles.</t>
  </si>
  <si>
    <t>12. Programar  y ejecutar las visitas técnicas del programa de auditoria a los Centros de Diagnóstico Automotor (CDA) que operan en el Distrito Capital.</t>
  </si>
  <si>
    <t>13. Realizar documentos técnicos de evaluación y seguimiento de emisión de ruido a establecimientos de comercio, industria y servicio, generados por visitas con medición/sin medición y  no efectivas.</t>
  </si>
  <si>
    <t>14. Realizar documentos técnicos: oficios evaluación de estudios de emisión de ruido conceptos técnicos aclaratorio y demás documentos relacionados que no requieren visita técnica.</t>
  </si>
  <si>
    <t>15. Asegurar la continua operación y comunicación de las estaciones de la Red de Monitoreo de Ruido Ambiental de Bogotá (RMRAB).</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</si>
  <si>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ralizó la consolidación estructural del documento.</t>
  </si>
  <si>
    <t>En el cumplimiento de los dos (02) informes de gestión programados para la vigencia 2023; se ha alcanzado un avance del 100%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para el mes de enero del año en curso, el acumulado es de 0,17 de avance en la ejecución de la meta para el primer semestre.  
Respecto al cuatrienio, se lleva un acumulado de 5,2 informes.</t>
  </si>
  <si>
    <t>Realizar 7.948 acciones de seguimiento y control sobre los elementos de publicidad exterior visual instalados en las zonas con mayor densidad.</t>
  </si>
  <si>
    <t>Vigencia 2023; 139 acciones: 115 visitas y 24 otras acciones de gestión:
Enero: 21 visitas sin medición (18 sensibilizaciones, 3 cerrar caso), 27 no efectivas para reprogramar; 5 informes de AP, 7 mesas de trabajo, 2 oficios SUGA.
Febrero: 2 visitas con medición, 40 visitas sin medición (15 sensibilizaciones, 25 cerrar caso), 25 no efectivas para reprogramar; 4 informes de AP, 2 mesas de trabajo, 4 oficios SUGA.</t>
  </si>
  <si>
    <t>Se realizaron mantenimientos preventivos y correctivos, validación y análisis de datos y publicación de informes periódicos.
Para el mes de Febrero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</si>
  <si>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cumplimiento de los dos (02) informes de gestión programados para la vigencia 2023;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acumulado para el mes de febrero del año en curso, el acumulado es de 0,34 de avance en la ejecución de la meta para el primer semestre.
Respecto al cuatrienio, se lleva un acumulado de 5,2 informes.</t>
  </si>
  <si>
    <t xml:space="preserve">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t>
  </si>
  <si>
    <t>Durante el mes de Febrero, se realizaron diez (13) acciones en cumplimiento de la meta:
- Doce (12) visitas de evaluación a elementos mayores.
- Uno (01) cargue de información a la plataforma SIIPEV.
Para la vigencia del Proyecto de Inversión del año 2023 se han realizado diez (23) acciones de evaluación, control y seguimiento:
- Veintiún (21) visitas de evaluación a elementos mayores.
- Dos (02) cargues de información a la plataforma SIIPEV.
Lo anterior, dando un avance para el cuatrienio de 7.448 acciones de evaluación, control y seguimiento: 186 operativos de control y seguimiento, 482 visitas de evaluación a elementos mayores, 315 documentos técnicos, 25 visitas a elementos menores, 26 cargues de información a la plataforma SIIPEV, 6.385 evaluaciones a solicitudes de elementos de publicidad exterior visual.</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</si>
  <si>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y se reporta el dia sin carro y sin moto                                                                                                       
</t>
  </si>
  <si>
    <t xml:space="preserve">Durante el periodo comprendido entre el 01 al 28 de febrero de 2023 se realizó y atendió el 100% de actuaciones administrativas sancionatorias de impulso o de fondo, esto corresponde a 36 actuaciones.
Los avances en la magnitud de la meta están sujetos a la demanda de conceptos técnicos que remita el área técnica para ser acogidos jurídicamente.  Generando un avance acumulado en el cumplimiento del 100%.
</t>
  </si>
  <si>
    <t>En el marco de la gestión integral de la calidad del aire de Bogotá, para el año 2023 se realizara la entrega de siete (7) documentos técnicos, de los cuales tres (3), serán entregados en el primer semestre de la vigencia 2023. El avance al mes de enero corresponde a 0,2 y se alcanzó de la siguiente manera:
1. Informe semestral de Seguimiento al Plan Estratégico para la Gestión Integral de la Calidad del Aire – Plan Aire 2030 (I-2022): Se ralizó la actualización de la matriz de consolidación de información para los 45 proyectos.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2023: se realizó la consolidación estructural del documento.</t>
  </si>
  <si>
    <t>Durante el mes de Marzo, se realizaron treinta y cuatro (34) acciones en cumplimiento de la meta:
- Una (01) visitas de evaluación a elementos mayores.
- Treinta y uno (31) documentos técnicos firmados para el resto del Distrito.
- Uno (01) cargue de información a la plataforma SIIPEV.
- Uno (01) evaluación a solicitudes de elementos de publicidad exterior visual.
Para la vigencia del Proyecto de Inversión del año 2023 se han realizado cincuenta y siete (57) acciones de evaluación, control y seguimiento:
- Veintidós (22) visitas de evaluación a elementos mayores.
- Treinta y un (31) documentos técnicos firmados para el resto del Distrito.
- Tres (03) cargues de información a la plataforma SIIPEV.
- Un (01) evaluaciones a solicitudes de elementos de publicidad exterior visual.
Lo anterior, dando un avance para el cuatrienio de 7.482 acciones de evaluación, control y seguimiento: 186 operativos de control y seguimiento, 483 visitas de evaluación a elementos mayores, 346 documentos técnicos, 54 visitas a elementos menores, 27 cargues de información a la plataforma SIIPEV, 6.386 evaluaciones a solicitudes de elementos de publicidad exterior visual.</t>
  </si>
  <si>
    <t>"Vigencia 241 acciones, 195 visitas y 46 otras acciones de gestión:
I Trimestre 2023: 
97 visitas sin medición (40 sensibilizaciones, 57 cerrar caso), 6 visitas con medición, 92 no efectivas para reprogramar; 9 informes de AP, 16 mesas de trabajo, 21 oficios SUGA.</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</si>
  <si>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aruido aeronautico.                                                                                 
</t>
  </si>
  <si>
    <t>Se realizaron mantenimientos preventivos y correctivos, validación y análisis de datos y publicación de informes periódicos.
Para el primer trimestre de la vigencia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Red de Monitoreo y Calidad de Aire de Bogotá (RMCAB).</t>
  </si>
  <si>
    <t>En el marco de la gestión integral de la calidad del aire de Bogotá, para el año 2023 se realizara la entrega de siete (7) documentos técnicos, de los cuales tres (3), serán entregados en el primer semestre de la vigencia 2023. El avance acumulado al mes de febrero corresponde a 1 y se alcanzó de la siguiente manera:
1.	Informe semestral de Seguimiento al Plan Estratégico para la Gestión Integral de la Calidad del Aire – Plan Aire 2030 (2023-I): Se realizó la actualización de la matriz de consolidación de información para los 45 proyectos. Aporte acumulado a la actividad 0,3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0,3
3.	Informe de modelación de calidad de aire sobre Bogotá 2023: se realizó la consolidación estructural del documento. Aporte acumulado a la actividad 0,4</t>
  </si>
  <si>
    <t>En el cumplimiento de los dos (02) informes de gestión programados para la vigencia 2023; se ha alcanzado un avance del 100%  que corresponde al 0,51 programado acumulado a febrero. Lo anterior con base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5,51 informes.</t>
  </si>
  <si>
    <t xml:space="preserve">Durante el periodo comprendido entre el 01 al 30 de Marzo de 2023 se realizó y atendió el 100% de actuaciones administrativas sancionatorias de impulso o de fondo.
Los avances en la magnitud de la meta están sujetos a la demanda de conceptos técnicos que remita el área técnica para ser acogidos jurídicamente.  Generando un avance acumulado en el cumplimiento del 100%.
</t>
  </si>
  <si>
    <t xml:space="preserve">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realizo el avance del informe semestral e informe de laboratorio, reporte del día sin carro, actualización de los Mapas Estrategicos de Ruido, Elaboración de estudios previos y seguimiento al ruido aeronautico.                                                                                 
</t>
  </si>
  <si>
    <t>"ABRIL:
Durante el mes de Abril, se realizaron setenta y nueve (79) acciones en cumplimiento de la meta:
- Doce (12) visitas de evaluación a elementos mayores.
- Sesenta y seis (66) documentos técnicos firmados para el resto del Distrito.
- Uno (01) cargue de información a la plataforma SIIPEV.</t>
  </si>
  <si>
    <t>•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t>
  </si>
  <si>
    <t>Para el mes de Abril de la vigencia 2023 el porcentaje de cumplimiento para este indicador es del 100%. Se reportaron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t>
  </si>
  <si>
    <t>En el marco de la gestión integral de la calidad del aire de Bogotá, para el año 2023 se realizara la entrega de siete (7) documentos técnicos, de los cuales, para el primer y segundo trimestre se ha venido trabajando en el desarrollo de tres (3), siendo estos entregados en el primer semestre de la vigencia 2023, los cuales son: 
1. Informe semestral de Seguimiento al Plan Estratégico para la Gestión Integral de la Calidad del Aire – Plan Aire 2030 (I-2023), se realizó el debido seguimiento y reporte de los avances de los 45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consolidación de información de emisiones y análisis de temperaturas por estación.</t>
  </si>
  <si>
    <t>En el cumplimiento de los dos (02) informes de gestión programados para la vigencia 2023; se ha alcanzado un avance del 100% que corresponde al 0,68 programado acumulado a marzo.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t>
  </si>
  <si>
    <t>"En el periodo comprendido entre el 1 de enero al  30 de Abril de 2023 fueron acogidos 281 conceptos técnicos de los 281 recibidos que recomienden una actuación administrativa sancionatoria.
Durante el periodo comprendido entre el 1 enero al 30 de abril de 2023 se atendieron 57 conceptos técnicos de los 66 conceptos constituidos como reservas, 9 fueron devueltos para corrección.</t>
  </si>
  <si>
    <t>Para el acumulado de la vigencia 2023 el porcentaje de cumplimiento para este indicador es del 100%.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y se realizó la publicación de informes periódicos para los meses de Enero a Marzo de 2023.</t>
  </si>
  <si>
    <t xml:space="preserve">TOTAL </t>
  </si>
  <si>
    <t>EJECUTADO ACUMUALDO  SEGPLAN
 AÑO 2021</t>
  </si>
  <si>
    <t xml:space="preserve">"En la vigencia 2021, Se realizaron los mantenimientos preventivos y correctivos, validación y análisis de datos, incluyendo nuevas estaciones en la RMCAB (Bolivia, Usme, Ciudad Bolívar, Bosa, Jazmín, Colina y Móvil Fontibón) programados; se avanzo en la integración SDA-CAR y se mantuvo el plan de prueba de sensores de bajo costo. Igualmente se realizó la validación diaria de los datos de concentraciones de contaminantes criterio y parámetros meteorológicos que monitorea la RMCAB. 
El reporte de operatividad acumulado del 2021 es del 100% el cual corresponde al promedio de los datos validos de todos los parámetros de la red en las estaciones que se genera a través de Envista.
Se completo el análisis de datos y la redacción de los informes programados del 2021,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Para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
Avance acumulado en la vigencia 2021: 100%."
</t>
  </si>
  <si>
    <t xml:space="preserve">"En el marco de la gestión integral de la calidad del aire de Bogotá, para el 2021 se presentaron 8 documentos técnicos, los cuales son:
1. Documento técnico de Plan Aire, con sus respectivos anexos y el Decreto del Plan Aire.
2. Informe semestral de Seguimiento al Plan Estratégico para la Gestión Integral de la Calidad del Aire – Plan Aire 2030, donde se reportó el avance de los 37 proyectos que se encuentran en el plan de acción y el avance de los 8 proyectos que se encuentran en estructuración.
3. Informe de seguimiento semestral del grupo de SATAB 2021-I.
4. Informe de seguimiento semestral del grupo de SATAB 2021-II.
5. Documento de modelación.
6. Plan de Contingencia para la atención de eventos de contaminación atmosférica.
7. Documento de inventario de emisiones 2020.
8. Documento base de la Estrategia Pedagógica y de Comunicación del Índice Bogotano de Calidad del Aire y Riesgo en Salud - IBOCA - (EPCI). 
Cumpliendo con la entrega de los 8 documentos técnicos programados para el 2021."
</t>
  </si>
  <si>
    <t xml:space="preserve">"En el cumplimiento de los dos (02) informes de gestión programados para la vigencia 2021; se ha alcanzado un avance acumulado en la ejecución de la meta de 2 Informes equivalente al 100%, de cumplimiento.
Este avance está basado en la presentación de los dos (02) informes de actividades de recolección de información de las acciones de evaluación, control y seguimiento de los grupos de fuentes fijas y fuentes móviles. Así como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construyeron los informes de acciones de evaluación, control y seguimiento a las fuentes de emisión.
Para el primer semestre del año el acumulado es de un (01) Informe:  Primer Informe de seguimiento operación del grupo Fuentes de Emisión; y avance en la ejecución de la meta
Para el segundo semestre del año el acumulado es de uno (01) informe: Segundo Informe de seguimiento y operación del grupo Fuentes de Emisión; y avance en la ejecución de la meta.
El avance del Cuatrienio corresponde al 37%."
</t>
  </si>
  <si>
    <t xml:space="preserve">"En la vigencia 2021, se desarrollaron 897 actuaciones técnicas correspondientes al 100% de lo programado en el año, y un avance del 29,53%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IV trimestre: 139 Visitas Técnicas y 01 documentos técnicos. Total, trimestre 140 acciones.
Para la vigencia 2020, se realizaron el 100% de las acciones programadas correspondiente a 491 acciones de evaluación, seguimiento y control de ruido.
Total Actuaciones acumuladas en el PDD 1.388"
</t>
  </si>
  <si>
    <t xml:space="preserve">"La Secretaría Distrital de Ambiente, en el marco de las acciones de operación, mantenimiento y monitoreo de la red de ruido realizadas, presenta el avance de la vigencia que se detalla a continuación:
Vigencia 2020 se realizaron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presento la consolidación del primer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Presentación del segundo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Tercer Informe de la realización de las actividades de soporte y mantenimiento realizado a las estaciones de monitoreo de ruido, cargue al sistema SIPSE para la compra de los Mapas Estratégicos del Distrito (MER), se envía avance del informe de Laboratorio Ambiental, se solicito concepto técnico sobre la infraestructura tecnológica para la instalación del software de modelación acústica.
Cumplimiento en la vigencia 2021 100%."""
</t>
  </si>
  <si>
    <t xml:space="preserve">"Durante la vigencia 2021 se realizaron un total de cuatro mil novecientas cincuenta (4.950) acciones de evaluación, control y seguimiento:
- Cincuenta y nueve (59) operativos de control y sensibilización
- Ciento cincuenta y tres (153) visitas de evaluación a elementos mayores.
- Doscientos cuatro (204) documentos técnicos firmados.
- Diez (10) cargues de información a la plataforma SIIPEV.
- Cuatro mil quinientas veinticuatro (4.524) evaluaciones a solicitudes de elementos de publicidad exterior visual.
Para la vigencia 2020 se realizaron un total del 1.292 Acciones, que corresponden al 100% de lo programado.
Lo anterior, dando un avance para el cuatrienio de 6.242 acciones de evaluación, control y seguimiento."
</t>
  </si>
  <si>
    <t xml:space="preserve">"La Secretaría Distrital de Ambiente del 01 de enero al 31 de diciembre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100% de Conceptos Técnicos atendidos.
No de Conceptos Técnicos atendidos jurídicamente: 1.022 Conceptos Técnicos acogidos al 100%
Avance vigencia 2021: 100%."
</t>
  </si>
  <si>
    <t>Formato: Programación, Actualización y Seguimiento del Plan de Acción - Componente de  Territorialización</t>
  </si>
  <si>
    <t>Subdirección de Calidad del aire, auditiva y visual</t>
  </si>
  <si>
    <t>7778 Control a los factores de deterioro de calidad del aire, acústica y visual</t>
  </si>
  <si>
    <t>PERIODO:</t>
  </si>
  <si>
    <t>Durante el mes de Mayo, se realizaron cuarenta y tres (43) acciones en cumplimiento de la meta:
Cuatro (4) operativos de control a las zonas de Resto del Distrito
- Veintitrés (23) visitas de evaluación a elementos mayores.
- Catorce (14) documentos técnicos firmados para el resto del Distrito.
- Uno (01) cargue de información a la plataforma SIIPEV.
- Uno (01) evaluaciones a solicitudes de elementos de publicidad exterior visual.
Para la vigencia del Proyecto de Inversión del año 2023 se han realizado ciento setenta y nueve (179) acciones de evaluación, control y seguimiento:
Cuatro (04) operativos de control a zonas de Resto del Distrito. 
- Cincuenta y siete (57) visitas de evaluación a elementos mayores.
- Ciento once (111) documentos técnicos firmados para el resto del Distrito.
- Cinco (05) cargues de información a la plataforma SIIPEV.
- Dos (02) evaluaciones a solicitudes de elementos de publicidad exterior visual.
Lo anterior, dando un avance para el cuatrienio de 7.604 acciones de evaluación, control y seguimiento: 190 operativos de control y seguimiento, 518 visitas de evaluación a elementos mayores, 426 documentos técnicos, 54 visitas a elementos menores, 29 cargues de información a la plataforma SIIPEV, 6.387 evaluaciones a solicitudes de elementos de publicidad exterior visual.</t>
  </si>
  <si>
    <t>Vigencia 2023, acumulado 500 acciones, 410 visitas y 90 otras acciones de gestión:
•	MAYO: 3 visitas de medición, 25 visitas efectivas correspondientes a inventarios, sensibilizaciones, seguimiento a actos administrativos, 36 visitas efectivas para cerrar el caso y 52 visitas no efectivas para reprogramar. En otras acciones de gestión 6 reuniones o mesas de trabajo, 6 informes acciones populares, 2 presentaciones, 8 SUGAS y 1 aclaratorio. 
•	ABRIL: 7 visitas efectivas con medición, 12 visitas efectivas en atención a actos administrativos, sensibilizaciones, inventarios, 22 visitas efectivas para cerrar el caso y 58 visitas no efectivas objeto de reprogramación. En otras acciones de gestión 6 reuniones o mesas de trabajo, 6 informes acciones populares, 3 presentaciones y 6 SUGAS
•	I Trimestre 2023: 
•	97 visitas sin medición (40 sensibilizaciones, 57 cerrar caso), 6 visitas con medición, 92 no efectivas para reprogramar; 9 informes de AP, 16 mesas de trabajo, 21 oficios SUGA.
Con lo cual se alcanza un avance acumulado al Plan de Desarrollo de 3.306 (70,34%)  acciones de evaluación, seguimiento y control de emisión de ruido a los establecimientos de comercio, industria y servicio ubicados en el perímetro urbano del D.C.</t>
  </si>
  <si>
    <t>En el cumplimiento de los dos (02) informes de gestión programados para la vigencia 2023; se ha alcanzado un avance del 100% que corresponde al 0,82 programado acumulado a Mayo.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El avance acumulado del cuatrienio, son 5,82 informes (71%) de los 8 informes programados.</t>
  </si>
  <si>
    <t>En el marco de la gestión integral de la calidad del aire de Bogotá, para el año 2023 se realizará la entrega de siete (7) documentos técnicos, de los cuales tres (3), serán entregados en el primer semestre de la vigencia 2023. 
El avance para al mes de mayo corresponde a:
1.	Informe semestral de Seguimiento al Plan Estratégico para la Gestión Integral de la Calidad del Aire – Plan Aire 2030 (2023-I): seguimiento y reporte de los avances de los 45 proyectos en implementación del Plan Aire 2030 para el mes de mayo.  Aporte acumulado a la actividad 0,75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0,75
3.	Informe de modelación de calidad de aire sobre Bogotá 2023: se realizó la inclusión de resultados de cada uno de los módulos del documento, con el análisis pertinente de cada uno de ellos.  Aporte acumulado a la actividad 0,80.</t>
  </si>
  <si>
    <t>Para la vigencia del 2023 y con la finalidad de realizar el 100% de las actividades para gestionar, estructurar y ampliar la red de monitoreo de ruido ambiental, el acumulado para al mes de Mayo;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y seguimiento al ruido aeronáutico.</t>
  </si>
  <si>
    <t xml:space="preserve">En el periodo comprendido entre el 1 de enero al  31 de Mayo de 2023 fueron acogidos 481 conceptos técnicos de los 485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 </t>
  </si>
  <si>
    <t>Carpeta: Estructura Ruta Evidencias – SCAAV.
1.	Carpeta: Metas Gestión PDD, 2020 – 2024.
1.4.	Carpeta: Meta PDD; Aire.
https://drive.google.com/drive/folders/16b2vtKNhKHKSXfbxdDEe5XLMsGPiZNlI
http://rmcab.ambientebogota.gov.co</t>
  </si>
  <si>
    <r>
      <rPr>
        <sz val="11"/>
        <rFont val="Calibri (Cuerpo)"/>
      </rPr>
      <t xml:space="preserve">Carpeta: Estructura Ruta Evidencias – SCAAV.
1.	Carpeta: Metas Gestión PDD, 2020 – 2024.
1.1.	Carpeta: Meta PDD; PEV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</si>
  <si>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1.2.	Carpeta: Meta PDD; Ruido.
</t>
    </r>
    <r>
      <rPr>
        <u/>
        <sz val="11"/>
        <rFont val="Calibri"/>
        <family val="2"/>
        <scheme val="minor"/>
      </rPr>
      <t xml:space="preserve">
https://drive.google.com/drive/folders/16b2vtKNhKHKSXfbxdDEe5XLMsGPiZNlI</t>
    </r>
  </si>
  <si>
    <r>
      <rPr>
        <sz val="11"/>
        <rFont val="Calibri (Cuerpo)"/>
      </rPr>
      <t xml:space="preserve">Carpeta: Estructura Ruta Evidencias – SCAAV.
1.	Carpeta: Metas Gestión PDD, 2020 – 2024.
1.3.	Carpeta: Meta PDD; Red Ruido
</t>
    </r>
    <r>
      <rPr>
        <u/>
        <sz val="11"/>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</si>
  <si>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2.1.	Carpeta: Meta PI; RMCAB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</si>
  <si>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2.2.	Carpeta: Meta PI; Plan Aire.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</si>
  <si>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2.3.	Carpeta: Meta PI; Fuentes de Emision.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</si>
  <si>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2.5.	Carpeta: Meta PI; RMRAB
</t>
    </r>
    <r>
      <rPr>
        <u/>
        <sz val="11"/>
        <color theme="10"/>
        <rFont val="Calibri"/>
        <family val="2"/>
        <scheme val="minor"/>
      </rPr>
      <t xml:space="preserve">
https://drive.google.com/drive/folders/16b2vtKNhKHKSXfbxdDEe5XLMsGPiZNlI</t>
    </r>
  </si>
  <si>
    <r>
      <rPr>
        <sz val="11"/>
        <color theme="10"/>
        <rFont val="Calibri (Cuerpo)"/>
      </rPr>
      <t xml:space="preserve">Carpeta: Estructura Ruta Evidencias – SCAAV.
2.	Carpeta: Metas Inversión PI, 2020 – 2024.
2.6.	Carpeta: Meta PI; PEV
</t>
    </r>
    <r>
      <rPr>
        <u/>
        <sz val="11"/>
        <color theme="10"/>
        <rFont val="Calibri"/>
        <family val="2"/>
        <scheme val="minor"/>
      </rPr>
      <t xml:space="preserve">
https://drive.google.com/drive/folders/16b2vtKNhKHKSXfbxdDEe5XLMsGPiZNlI</t>
    </r>
  </si>
  <si>
    <t>6, % CUMPLIMIENTO ACUMULADO (al periodo) cuatrienio</t>
  </si>
  <si>
    <t xml:space="preserve">Junio </t>
  </si>
  <si>
    <t>Junio</t>
  </si>
  <si>
    <t>SCAAV: Debido a la  Terminacion anticiada del contrato No. 20230911; se realizó liberacion de  Recursoso por un total de $ 24.481.334.</t>
  </si>
  <si>
    <t>Julio</t>
  </si>
  <si>
    <t>Para la vigencia del 2023 y con la finalidad de realizar el 100% de las actividades para gestionar, estructurar y ampliar la red de monitoreo de ruido ambiental se realizaron actividades de mantenimiento, actualización de cartas control y análisis de los datos obtenidos de la red, se realizó el avance del informe semestral e informe de laboratorio, reporte del día sin carro, actualización de los Mapas Estratégicos de Ruido, Elaboración de estudios previos, seguimiento al ruido aeronáutico  Y estructuración de procedimiento para evaluación de ruido ambiental para conciertos en el parque metropolitano Simón Bolívar.</t>
  </si>
  <si>
    <t>Agosto</t>
  </si>
  <si>
    <t>En el cumplimiento de los dos (02) informes de gestión programados para la vigencia 2023; se ha alcanzado un avance del 66,5% que corresponde a (1) informe con corte a junio y el avance del informe con corte a agosto.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6,32 informes (79,25%) de los 8 informes programados.</t>
  </si>
  <si>
    <t>El avance acumulado en la vigencia: 941 acciones, 789 visitas y 152 otras acciones de gestión:
AGOSTO: 7 visitas de medición, 55 visitas técnicas sin medición correspondientes a inventarios, sensibilizaciones, seguimiento a actos administrativos y cierre de caso y 85 visitas no efectivas para reprogramar. En otras acciones de gestión se realizaron 8 reuniones o mesas de trabajo, 4 informes acciones populares y 8 SUGAS. 
JULIO: 6 visitas de medición, 36 visitas técnicas sin medición correspondientes a inventarios, sensibilizaciones, seguimiento a actos administrativos y 79 visitas no efectivas para reprogramar. 
En otras acciones de gestión se realizaron 5 reuniones o mesas de trabajo, 6 informes acciones populares, 2 presentaciones y 9 SUGAS.
•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I Trimestre 2023: 
97 visitas sin medición (40 sensibilizaciones, 57 cerrar caso), 6 visitas con medición, 92 no efectivas para reprogramar; 9 informes de AP, 16 mesas de trabajo, 21 oficios SUGA.
Con lo anterior se llega a un avance acumulado del cuatrienio de 3.580 acciones de evaluación, seguimiento y control de emisión de ruido.</t>
  </si>
  <si>
    <t>En el periodo comprendido entre el 1 de enero al  31 de Agosto de 2023 fueron acogidos 1017 conceptos técnicos de los 1017 recibidos que recomienden una actuación administrativa sancionatoria durante la vigencia 2023.      
Durante el periodo comprendido entre el 1 enero al 31 de mayo de 2023 se atendieron 57 conceptos técnicos de los 57 conceptos constituidos como reservas, Lo cual denota en el cumplimiento del 100% de la meta estimada como reserva.</t>
  </si>
  <si>
    <t>Durante el mes de Agosto, se realizaron (117) acciones en cumplimiento de la meta:
- (5) Operativos de control a las zonas de Resto del Distrito. 
- (8) visitas de Evaluación a los elementos tipo valla tubular.
- (56) documentos técnicos firmados para el resto del Distrito.
- (1) cargue de información a la plataforma SIIPEV.
- (47) evaluaciones a solicitudes de elementos de publicidad exterior visual.
Acumulado a la vigencia 2023 se han realizado (535) acciones de evaluación, control y seguimiento;
- (25) operativos de control a zonas de Resto del Distrito. 
- (74) visitas de evaluación a elementos mayores.
- (318) documentos técnicos firmados para el resto del Distrito.
- (08) cargues de información a la plataforma SIIPEV.
- (110) evaluaciones a solicitudes de elementos de publicidad exterior visual.</t>
  </si>
  <si>
    <t>Avance acumulado de la vigencia 2023 en el primer semestre el porcentaje de cumplimiento para este indicador es del 100%. Para el mes de Agosto,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t>
  </si>
  <si>
    <t>En el marco de la gestión integral de la calidad del aire de Bogotá, para el año 2023 se realizará la entrega de siete (7) documentos técnicos, de los cuales tres (3) se entregaron en el primer semestre. Para el mes de Agosto se presenta el siguiente avance acumulado, de 3,45, así:
1.	Informe semestral de Seguimiento al Plan Estratégico para la Gestión Integral de la Calidad del Aire – Plan Aire 2030 (2023-I): seguimiento y reporte de los avances de los 45 proyectos en implementación del Plan Aire 2030 en el mes de Agosto.  Aporte acumulado a la actividad 1,10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a la actividad 1,10
3.	Informe de modelación de calidad de aire sobre Bogotá 2023: se realizó la inclusión de resultados de cada uno de los módulos del documento, con el análisis pertinente de cada uno de ellos.  Aporte acumulado a la actividad 1,25
Con lo anterior se alcanza un acumulado al PDD de 21,45 documentos técnicos.</t>
  </si>
  <si>
    <t>1-601-F001  PAS-OTROS DISTRITO</t>
  </si>
  <si>
    <t>Realizar 8.480 acciones técnico jurídicas de evaluación, seguimiento y control sobre los elementos de publicidad exterior visual - PEV, instalados en el perímetro urbano del D.C.</t>
  </si>
  <si>
    <t>Septiembre</t>
  </si>
  <si>
    <t>Durante la vigencia 2023, acumulado para el tercer trimestre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t>
  </si>
  <si>
    <t>En el marco de la gestión integral de la calidad del aire de Bogotá, para el año 2023 se realizará la entrega de siete (7) documentos técnicos, de los cuales tres (3) se entregaron en el primer semestre. En la ejecución acumulada al tercer trimestre se presenta el siguiente avance, de 4 documentos, así:
1.	Informe semestral de Seguimiento al Plan Estratégico para la Gestión Integral de la Calidad del Aire – Plan Aire 2030 (2023-I): seguimiento y reporte de los avances de los 45 proyectos en implementación del Plan Aire 2030.  Aporte acumulado Tercer Trimestre a la actividad 1,30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acumulado Tercer Trimestre a la actividad 1,30
3.	Informe de modelación de calidad de aire sobre Bogotá 2023: se realizó la inclusión de resultados de cada uno de los módulos del documento, con el análisis pertinente de cada uno de ellos.  Aporte acumulado Tercer Trimestre a la actividad 1,4
Con lo anterior se alcanza un acumulado al PDD de 22 documentos técnicos, correspondientes al 73% de avance acumulado.</t>
  </si>
  <si>
    <t>El avance acumulado para el Tercer Trimestre en la vigencia 2023 dando cumplimiento de los dos (02) informes de gestión programados para la vigencia 2023; se ha alcanzado un avance del 75% que corresponde a (1,5).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6,5 informes (81%) de los 8 informes programados.</t>
  </si>
  <si>
    <t>El avance acumulado al tercer trimestre de la vigencia: 1.058 acciones (883 visitas y 175 otras acciones de gestión):
•	I Trimestre 2023: 
97 visitas sin medición (40 sensibilizaciones, 57 cerrar caso), 6 visitas con medición, 92 no efectivas para reprogramar; 9 informes de AP, 16 mesas de trabajo, 21 oficios SUGA.
•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III Trimestre 2023:
362 Visitas realizadas de correspondientes a inventarios, sensibilizaciones, seguimiento a actos administrativos y cierre de caso.  En otras acciones de gestión se realizaron 65 informes acciones populares.
Con lo anterior se llega a un avance acumulado del cuatrienio de 3.864 acciones de evaluación, seguimiento y control de emisión de ruido. Correspondiente al 82,21 %.</t>
  </si>
  <si>
    <t>El reporte acumulado al tercer trimestre de la vigencia; se realizaron el 100% de las actividades para gestionar, estructurar y ampliar la red de monitoreo de ruido ambiental se realizaron actividades de mantenimiento, actualización de cartas control, análisis de los datos obtenidos de la red, se realizó el avance del informe semestral e informe de laboratorio, se instaló una estación de monitoreo de ruido ambiental bajo parámetros Organización de Aviación Civil Internacional - OACI y recepción de estaciones meteorológicas.
Con lo cual continuamos con el reporte del 100% de cumplimiento de la meta para la vigencia.</t>
  </si>
  <si>
    <t>El avance acumulado a la vigencia 2023 al tercer trimestre; se han realizado (647) acciones de evaluación, control y seguimiento;
- (33) operativos de control a zonas de Resto del Distrito. 
- (87) visitas de evaluación a elementos mayores.
- (349) documentos técnicos firmados para el resto del Distrito.
- (09) cargues de información a la plataforma SIIPEV.
- (169) evaluaciones a solicitudes de elementos de publicidad exterior visual.
Con lo anterior, se tiene un avance para el cuatrienio de 8.072 (95,17%) acciones de evaluación, control y seguimiento.</t>
  </si>
  <si>
    <t>En el periodo comprendido entre el 1 de enero al  30 de Septiembre de 2023 fueron acogidos 1.168 conceptos técnicos de los 1.168 recibidos que recomienden una actuación administrativa sancionatoria durante la vigencia 2023.  Lo anterior genera un cumplimiento del 100% de atenciones de conceptos técnicos.       
Durante el periodo comprendido entre el 1 enero al 31 de mayo de 2023 se atendieron 57 conceptos técnicos de los 57 conceptos constituidos como reservas, Lo cual denota en el cumplimiento del 100% de la meta estimada como reserva.</t>
  </si>
  <si>
    <t>Durante la vigencia 2023, acumulado al mes de Octubre; se han reportado los mantenimientos preventivos y correctivos realizados. De igual manera, se realizó la validación diaria de los datos de concentraciones de contaminantes criterio y parámetros meteorológicos que monitoreo a la Red de Monitoreo y Calidad de Aire de Bogotá (RMCAB). El indicador acumulado corresponde al 100% de cumplimiento.</t>
  </si>
  <si>
    <t>En el marco de la gestión integral de la calidad del aire de Bogotá, para el año 2023 se realizará la entrega de siete (7) documentos técnicos de los cuales, tres (3) fueron entregados en el primer semestre de la vigencia 2023. Es así como en la ejecución acumulada de Julio a Octubre se presenta el siguiente avance; 
1.	Informe semestral de Seguimiento al Plan Estratégico para la Gestión Integral de la Calidad del Aire – Plan Aire 2030 (2023-II): seguimiento y reporte de los avances de los 45 proyectos en implementación del Plan Aire 2030.  
Aporte Total a la Meta 3 Documentos: 
Aporte Primer Semestre: Uno (1) documento.
Avance Aporte Segundo Semestre: (1,5) documentos.
Acumulado Total al Tercer Trimestre a la actividad 2,5.
2.	Informe de gestión del Sistema de Alertas Tempranas Ambientales en su componente aire: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Aporte Total a la Meta 3 Documentos: 
Aporte Primer Semestre: Uno (1) documento.
Avance Aporte Segundo Semestre: (0,6) documentos.
Acumulado Total al Tercer Trimestre a la actividad 1,6.
3.	Informe de modelación de calidad de aire sobre Bogotá 2023: se realizó la inclusión de resultados de cada uno de los módulos del documento, con el análisis pertinente de cada uno de ellos.  
Aporte Total a la Meta 2 Documentos: 
Aporte Primer Semestre: Uno (1) documento.
Avance Aporte Segundo Semestre: (0,5) documentos.
Acumulado Total al Tercer Trimestre a la actividad 1,5.
Con lo anterior se alcanza un acumulado al PDD de 23,6 documentos técnicos, correspondientes al 79% de avance acumulado.</t>
  </si>
  <si>
    <t>El avance acumulado al mes de Octubre de 2023  es del  1,67 informes de los dos (02) informes de gestión programados para la vigencia 2023; con lo cual se reporta un avance del 83,5%.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6,67 informes (83,37%) de los 8 informes programados.</t>
  </si>
  <si>
    <t>El avance acumulado al mes de Octubre de 2023: 1.225 acciones (1.028 visitas y 197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	Octubre 2023: 145 Visitas, 22 otras acciones 
Con lo anterior se llega a un avance acumulado del cuatrienio de 4.031 acciones de evaluación, seguimiento y control de emisión de ruido. Correspondiente al 85,77 %.</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</si>
  <si>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concierto cordillera para la modelación del evento, se instaló una estación de monitoreo de ruido ambiental bajo parámetros de la Organización de Aviación Civil Internacional – OACI, recepción de estaciones meteorológicas e instalación de la primera estación de meteorología de la RMRAB con la finalidad de cumplir con lo estipulado en la ISO 1996.
Con lo cual continuamos con el reporte del 100% de cumplimiento de la meta para la vigencia."</t>
  </si>
  <si>
    <t>El avance acumulado en la vigencia 2023 al mes de Octubre es de (843) acciones de evaluación, control y seguimiento realizadas. 
- (36) operativos de control a zonas de Resto del Distrito. 
- (97) visitas de evaluación a elementos mayores.
- (457) documentos técnicos firmados para el resto del Distrito.
- (10) cargues de información a la plataforma SIIPEV.
- (243) evaluaciones a solicitudes de elementos de publicidad exterior visual.
Con lo anterior, se tiene un avance para el cuatrienio de 8.268 (97,5%) acciones de evaluación, control y seguimiento.</t>
  </si>
  <si>
    <t>En el periodo comprendido entre el 1 de enero al  31 de Octubre de 2023 fueron acogidos 1.444 conceptos técnicos de los 1.444 recibidos que recomienden una actuación administrativa sancionatoria durante la vigencia 2023.  Lo anterior genera un cumplimiento del 100% de atenciones de conceptos técnicos.</t>
  </si>
  <si>
    <r>
      <rPr>
        <b/>
        <u/>
        <sz val="8"/>
        <rFont val="Arial"/>
        <family val="2"/>
      </rPr>
      <t>DISTRITO</t>
    </r>
    <r>
      <rPr>
        <sz val="8"/>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</si>
  <si>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t>Octubre</t>
  </si>
  <si>
    <t>Noviembre</t>
  </si>
  <si>
    <t>Durante la vigencia 2023, acumulado al mes de Noviembre; se han reportado los mantenimientos preventivos y correctivos realizados. De igual manera, se realizó la validación diaria de los datos de concentraciones de contaminantes criterio y parámetros meteorológicos que monitoreo a la Red de Monitoreo y Calidad de Aire de Bogotá - RMCAB. El indicador acumulado corresponde al 100% de cumplimiento.</t>
  </si>
  <si>
    <t>En el marco de la gestión integral de la calidad del aire de Bogotá, para el año 2023 se realizará la entrega de siete (7) documentos técnicos de los cuales, tres (3) fueron entregados en el primer semestre de la vigencia:
1.	Plan Aire
Aporte Vigencia: 3 Documentos
Aporte I Semestre: (1) documento. Informe semestral de Seguimiento al Plan Estratégico para la Gestión Integral de la Calidad del Aire – Plan Aire 2030 (2023-I)
Avance Acumulado II Semestre a Noviembre: 1,75 documentos. (1) Informe de plusvalía con la información de la intervención de 15 segmentos viales ubicados en la localidad de Ciudad Bolívar. (0,75) Informe semestral de Seguimiento al Plan Estratégico para la Gestión Integral de la Calidad del Aire – Plan Aire 2030 (2023-II)
Acumulado Total de la actividad 2,75.
2.	Alertas
Aporte Vigencia: 3 Documentos
Aporte I Semestre: (1) Informe de gestión del Sistema de Alertas Tempranas Ambientales en su componente aire 2023-I
Avance Acumulado II Semestre: 0,8 documentos. Avance Informe de gestión del Sistema de Alertas Tempranas Ambientales en su componente aire 2023-II
Acumulado Total de la actividad 1,8
3.	Modelo
Aporte Vigencia: 2 Documentos
Aporte I Semestre: (1) documento. Inventario de Emisiones Atmosféricas de Bogotá correspondiente al 2022.
Avance Acumulado II Semestre: (0,75) documento. Avance Acumulado INFORME DE MODELACIÓN DE CALIDAD DE AIRE SOBRE BOGOTÁ 2022. Anual 2022.
Acumulado Total de la actividad 1,75
Con lo anterior se alcanza un acumulado al PDD de 24,3 documentos técnicos, correspondientes al 81% de avance acumulado.</t>
  </si>
  <si>
    <t>El avance acumulado al mes de Noviembre de 2023  es del  1,84 informes de los dos (02) informes de gestión programados para la vigencia 2023; con lo cual se reporta un avance del 92%, así;
1.	Primer Informe Semestral de Seguimiento 2023 - I, Terminado a junio 30 de 2023. Cantidad Uno (01)
2.	Segundo Informe Semestral de Seguimiento 2023 - II; Avance Acumulado a Noviembre 0,84. Avance en la elaboración del Informe Semestral II.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6,84 informes (85%) de los 8 informes programados.</t>
  </si>
  <si>
    <t>El avance acumulado al mes de Noviembre de 2023: 1.368 acciones (1.156 visitas y 212 otras acciones de gestión):
•	241  I Trimestre 2023: 97 visitas sin medición (40 sensibilizaciones, 57 cerrar caso), 6 visitas con medición, 92 no efectivas para reprogramar; 9 informes de AP, 16 mesas de trabajo, 21 oficios SUGA.
•	390 II Trimestre 2023: 18 visitas con medición, 53 visitas efectivas correspondientes a inventarios, sensibilizaciones, seguimiento a actos administrativos, 79 visitas efectivas para cerrar el caso y 176 visitas no efectivas para reprogramar. En otras acciones de gestión 16 informes acciones populares, 1 aclaratorio, 6 presentaciones, 1 estudio de ruido, 19 reuniones o mesas de trabajo y 21 SUGAS.
•	427 III Trimestre 2023: 362 Visitas realizadas de correspondientes a inventarios, sensibilizaciones, seguimiento a actos administrativos y cierre de caso.  En otras acciones de gestión se realizaron 65 informes acciones populares.
•	Acumulado II Semestre 2023, 310: 273 Visitas, 37 otras acciones 
Con lo anterior se llega a un avance acumulado del cuatrienio de 4.174 acciones de evaluación, seguimiento y control de emisión de ruido. Correspondiente al 88,81 %.</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</si>
  <si>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concierto cordillera para la modelación del evento, se instaló una estación de monitoreo de ruido ambiental bajo parámetros de la Organización de Aviación Civil Internacional – OACI, recepción de estaciones meteorológicas e instalación de la primera estación de meteorología de la RMRAB con la finalidad de cumplir con lo estipulado en la ISO 1996.
Con lo cual continuamos con el reporte del 100% de cumplimiento de la meta para la vigencia. Para el mes de Noviembre se gestionó con la Secretaria Distrital de Seguridad, Convivencia y Justicia la Instalación de 6 estaciones meteorológicas."</t>
  </si>
  <si>
    <t>El avance acumulado en la vigencia 2023 al mes de Noviembre es de (858) acciones de evaluación, control y seguimiento realizadas. 
- (40) operativos de control a zonas de Resto del Distrito. 
- (107) visitas de evaluación a elementos mayores.
- (457) documentos técnicos firmados para el resto del Distrito.
- (11) cargues de información a la plataforma SIIPEV.
- (243) evaluaciones a solicitudes de elementos de publicidad exterior visual.
Con lo anterior, se tiene un avance para el cuatrienio de 8.283 (97,68%) acciones de evaluación, control y seguimiento. así:
Vigencia 2020: 1,292 Acciones.
Vigencia 2021: 4.950 Acciones.
Vigencia 2022: 1.183 Acciones.</t>
  </si>
  <si>
    <t>En el periodo comprendido entre el 1 de enero al  31 de Octubre de 2023 fueron acogidos 1.773 conceptos técnicos de los 1.773 recibidos que recomienden una actuación administrativa sancionatoria durante la vigencia 2023.  Lo anterior genera un cumplimiento del 100% de atenciones de conceptos técnicos.</t>
  </si>
  <si>
    <t>DICIEMRE</t>
  </si>
  <si>
    <t>Diciembre</t>
  </si>
  <si>
    <t>X</t>
  </si>
  <si>
    <t xml:space="preserve">6. Realizar la elaboracion dos (02) Documentos de seguimiento al Plan Aire 2030 (Informe ejecutivo del Plan Aire 2030_I-2024 - Sexto informe semestral del Plan Aire_I-2024) </t>
  </si>
  <si>
    <t xml:space="preserve">7. Construccion de Uno (01) documentos técnicos, así; 
1. Informe De Modelación De Calidad De Aire Sobre Bogotá del (I - 2024).
</t>
  </si>
  <si>
    <t>10. Generar un informe semestral de Gestion derivado de las acciones de control realizadas a las fuentes fijas objeto de control, ubicadas en el Distrito Capital</t>
  </si>
  <si>
    <t>En el mes de enero se generó el informe técnico semestral, el informe semestral del laboratorio, se empezaron a correr los cálculos del mapa estratégico de ruido (MER) del Festival Cordillera, se dio respuesta a diversas PQR’s, se participó en el proceso de estructuración y definición del Plan de Desarrollo Distrital (metas, indicadores, presupuesto), se estructuraron siete (7) procesos de arrendamiento con su respectiva documentación (estudio previo, estudio de mercado, anexos), se subieron a SIPSE, se solicitaron los respectivos CDP’s y también se participó en diversas mesas técnicas para la realización del Festival Estéreo Picnic</t>
  </si>
  <si>
    <t>Para Enero de 2024,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t>
  </si>
  <si>
    <t xml:space="preserve">Vigencia 2024: 19 acciones, 18 visitas y 1 otras acciones de gestión:
Enero 2024: 
1 visita con medición, 10 visitas sin medición (8 sensibilizaciones, 2 cerrar caso), 7 no efectivas para reprogramar; 1 oficios SUGA.
</t>
  </si>
  <si>
    <t>16. Elaborar un informe técnico semestral de ruido ambiental para monitorear las dinámicas sonoras del Distrito y para la toma de decisiones.</t>
  </si>
  <si>
    <t>17. Desarrollar las actividades de control y sensibilización de los elementos Publicidad Exteriores Visual - PEV. Por medio de Operativos De Control Y Sensibilización.</t>
  </si>
  <si>
    <t>18. Realizar la evaluación a Vallas Tubulares , a través de la realización de visitas de control y seguimiento a los elementos mayores dentro del Distrito Capital.</t>
  </si>
  <si>
    <t>19. Elaborar los documentos técnicos del proceso interno de los elementos Publicidad Exteriores Visual, ilegales en el Distrito Capital con la generación de Documentos De Operativos De Control.</t>
  </si>
  <si>
    <t>20. Realizar el seguimiento y actualización mensual de la información contenida en el Sistema Integrado de Información de Publicidad Exterior Visual - SIIPEV para dar cumplimiento al Acuerdo 610/2015.</t>
  </si>
  <si>
    <t>21. Realizar la evaluación técnica a las solicitudes de registro de los elementos de publicidad exterior visual. - PEV, de acuerdo con las Peticiones y Quejas que alleguen a grupo.</t>
  </si>
  <si>
    <t>22. Atender el 100% de los conceptos técnicos que recomiendan una actuación administrativa sancionatoria para el cumplimiento de las regulaciones y control del recurso aire auditiva y visual.</t>
  </si>
  <si>
    <t xml:space="preserve">23. Realizar el proceso de organización y administración del 100% de los documentos de archivos y expedientes sancionatorios. </t>
  </si>
  <si>
    <t>24. Notificar el 100% de los actos administrativos en cumplimiento de la normatividad establecida.</t>
  </si>
  <si>
    <t>25. Realizar acciones de seguimiento y control en el marco del trámite sancionatorio, y/o procesos de evaluación y seguimiento para los proyectos del recurso aire auditiva y visual.</t>
  </si>
  <si>
    <t>9. Realizar actividades de IVC a Fuentes Fijas del DC, a través de la emisión de actuaciones tecnicas (oficios, conceptos, informes) resultado de las acciones de evaluación, seguimiento y control.</t>
  </si>
  <si>
    <t>Acumulado en la vigencia 2024 se han realizado cincuenta y seis (56) acciones de evaluación, control y seguimiento con lo cual se da cumplimiento de la programación en la vigencia así:
- Cero (0) operativos de control y seguimiento en el resto del distrito.
- Ocho (8) visitas de Evaluación a los elementos tipo valla tubular.
- Cero (0) documentos técnicos firmados para el resto del Distrito.
- Cero (0) cargue de información a la plataforma SIIPEV.
- Cuarenta y ocho (48) evaluaciones a solicitudes de elementos de publicidad exterior visual.
Con lo anterior, se tiene un avance para el cuatrienio de 8.674 acciones de evaluación, control y seguimiento: 238 operativos de control y seguimiento, 599 visitas de evaluación a elementos mayores, 920 documentos técnicos, 54 visitas a elementos menores, 36 cargues de información a la plataforma SIIPEV, 6.827 evaluaciones a solicitudes de elementos de publicidad exterior visual.</t>
  </si>
  <si>
    <t xml:space="preserve">En el marco de las acciones de evaluación, control y seguimiento a los factores de deterioro ambiental como los son los aire, ruido y Publicidad Exterior Visual, la Secretaría Distrital de Ambiente durante el periodo comprendido entre el 01 enero al 31 de enero del año 2024, atendió el 100% de los conceptos técnicos que recomiendan una actuación administrativa sancionatoria, distribuida así:
N° de Conceptos Técnicos que recomiendan actuaciones administrativas sancionatorias: 1
N° de Conceptos Técnicos acogidos jurídicamente mediante acto administrativo: 1
</t>
  </si>
  <si>
    <r>
      <t xml:space="preserve">3. Elaborar y publicar en la página de la RMCAB </t>
    </r>
    <r>
      <rPr>
        <b/>
        <sz val="10"/>
        <color theme="1"/>
        <rFont val="Arial"/>
        <family val="2"/>
      </rPr>
      <t>9</t>
    </r>
    <r>
      <rPr>
        <sz val="10"/>
        <rFont val="Arial"/>
        <family val="2"/>
      </rPr>
      <t xml:space="preserve"> informes periódicos de calidad del aire</t>
    </r>
  </si>
  <si>
    <t>II PRODUCTO (FÍSICO) VIGENCIA 2024</t>
  </si>
  <si>
    <t>% PESO 2024</t>
  </si>
  <si>
    <t>META VIGENCIA  2024</t>
  </si>
  <si>
    <t>En el marco de la gestión integral de la calidad del aire de Bogotá, para la vigencia 2024 se realizara la entrega de cuatro (4) documentos técnicos, así:
1.	Plan Aire
Aporte Vigencia: 2 Documentos
Informes semestrales de Seguimiento al Plan Estratégico para la Gestión Integral de la Calidad del Aire – Plan Aire 2030. Avance acumulado: 0,2 en la vigencia.
2.	Alertas
Aporte Vigencia: 1 Documento
 (1) documento Avance Informe de gestión del Sistema de Alertas Tempranas Ambientales en su componente aire 2024. Avance acumulado: 0,05 en la vigencia.
3.	Modelo
Aporte Vigencia: 1 Documento
 (1) Inventario de Emisiones Atmosféricas de Bogotá correspondiente al 2023. Avance acumulado: 0,2 en la vigencia.
Con lo anterior se alcanza un acumulado al PDD de 26,45 documentos técnicos, correspondientes al 88,17% de avance acumulado.</t>
  </si>
  <si>
    <t>Se reporta un avance del 17%, así;
1.	Primer Informe Semestral de Seguimiento 2024 - I, en construcción a enero 30 de 2023, 17% de avance.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7,17 informes (89,62%) de los 8 informes programados.</t>
  </si>
  <si>
    <t>Realizar 8.771 acciones de seguimiento y control sobre los elementos de publicidad exterior visual instalados en las zonas con mayor densidad.</t>
  </si>
  <si>
    <t>Durante el mes de Enero se realizaron cincuenta y seis (56) acciones en cumplimiento de la meta
- Cero (0) operativos de control y seguimiento en el resto del distrito.
- Ocho (8) visitas de Evaluación a los elementos tipo valla tubular.
- Cero (0) documentos técnicos firmados para el resto del Distrito.
- Cero (0) cargue de información a la plataforma SIIPEV.
- Cuarenta y ocho (48) evaluaciones a solicitudes de elementos de publicidad exterior visual.
Así en la vigencia 2024 se han realizado cincuenta y seis (56) acciones de evaluación, control y seguimiento con lo cual se da cumplimiento de la programación en la vigencia así:
- Cero (0) operativos de control y seguimiento en el resto del distrito.
- Ocho (8) visitas de Evaluación a los elementos tipo valla tubular.
- Cero (0) documentos técnicos firmados para el resto del Distrito.
- Cero (0) cargue de información a la plataforma SIIPEV.
- Cuarenta y ocho (48) evaluaciones a solicitudes de elementos de publicidad exterior visual.
Con lo anterior, se tiene un avance para el cuatrienio de 8.771 acciones de evaluación, control y seguimiento: 238 operativos de control y seguimiento, 599 visitas de evaluación a elementos mayores, 920 documentos técnicos, 54 visitas a elementos menores, 36 cargues de información a la plataforma SIIPEV, 6.827 evaluaciones a solicitudes de elementos de publicidad exterior visual.</t>
  </si>
  <si>
    <t xml:space="preserve">"En el marco de las acciones de evaluación, control y seguimiento a los factores de deterioro ambiental como los son los aire, ruido y Publicidad Exterior Visual, la Secretaría Distrital de Ambiente durante el periodo comprendido entre el 01 enero al 31 de enero del año 2024, atendió el 100% de los conceptos técnicos que recomiendan una actuación administrativa sancionatoria, distribuida así:
N° de Conceptos Técnicos que recomiendan actuaciones administrativas sancionatorias: 1
N° de Conceptos Técnicos acogidos jurídicamente mediante acto administrativo: 1"
</t>
  </si>
  <si>
    <t>III ACTIVIDADES SUIFT (PRESUPUESTO) VIGENCIA 2024</t>
  </si>
  <si>
    <t>PRESUPUESTO VIGENCIA SUIFP 2024</t>
  </si>
  <si>
    <t>PRESUPUESTO
OBLIGADO (GIRADO) 2024</t>
  </si>
  <si>
    <t>IV GESTIÓN  (FÍSICO) VIGENCIA 2024</t>
  </si>
  <si>
    <t>META VIGENCIA 2024</t>
  </si>
  <si>
    <t>AVANCE META VIGENCIA 2024</t>
  </si>
  <si>
    <t>% AVANCE META VIGENCIA 2024</t>
  </si>
  <si>
    <t>5, PONDERACIÓN HORIZONTAL AÑO: 2024</t>
  </si>
  <si>
    <t>Para el mes de Febrero de 2024, el avance acumulado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t>
  </si>
  <si>
    <t>En el marco de la gestión integral de la calidad del aire de Bogotá, para la vigencia 2024 se realizara la entrega de cuatro (4) documentos técnicos, así:
1.	Plan Aire
Aporte Vigencia: 2 Documentos
Informes semestrales de Seguimiento al Plan Estratégico para la Gestión Integral de la Calidad del Aire – Plan Aire 2030. Avance acumulado: 0,4 en la vigencia.
2.	Alertas
Aporte Vigencia: 1 Documento
 (1) documento Avance Informe de gestión del Sistema de Alertas Tempranas Ambientales en su componente aire 2024. Avance acumulado: 0,50 en la vigencia.
3.	Modelo
Aporte Vigencia: 1 Documento
 (1) Inventario de Emisiones Atmosféricas de Bogotá correspondiente al 2023. Avance acumulado: 0,2 en la vigencia.
Con lo anterior se alcanza un acumulado al PDD de 27 documentos técnicos, correspondientes al 90% de avance acumulado.</t>
  </si>
  <si>
    <t>Para Febrero de 2024, se reporta un avance del 17%, así;
1.Primer Informe Semestral de Seguimiento 2024 - I, en construcción a Febrero 29 de 2024, 34%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7,34 informes (91,75%) de los 8 informes programados.</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</si>
  <si>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y se realizó acompañamiento a las mesas de trabajo del Stereo Picnic.
Con lo cual continuamos con el reporte del 100% de cumplimiento de la meta para la vigencia, además se gestionó con la Secretaria Distrital de Seguridad, Convivencia y Justicia la Instalación de 6 estaciones meteorológicas.</t>
  </si>
  <si>
    <t>En cumplimiento de la meta, el acumulado PDD es 4.317 acciones así:
• Febrero 2024: 11 acciones, 10 visitas y 1 otras acciones de gestión
• Enero 2024: 19 acciones, 18 visitas y 1 otras acciones de gestión
• Vigencia 2023: 1481 acciones, entre 1259 visitas y 222 otras acciones de gestión
• Vigencia 2022: 1418 acciones, entre 1202 visitas y 216 otras acciones de gestión
• Vigencia 2021: 897 acciones, entre 761 visitas y 136 otras acciones de gestión
• Vigencia 2020: 491 acciones, entre 374 visitas y 117 otras acciones de gestión.</t>
  </si>
  <si>
    <t xml:space="preserve">8. Generar Uno (01) documentos técnicos; 1. Uno (01) Informes semestral de Gestión del SATAB (I-2024).
</t>
  </si>
  <si>
    <t xml:space="preserve"> I PRESUPUESTAL VIGENCIA 2024</t>
  </si>
  <si>
    <t>Marzo</t>
  </si>
  <si>
    <t>Vigencia 2024: 81 acciones, 77 visitas y 4 otras acciones de gestión:
I Trimestre 2024: 
6 visitas con medición, 27 visitas sin medición (21 sensibilizaciones, 6 cerrar caso), 44 visitas no efectivas para reprogramar; 1 informes de AP, 1 reunión o mesa de trabajo y 2 oficios SUGA.</t>
  </si>
  <si>
    <r>
      <rPr>
        <sz val="10"/>
        <color theme="10"/>
        <rFont val="Calibri (Cuerpo)"/>
      </rPr>
      <t xml:space="preserve">Carpeta: Estructura Ruta Evidencias – SCAAV.
2.	Carpeta: Metas Inversión PI, 2020 – 2024.
2.4.	Carpeta: Meta PI; Ruido.
</t>
    </r>
    <r>
      <rPr>
        <u/>
        <sz val="10"/>
        <color theme="10"/>
        <rFont val="Calibri"/>
        <family val="2"/>
        <scheme val="minor"/>
      </rPr>
      <t xml:space="preserve">
https://drive.google.com/drive/folders/16b2vtKNhKHKSXfbxdDEe5XLMsGPiZNlI</t>
    </r>
  </si>
  <si>
    <t>Para el Primer Trimestre de la vigencia  2024 se han realizado ciento cuarenta y dos (142) acciones de evaluación, control y seguimiento con lo cual se da cumplimiento de la programación en la vigencia así:
- Cero (0) operativos de control y seguimiento en el resto del distrito.
- Veintitrés (23) visitas de Evaluación a los elementos tipo valla tubular.
- Cincuenta (50) documentos técnicos firmados para el resto del Distrito.
- Dos (2) cargue de información a la plataforma SIIPEV.
- Sesenta y siete (67) evaluaciones a solicitudes de elementos de publicidad exterior visual.
Con lo anterior, se tiene un avance para el cuatrienio de 8.760 acciones de evaluación, control y seguimiento: 238 operativos de control y seguimiento, 614 visitas de evaluación a elementos mayores, 970 documentos técnicos, 54 visitas a elementos menores, 38 cargues de información a la plataforma SIIPEV, 6.846 evaluaciones a solicitudes de elementos de publicidad exterior visual.</t>
  </si>
  <si>
    <t>Para el periodo acumulado del primer trimestre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corresponde al 100% de cumplimiento para el primer trimestre del 2024.</t>
  </si>
  <si>
    <t>En el marco de la Gestión Integral de la Calidad del Aire de Bogotá, para la vigencia 2024 en el Primer Trimestre; se realizará la entrega de cuatro (4) documentos técnicos, así:
1. Plan Aire
Aporte Vigencia 2024: 2 Documentos
Informes semestrales de Seguimiento al Plan Estratégico para la Gestión Integral de la Calidad del Aire – Plan Aire 2030. 
Avance acumulado al Primer Trimestre: 0,8 en la vigencia.
2. Alertas
Aporte Vigencia 2024: 1 Documento
(1) documento Avance Informe de gestión del Sistema de Alertas Tempranas Ambientales en su componente aire 2024. 
Avance acumulado al Primer Trimestre: 0,60 en la vigencia.
3. Modelo
Aporte Vigencia 2024: 1 Documento
(1)	Inventario de Emisiones Atmosféricas de Bogotá correspondiente al 2023.
Avance acumulado al Primer Trimestre: 0,3 en la vigencia.
Con lo anterior se alcanza un acumulado al PDD de 27,7 documentos técnicos, correspondientes al 92% de avance acumulado.</t>
  </si>
  <si>
    <t>Acumulado en la vigencia 2024 Primer Trimestre, se reporta un avance del 51%, así;
Primer Informe Semestral de Seguimiento 2024 - I, en construcción a Marzo 31 de 2024, 51%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que se requieren en el Centro de Revisión Vehicular - CRV, vinculaciones al PAA y concesionarios, así visitas técnicas de auditoría a los equipos de medición en los Centros de Diagnóstico Automotor CDA'S, con esta información se construyó el informe de acciones de evaluación, control y seguimiento a las fuentes de emisión.
El avance acumulado del Cuatrienio, son 7,51 informes (93,87%) de los 8 informes programados para el cuatrienio.</t>
  </si>
  <si>
    <t xml:space="preserve">"En el marco de las acciones de evaluación, control y seguimiento a los factores de deterioro ambiental como los son los aire, ruido y pev,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145
N° de Conceptos Técnicos acogidos jurídicamente mediante acto administrativo: 145"
</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</si>
  <si>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para la modelación del evento, 
Con lo cual continuamos con el reporte del 100% de cumplimiento de la meta para la vigencia, además se gestionó con la Secretaria de salud una campaña de salud auditiva en colegios del Distrito</t>
  </si>
  <si>
    <t>1, 5. PROGRAMACIÓN INICIAL AÑO 2024</t>
  </si>
  <si>
    <t>Abril</t>
  </si>
  <si>
    <r>
      <rPr>
        <sz val="11"/>
        <color theme="10"/>
        <rFont val="Calibri (Cuerpo)"/>
      </rPr>
      <t xml:space="preserve">Carpeta: Estructura Ruta Evidencias – SCAAV.
2.	Carpeta: Metas Inversión PI, 2020 – 2024.
2.7.	Carpeta: Meta PI; DCA.
</t>
    </r>
    <r>
      <rPr>
        <u/>
        <sz val="11"/>
        <color theme="10"/>
        <rFont val="Calibri"/>
        <family val="2"/>
        <scheme val="minor"/>
      </rPr>
      <t xml:space="preserve">
</t>
    </r>
  </si>
  <si>
    <t xml:space="preserve">Realizar 9050 acciones técnico-jurídicas de evaluación, seguimiento y control sobre los elementos de publicidad exterior visual - PEV, instalados en el perímetro urbano del D.C.
</t>
  </si>
  <si>
    <t>Realizar 9050 acciones técnico-jurídicas de evaluación, seguimiento y control sobre los elementos de publicidad exterior visual - PEV, instalados en el perímetro urbano del D.C.</t>
  </si>
  <si>
    <t>7, LOGROS CORTE A MAYO AÑO 2024</t>
  </si>
  <si>
    <t>Mayo</t>
  </si>
  <si>
    <t>Se presenta un retraso de 142 Acciones un (34,38%), debido a que con el fin de mantener la acreditación como laboratorio ambiental en la matriz aire - emisión de ruido ante el IDEAM; se realizó la división de los equipos, esto por imparcialidad, confiabilidad y para prevenir conflicto de intereses. Lo cual ha implicado una menor ejecución de visitas en materia de emisión de ruido.</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</si>
  <si>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t>
  </si>
  <si>
    <t>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t>
  </si>
  <si>
    <t>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t>
  </si>
  <si>
    <t>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t>
  </si>
  <si>
    <t>Vigencia 2024: 254 acciones, 246 visitas y 8 otras acciones de gestión:
Avance acumulado para el cuatrienio 4.541 acciones correspondientes al 97% de ejecución. Distribuidas por vigencia de la siguiente manera: 
Vigencia 2020: 491 Acciones.
Vigencia 2021: 897 Acciones.
Vigencia 2022: 1.418 Acciones.
Vigencia 2023: 1.481 Acciones.
Vigencia 2024: 254 acciones.</t>
  </si>
  <si>
    <t>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t>
  </si>
  <si>
    <t>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t>
  </si>
  <si>
    <t>Para el acumulado en el mes de Mayo de 2024, se llevaron a cabo actividades de mantenimiento preventivo y correctivo de la RMCAB, logrando la operación correcta de los equipos de monitoreo. Se ha cumplido con las Acciones Correctivas (AC) y Acciones Preventivas (AP) asociados a la operación en campo de las estaciones. 
Avance acumulado de la actividad 83,3%.</t>
  </si>
  <si>
    <t>Avance Acumulado de la Actividad: 83,3%; en el mes de Mayo de 2024 se han realizado la validación total de los datos generados por los equipos de monitoreo de contaminantes y meteorología de la RMCAB.</t>
  </si>
  <si>
    <t>En la vigencia 2024 acumulado a Mayo de 2024; se presenta una ejecución del 66,66%, se ha cumplido con la entrega del informe para el mes de Abril.</t>
  </si>
  <si>
    <t>El acumulado  de la vigencia 2024, se está estructurando el enfoque para realizar actividades de comparaciones Inter laboratorio entre equipos y estaciones de las redes de la CAR y de la SDA.
Avance Acumulado 83,3%.</t>
  </si>
  <si>
    <t>El avance acumulado a Mayo de 2024, se instalaron temporalmente los microsensores usados para la medición de calidad del aire en la ZUMA de Bosa para ajustar sus datos con base en las mediciones de la red oficial.
Avance Acumulado 83,3%.</t>
  </si>
  <si>
    <t>Avance acumulado del 2024, 80% de los  Informes semestrales de Seguimiento al Plan Estratégico para la Gestión Integral de la Calidad del Aire – Plan Aire 2030.</t>
  </si>
  <si>
    <t>Durante la vigencia 2024; se presenta un avance  acumulado del 75% de un (01) documento: Avance Informe de gestión del Sistema de Alertas Tempranas Ambientales en su componente aire 2024.</t>
  </si>
  <si>
    <t>Acumulado en la vigencia 2024; con el fin de contrinuri en la construccion de uno (01) Inventario de Emisiones Atmosféricas de Bogotá correspondiente al 2023. Se presenta avance del 90%.</t>
  </si>
  <si>
    <t>Durante el primer trimestre se atendieron tramites de la siguiente manera 170 DP, 14 PQR, 10 IAS y 211 radicados para un total de 405 solicitudes, generando un total de 116 actuaciones técnicas entre conceptos e informes 
En el mes de Mayo de 2024 se atendieron tramites de la siguiente manera 112 DP, 29 PQR, 8 IAS y 27 radicados para un total de 176 solicitudes, generando un total de 35 actuaciones técnicas  entre conceptos e informes 
avanzando un 28,24% en la ejecucion</t>
  </si>
  <si>
    <t>Acumulado en el  2024  en cuanto al informe correspondiente al primer semestre de 2024, ya se cuenta con un avance en la estructuración con los siguientes ítems introducción, la conformación del área técnica grupo control a fuentes fijas  y  gestión en la evaluación control y seguimiento a fuentes de emisión, los operativos realizados en ocasión de las alertas ambientales presentadas durante el 2024, la atención del Sistema Institucional de Respuesta a Emergencias-SIRE, los seguimientos realizados a fuentes fijas de emisión que son objeto de permiso  y  las auditorías a las tomas de muestras realizadas por laboratorios acreditados por el IDEAM. Además se muestra la intervención mediante la generación de 45 actuaciones técnicas, producto de 65 visitas de Inspección, Vigilancia y Control en donde se atendieron procesos de la siguiente manera  112 DP, 29 PQR, 8 IAS y 27 radicados para un total de 176 solicitudes.
Avance Acumulado un 83,30% en la ejecución.</t>
  </si>
  <si>
    <t>"Durante el periodo 2024 se han realizado once (11) visitas de certificación y once (11) visitas de seguimiento a los equipos de medición en los Centros de Diagnóstico Automotor: 
En el mes de Mayo se realizaron se realizaron una (1) visitas de certificación y seis (6) de seguimiento, a los Centros de Diagnóstico Automotor: ABBA CDA REVISION TECNICO - MECANICA MOTOS, CDA EL PORVENIR, CDA DE LA 24, CDA PUENTE ARANDA 12-44, CENTRO DE DIAGNOSTICO AUTOMOTOR PREVITAX S.A, CDA MOTOS AVENIDA BOYACA SAS, CDA CENTRO MOTOR AV BOYACA.
Para este periodo se tiene un avance de ejecución del 73,33%</t>
  </si>
  <si>
    <t>Mayo 2024: Planeadas 187 visitas, ejecutadas 131 así: 1 visitas efectivas con medición, 88 visitas técnicas sin medición (55 correspondientes a inventarios, sensibilizaciones, seguimiento a actos administrativos y 33 para cerrar el caso y 42 visitas no efectivas para reprogramar.
Abril 2024: Planeadas 81 visitas, ejecutadas 38 así: 2 visitas efectivas con medición, 17 visitas técnicas sin medición correspondientes a inventarios, sensibilizaciones, seguimiento a actos administrativos y para cerrar el caso y 19 visitas no efectivas para reprogramar.
I Trimestre 2024: 
Planeadas 120 visitas, ejecutadas 77 así: 6 efectivas con medición, 27 efectivas sin medición entre sensibilizaciones y para cerrar el caso y 44 no efectivas para reprogramar.
Consolidado año 388 visitas planeadas, 246 visitas ejecutadas.</t>
  </si>
  <si>
    <t>Mayo 2024:
1 otras acciones de gestión planeadas, 1 fue ejecutada, de cual se generó 1 informe regular
Abril 2024:
3 otras acciones de gestión planeadas, 3 fueron ejecutadas, de las cuales 1 informe regular, 1 mesa de trabajo y 1 SUGA.
I Trimestre 2024: 
4 otras acciones de gestión planeadas, 4 fueron ejecutadas, de las cuales 1 informes de AP, 1 reunión o mesa de trabajo y 2 oficios SUGA.
Consolidado año 8 acciones planeadas y 8 ejecutadas.</t>
  </si>
  <si>
    <t>Durante Mayo del 2024 se garantizó la operación  de la red de ruido por medio de visitas de campo y cartas control donde obtuvo una representatividad de datos mayor al 85%.
Avance Acumulado de la actividad: 83,3%.</t>
  </si>
  <si>
    <t>Se presento el avance del informe correspondiente al mes de Mayo donde se reportan los análisis de Datos de ruido ambiental, la relación y ejecución de los contratos y convenios  y análisis de datos meteorológicos articulados con la ISO 17025.</t>
  </si>
  <si>
    <t>Para el mes de Mayo 2024, no se efectuaron operativos en las localidades del resto del distrito, siendo que esta actividad corresponde por demanda, por lo tanto se está sujeto al comportamiento de las solicitudes allegadas a la SDA.</t>
  </si>
  <si>
    <t>Acumulado del 2024,  se han efectuado 75 operativos sobre las localidades del resto del distrito. Sin embargo esta corresponde a una actividad por demanda, por lo tanto se está sujeto al comportamiento de las solicitudes allegadas a la SDA.</t>
  </si>
  <si>
    <t>Se presenta un acumulado anual de (120) documentos técnicos en la vigencia 2024 para el Resto del Distrito.</t>
  </si>
  <si>
    <t>El seguimiento al Sistema Integrado de Información de Publicación Exterior Visual – SIIPEV presenta un acumulado de (04) cargues de información en la plataforma.
Acumulado:
Enero: 00 cargues en el SIIPEV
Febrero: 01 cargue en el SIIPEV
Marzo: 01 cargue en el SIIPEV
Abril: 01 cargues en el SIIPEV
Mayo: 01 cargues en el SIIPEV.</t>
  </si>
  <si>
    <t>En el avance acumulado para la vigencia 2024 se tienen (155) evaluaciones técnicas, durante el mes de Mayo, se realizaron cincuenta y seis (56) evaluaciones técnicas. Esta corresponde a una actividad por demanda, por lo tanto se está sujeto al comportamiento de las solicitudes allegadas a la SDA.</t>
  </si>
  <si>
    <t>En el marco de las acciones de evaluación, control y seguimiento a los factores de deterioro ambiental como los son los aire, ruido y PEV, la Secretaría Distrital de Ambiente durante el periodo comprendido entre el 01 enero al 31 de mayo del año 2024, atendió el 100% de los conceptos técnicos que recomiendan una actuación administrativa sancionatoria, distribuida así:
N° de Conceptos Técnicos que recomiendan actuaciones administrativas sancionatorias: 579.</t>
  </si>
  <si>
    <t>Durante el periodo comprendido entre el 01 de enero al 31 de mayo 2024, se realizaron 8.152 acciones archivísticas, derivadas de la atención de los conceptos técnicos que recomiendan actuaciones administrativas en el marco del trámite sancionatorio así:
Apertura: 213			
Inserción sancionatorio: 250			
Encarpetado de expedientes: 741			
Préstamo de expedientes: 1.918			
Organización de expedientes: 876			
Fuid: 156			
Hoja de control: 868			
Clasificación documental: 90			
Asociación de radicados- FOREST: 242			
Alistamiento trasferencias documentales DCA: 176			
Inserción, revisión, depuración, levantamiento base de datos expedientes DCA: 172		
Foliación: 740			
Control de Calidad: 2			
Inserciones expedientes sancionatorios: 347			
Digitalización expedientes: 254			
Atención ventanilla: 69			
Recepción planillas de radicados (sancionatorios): 654			
Inserción permisivo: 38			
Perdida o extravió de documentos: 346.</t>
  </si>
  <si>
    <t>Durante el periodo comprendido entre el 01 de enero al 31 de mayo del 2024, se notificaron 345 actuaciones administrativas derivadas de las acciones del trámite sancionatorio.</t>
  </si>
  <si>
    <t>Durante el periodo comprendido entre el 01 de enero al 31 de mayo de 2024, se generaron 3  de informes técnicos de criterio con procesos 5449195, 5954942 y 5954953 para la tasación de multas en el marco del proceso sancionatorio de la DCA.</t>
  </si>
  <si>
    <r>
      <t>La Secretaría Distrital de Ambiente, en el marco del cumplimiento de la meta de la concentración promedio ponderado de ciudad de material particulado PM10 presenta un reporte en la vigencia 2024 de</t>
    </r>
    <r>
      <rPr>
        <b/>
        <sz val="11"/>
        <color theme="1"/>
        <rFont val="Arial"/>
        <family val="2"/>
      </rPr>
      <t xml:space="preserve"> 37,4 </t>
    </r>
    <r>
      <rPr>
        <sz val="11"/>
        <color theme="1"/>
        <rFont val="Arial"/>
        <family val="2"/>
      </rPr>
      <t>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Es importante mencionar que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posteriores a la pandemia, producto de la reactivación de la movilidad post pandemia y la reactivación económica que incluye obras de infraestructura en ejecución.
Así mismo, la medición de variables físicas como es la concentración de material particulado en el aire, depende de factores como la meteorología, las emisiones por las fuentes locales, la actividad económica, la dinámica de la ciudad, los eventos regionales y globales de contaminación de gran magnitud, entre otros. La gran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t>
    </r>
  </si>
  <si>
    <r>
      <t xml:space="preserve">La Secretaría Distrital de Ambiente, en el marco del cumplimiento de la meta de la concentración promedio ponderado de ciudad de material particulado PM2,5 presenta un reporte en la vigencia de 2024 de </t>
    </r>
    <r>
      <rPr>
        <b/>
        <sz val="11"/>
        <color theme="1"/>
        <rFont val="Arial"/>
        <family val="2"/>
      </rPr>
      <t>18,4</t>
    </r>
    <r>
      <rPr>
        <sz val="11"/>
        <color theme="1"/>
        <rFont val="Arial"/>
        <family val="2"/>
      </rPr>
      <t xml:space="preserve">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Es importante mencionar que el cumplimiento de este indicador se encuentra influenciado por fenómenos externos, generados por el transporte atmosférico tales como los incendios forestales de la Orinoquía (Meta, Casanare, Venezuela) y Amazonía que influyen en la calidad del aire de la ciudad en determinadas épocas del año. Sumado al incremento del material particulado respecto a los años posteriores a la pandemia, producto de la reactivación de la movilidad post pandemia y la reactivación económica que incluye obras de infraestructura en ejecución.
Así mismo, la medición de variables físicas como es la concentración de material particulado en el aire, depende de factores como la meteorología, las emisiones por las fuentes locales, la actividad económica, la dinámica de la ciudad, los eventos regionales y globales de contaminación de gran magnitud, entre otros. La gran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t>
    </r>
  </si>
  <si>
    <t>Durante la vigencia 2024 se han realizado un total de 7.115. Cumplimiento de la meta de la vigencia y el 100% del cuatrienio. Total: 72.960 revisiones a vehiculos
En el mes de mayo se realizaron un total de  438 revisiones.
Para este periodo se tiene un avance de ejecución del 100%.</t>
  </si>
  <si>
    <t>En cumplimiento de la meta, el acumulado PDD  del cuatrienio: 3.842 visitas, 699 otras acciones de gestión, total 4.541 Acciones así:
• Acumulado 2024: 254 acciones, 246 visitas y 8 otras acciones de gestión
• Vigencia 2020: 491 acciones, entre 374 visitas y 117 otras acciones de gestión.
• Vigencia 2021: 897 acciones, entre 761 visitas y 136 otras acciones de gestión
• Vigencia 2022: 1418 acciones, entre 1202 visitas y 216 otras acciones de gestión
• Vigencia 2023: 1481 acciones, entre 1259 visitas y 222 otras acciones de gestión.</t>
  </si>
  <si>
    <t>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 y se realiza la solicitud de prórroga del convenio 0941 con la secretaria de seguridad convivencia y justicia,
Así mismo, Se logro en la vigencia del PDD:
•	Poner en operación la red de ruido más grande de América.
•	Se ha logrado una representatividad de los datos superior al 85%, asegurando el correcto y continuo funcionamiento de la red, a partir de mantenimientos y calibraciones
•	Se actualizaron los mapas estratégicos de ruido (MER) del Distrito adoptando los últimos estándares internacionales disgregando por tipología vehicular. Es la primera vez que una entidad gubernamental realiza este tipo de trabajo por sus propios medios, sin tercerización, ahorrando a la entidad más de 3.500 millones
•	Se calculó con mayor precisión el indicador de porcentaje de población urbana afectada por ruido (%PUAR) de manera tridimensional, teniendo en cuenta la altura de las edificaciones a través de mapas de fachadas. Es la primera vez que se realiza el mapeo en 3D para un territorio tan extenso, a nivel nacional
•	Se instalaron tres (3) estaciones de monitoreo de ruido ambiental bajo criterios OACI para el seguimiento a las operaciones aeroportuarias de la pista sur.
•	Se actualizaron los procedimientos de la red y se generaron documentos complementarios a los mismos
•	Se adquirieron estaciones meteorológicas para validación de los registros de ruido en cumplimiento del método de la ISO 1996 que se pretende acreditar ante el IDEAM
•	Se estandarizó la operación estadística de la RMRAB y se definió la hoja de ruta para futuros reportes del indicador %PUAR, mejorando la calidad de la información estadística generada por la RMRAB y realizando aporte al Plan Estadístico Distrital (PED) por parte de la SCAAV.
•	Se generaron siete (7) informes técnicos semestrales asociados a la operación de la red de ruido.
•	Se repusieron las estaciones vandalizadas durante las protestas del 2020 y 2021.
•	Se adquirió y renovó la licencia del software de modelación acústica SoundPLAN.</t>
  </si>
  <si>
    <t>La Secretaría Distrital de Ambiente, en el marco de las acciones de seguimiento y control sobre los elementos de Publicidad Exterior Visual - PEV en las zonas con mayor densidad, ha avanzado al Plan de Desarrollo en 3.993 acciones:
195 corresponden a la vigencia 2020
	Operativos de Control y Sensibilización 69
	Seguimientos Vallas 74
	Documentos de operativos de control  52
794 acciones para la vigencia 2021
	Operativos de Control y Sensibilización 330
	Seguimientos Vallas 98
	Documentos de operativos de control 366
1.234 para la vigencia 2022, 
	Operativos de Control y Sensibilización 418
	Seguimientos Vallas 172
	Documentos de operativos de control  644
1.472 para la vigencia 2023
	Operativos de Control y Sensibilización 207
	Seguimientos Vallas 296
	Documentos de operativos de control  969
298 para la vigencia 2024
	Operativos de Control y Sensibilización 13
	Seguimientos Vallas 117
	Documentos de operativos de control  168</t>
  </si>
  <si>
    <t>CORTE A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</si>
</sst>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0"/>
    <numFmt numFmtId="179" formatCode="&quot;$&quot;\ #,##0"/>
    <numFmt numFmtId="180" formatCode="&quot;$&quot;\ #,##0.00"/>
    <numFmt numFmtId="181" formatCode="#,##0.0"/>
    <numFmt numFmtId="182" formatCode="0.0"/>
    <numFmt numFmtId="183" formatCode="#,##0.0_ ;\-#,##0.0\ "/>
    <numFmt numFmtId="184" formatCode="_-* #,##0_-;\-* #,##0_-;_-* &quot;-&quot;??_-;_-@_-"/>
    <numFmt numFmtId="185" formatCode="_-&quot;$&quot;\ * #,##0.0_-;\-&quot;$&quot;\ * #,##0.0_-;_-&quot;$&quot;\ * &quot;-&quot;_-;_-@_-"/>
    <numFmt numFmtId="186" formatCode="#,##0_ ;[Red]\-#,##0\ "/>
    <numFmt numFmtId="187" formatCode="_-* #,##0.00_-;\-* #,##0.00_-;_-* &quot;-&quot;_-;_-@_-"/>
    <numFmt numFmtId="188" formatCode="_-&quot;$&quot;\ * #,##0.00_-;\-&quot;$&quot;\ * #,##0.00_-;_-&quot;$&quot;\ * &quot;-&quot;_-;_-@_-"/>
    <numFmt numFmtId="189" formatCode="#,##0.0;\-#,##0.0"/>
    <numFmt numFmtId="191" formatCode="_-&quot;$&quot;\ * #,##0_-;\-&quot;$&quot;\ * #,##0_-;_-&quot;$&quot;\ * &quot;-&quot;_-;_-@_-"/>
    <numFmt numFmtId="192" formatCode="_-* #,##0_-;\-* #,##0_-;_-* &quot;-&quot;_-;_-@_-"/>
    <numFmt numFmtId="193" formatCode="_-&quot;$&quot;\ * #,##0.00_-;\-&quot;$&quot;\ * #,##0.00_-;_-&quot;$&quot;\ * &quot;-&quot;??_-;_-@_-"/>
    <numFmt numFmtId="194" formatCode="_-* #,##0.00_-;\-* #,##0.00_-;_-* &quot;-&quot;??_-;_-@_-"/>
  </numFmts>
  <fonts count="7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9"/>
      <name val="Arial"/>
      <family val="2"/>
    </font>
    <font>
      <sz val="9"/>
      <color indexed="8"/>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1"/>
      <color rgb="FF000000"/>
      <name val="Calibri"/>
      <family val="2"/>
      <scheme val="minor"/>
    </font>
    <font>
      <b/>
      <sz val="10"/>
      <color theme="1"/>
      <name val="Arial"/>
      <family val="2"/>
    </font>
    <font>
      <b/>
      <sz val="8"/>
      <color rgb="FF000000"/>
      <name val="Times New Roman"/>
      <family val="1"/>
    </font>
    <font>
      <sz val="14"/>
      <name val="Arial"/>
      <family val="2"/>
    </font>
    <font>
      <sz val="14"/>
      <color indexed="8"/>
      <name val="Arial"/>
      <family val="2"/>
    </font>
    <font>
      <b/>
      <sz val="16"/>
      <name val="Arial"/>
      <family val="2"/>
    </font>
    <font>
      <sz val="18"/>
      <color theme="1"/>
      <name val="Calibri"/>
      <family val="2"/>
      <scheme val="minor"/>
    </font>
    <font>
      <b/>
      <sz val="30"/>
      <name val="Arial"/>
      <family val="2"/>
    </font>
    <font>
      <b/>
      <sz val="30"/>
      <name val="Calibri"/>
      <family val="2"/>
      <scheme val="minor"/>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9"/>
      <color rgb="FF000000"/>
      <name val="Tahoma"/>
      <family val="2"/>
    </font>
    <font>
      <sz val="9"/>
      <color rgb="FF000000"/>
      <name val="Tahoma"/>
      <family val="2"/>
    </font>
    <font>
      <sz val="10"/>
      <color rgb="FFFF0000"/>
      <name val="Arial"/>
      <family val="2"/>
    </font>
    <font>
      <sz val="11"/>
      <color indexed="8"/>
      <name val="Arial"/>
      <family val="2"/>
    </font>
    <font>
      <sz val="11"/>
      <color theme="1"/>
      <name val="Arial"/>
      <family val="2"/>
    </font>
    <font>
      <b/>
      <sz val="22"/>
      <color indexed="8"/>
      <name val="Calibri"/>
      <family val="2"/>
    </font>
    <font>
      <b/>
      <sz val="22"/>
      <name val="Arial"/>
      <family val="2"/>
    </font>
    <font>
      <sz val="10"/>
      <color theme="1"/>
      <name val="Arial Narrow"/>
      <family val="2"/>
    </font>
    <font>
      <u/>
      <sz val="11"/>
      <name val="Calibri"/>
      <family val="2"/>
      <scheme val="minor"/>
    </font>
    <font>
      <sz val="11"/>
      <name val="Calibri (Cuerpo)"/>
    </font>
    <font>
      <sz val="11"/>
      <color theme="10"/>
      <name val="Calibri (Cuerpo)"/>
    </font>
    <font>
      <sz val="10"/>
      <color theme="0"/>
      <name val="Arial"/>
      <family val="2"/>
    </font>
    <font>
      <sz val="10"/>
      <name val="Calibri"/>
      <family val="2"/>
      <scheme val="minor"/>
    </font>
    <font>
      <b/>
      <sz val="11"/>
      <name val="Arial"/>
      <family val="2"/>
    </font>
    <font>
      <b/>
      <u/>
      <sz val="8"/>
      <name val="Arial"/>
      <family val="2"/>
    </font>
    <font>
      <b/>
      <sz val="16"/>
      <color theme="1"/>
      <name val="Arial"/>
      <family val="2"/>
    </font>
    <font>
      <b/>
      <sz val="10"/>
      <name val="Calibri"/>
      <family val="2"/>
      <scheme val="minor"/>
    </font>
    <font>
      <sz val="10"/>
      <name val="Calibri"/>
      <family val="2"/>
    </font>
    <font>
      <sz val="10"/>
      <color theme="10"/>
      <name val="Calibri (Cuerpo)"/>
    </font>
    <font>
      <u/>
      <sz val="10"/>
      <color theme="10"/>
      <name val="Calibri"/>
      <family val="2"/>
      <scheme val="minor"/>
    </font>
    <font>
      <b/>
      <sz val="11"/>
      <color theme="1"/>
      <name val="Arial"/>
      <family val="2"/>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FF00"/>
        <bgColor indexed="64"/>
      </patternFill>
    </fill>
    <fill>
      <patternFill patternType="solid">
        <fgColor rgb="FF669900"/>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s>
  <cellStyleXfs count="3231">
    <xf numFmtId="0" fontId="0" fillId="0" borderId="0"/>
    <xf numFmtId="172" fontId="8"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16"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6" fillId="0" borderId="0" applyFont="0" applyFill="0" applyBorder="0" applyAlignment="0" applyProtection="0"/>
    <xf numFmtId="166" fontId="12"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0" fontId="4" fillId="0" borderId="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49" fontId="30" fillId="0" borderId="0" applyFill="0" applyBorder="0" applyProtection="0">
      <alignment horizontal="left" vertical="center"/>
    </xf>
    <xf numFmtId="0" fontId="31" fillId="0" borderId="0" applyNumberFormat="0" applyFill="0" applyBorder="0" applyProtection="0">
      <alignment horizontal="left" vertical="center"/>
    </xf>
    <xf numFmtId="0" fontId="31" fillId="0" borderId="0" applyNumberFormat="0" applyFill="0" applyBorder="0" applyProtection="0">
      <alignment horizontal="righ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0" fontId="21" fillId="0" borderId="1" applyNumberFormat="0" applyFont="0" applyFill="0" applyAlignment="0" applyProtection="0"/>
    <xf numFmtId="43"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8"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4" fontId="30" fillId="0" borderId="0" applyFill="0" applyBorder="0" applyProtection="0">
      <alignment horizontal="right" vertical="center"/>
    </xf>
    <xf numFmtId="22" fontId="30" fillId="0" borderId="0" applyFill="0" applyBorder="0" applyProtection="0">
      <alignment horizontal="right" vertical="center"/>
    </xf>
    <xf numFmtId="4" fontId="30" fillId="0" borderId="0" applyFill="0" applyBorder="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0" fontId="29" fillId="5" borderId="0" applyNumberFormat="0" applyBorder="0" applyAlignment="0" applyProtection="0"/>
    <xf numFmtId="0" fontId="32" fillId="5" borderId="0" applyNumberFormat="0" applyBorder="0" applyAlignment="0" applyProtection="0"/>
    <xf numFmtId="177" fontId="30" fillId="0" borderId="0" applyFill="0" applyBorder="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0" fontId="31" fillId="2" borderId="0" applyNumberFormat="0" applyBorder="0" applyProtection="0">
      <alignment horizontal="center" vertical="center"/>
    </xf>
    <xf numFmtId="0" fontId="31" fillId="12" borderId="0" applyNumberFormat="0" applyBorder="0" applyProtection="0">
      <alignment horizontal="center" vertical="center" wrapText="1"/>
    </xf>
    <xf numFmtId="0" fontId="30" fillId="12" borderId="0" applyNumberFormat="0" applyBorder="0" applyProtection="0">
      <alignment horizontal="right" vertical="center" wrapText="1"/>
    </xf>
    <xf numFmtId="0" fontId="31" fillId="13" borderId="0" applyNumberFormat="0" applyBorder="0" applyProtection="0">
      <alignment horizontal="center" vertical="center"/>
    </xf>
    <xf numFmtId="0" fontId="31" fillId="14" borderId="0" applyNumberFormat="0" applyBorder="0" applyProtection="0">
      <alignment horizontal="center" vertical="center" wrapText="1"/>
    </xf>
    <xf numFmtId="0" fontId="31" fillId="14" borderId="0" applyNumberFormat="0" applyBorder="0" applyProtection="0">
      <alignment horizontal="righ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6"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3" fillId="0" borderId="0" applyFont="0" applyFill="0" applyBorder="0" applyAlignment="0" applyProtection="0"/>
    <xf numFmtId="169"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9"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16" fillId="0" borderId="0" applyFont="0" applyFill="0" applyBorder="0" applyAlignment="0" applyProtection="0"/>
    <xf numFmtId="168" fontId="4" fillId="0" borderId="0" applyFont="0" applyFill="0" applyBorder="0" applyAlignment="0" applyProtection="0"/>
    <xf numFmtId="165" fontId="1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6"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35" fillId="9" borderId="0" applyNumberFormat="0" applyBorder="0" applyAlignment="0" applyProtection="0"/>
    <xf numFmtId="0" fontId="16" fillId="0" borderId="0"/>
    <xf numFmtId="0" fontId="4" fillId="0" borderId="0"/>
    <xf numFmtId="0" fontId="33" fillId="0" borderId="0"/>
    <xf numFmtId="0" fontId="27" fillId="0" borderId="0"/>
    <xf numFmtId="0" fontId="27" fillId="0" borderId="0"/>
    <xf numFmtId="0" fontId="33" fillId="0" borderId="0"/>
    <xf numFmtId="0" fontId="4" fillId="0" borderId="0"/>
    <xf numFmtId="0" fontId="16" fillId="0" borderId="0"/>
    <xf numFmtId="0" fontId="4" fillId="0" borderId="0"/>
    <xf numFmtId="0" fontId="33" fillId="0" borderId="0"/>
    <xf numFmtId="0" fontId="33" fillId="0" borderId="0"/>
    <xf numFmtId="0" fontId="28" fillId="0" borderId="0"/>
    <xf numFmtId="0" fontId="36" fillId="0" borderId="0"/>
    <xf numFmtId="0" fontId="4" fillId="0" borderId="0"/>
    <xf numFmtId="3" fontId="30" fillId="0" borderId="0" applyFill="0" applyBorder="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6" fillId="0" borderId="0" applyFont="0" applyFill="0" applyBorder="0" applyAlignment="0" applyProtection="0"/>
    <xf numFmtId="0" fontId="28" fillId="0" borderId="0"/>
    <xf numFmtId="0" fontId="52" fillId="0" borderId="0" applyNumberFormat="0" applyFill="0" applyBorder="0" applyAlignment="0" applyProtection="0"/>
    <xf numFmtId="164" fontId="16" fillId="0" borderId="0" applyFont="0" applyFill="0" applyBorder="0" applyAlignment="0" applyProtection="0"/>
    <xf numFmtId="41" fontId="16"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6" fillId="0" borderId="0" applyFont="0" applyFill="0" applyBorder="0" applyAlignment="0" applyProtection="0"/>
    <xf numFmtId="41" fontId="16"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6" fillId="0" borderId="0" applyFont="0" applyFill="0" applyBorder="0" applyAlignment="0" applyProtection="0"/>
    <xf numFmtId="41" fontId="16"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6" fillId="0" borderId="0" applyFont="0" applyFill="0" applyBorder="0" applyAlignment="0" applyProtection="0"/>
    <xf numFmtId="41" fontId="16"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33"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28" fillId="0" borderId="0" applyFont="0" applyFill="0" applyBorder="0" applyAlignment="0" applyProtection="0"/>
    <xf numFmtId="194" fontId="28"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1" fontId="16"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91" fontId="16" fillId="0" borderId="0" applyFont="0" applyFill="0" applyBorder="0" applyAlignment="0" applyProtection="0"/>
    <xf numFmtId="192" fontId="16" fillId="0" borderId="0" applyFont="0" applyFill="0" applyBorder="0" applyAlignment="0" applyProtection="0"/>
    <xf numFmtId="194"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33"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28" fillId="0" borderId="0" applyFont="0" applyFill="0" applyBorder="0" applyAlignment="0" applyProtection="0"/>
    <xf numFmtId="194" fontId="28"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1" fontId="16"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1" fontId="16" fillId="0" borderId="0" applyFont="0" applyFill="0" applyBorder="0" applyAlignment="0" applyProtection="0"/>
    <xf numFmtId="192" fontId="16" fillId="0" borderId="0" applyFont="0" applyFill="0" applyBorder="0" applyAlignment="0" applyProtection="0"/>
    <xf numFmtId="194"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33"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28" fillId="0" borderId="0" applyFont="0" applyFill="0" applyBorder="0" applyAlignment="0" applyProtection="0"/>
    <xf numFmtId="194" fontId="28"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1" fontId="16"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1" fontId="16" fillId="0" borderId="0" applyFont="0" applyFill="0" applyBorder="0" applyAlignment="0" applyProtection="0"/>
    <xf numFmtId="192" fontId="16" fillId="0" borderId="0" applyFont="0" applyFill="0" applyBorder="0" applyAlignment="0" applyProtection="0"/>
    <xf numFmtId="194"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2"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2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33"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28" fillId="0" borderId="0" applyFont="0" applyFill="0" applyBorder="0" applyAlignment="0" applyProtection="0"/>
    <xf numFmtId="194" fontId="28"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 fillId="0" borderId="0" applyFont="0" applyFill="0" applyBorder="0" applyAlignment="0" applyProtection="0"/>
    <xf numFmtId="194" fontId="16"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1" fontId="16"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1" fontId="16" fillId="0" borderId="0" applyFont="0" applyFill="0" applyBorder="0" applyAlignment="0" applyProtection="0"/>
    <xf numFmtId="192" fontId="16"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36" fillId="0" borderId="0"/>
  </cellStyleXfs>
  <cellXfs count="945">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22" fillId="0" borderId="0" xfId="0" applyFont="1"/>
    <xf numFmtId="0" fontId="24" fillId="0" borderId="0" xfId="0" applyFont="1"/>
    <xf numFmtId="0" fontId="4" fillId="3" borderId="0" xfId="0" applyFont="1" applyFill="1"/>
    <xf numFmtId="0" fontId="11"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37" fillId="15" borderId="0" xfId="0" applyFont="1" applyFill="1"/>
    <xf numFmtId="4" fontId="37" fillId="15" borderId="0" xfId="0" applyNumberFormat="1" applyFont="1" applyFill="1"/>
    <xf numFmtId="0" fontId="38" fillId="15" borderId="0" xfId="0" applyFont="1" applyFill="1"/>
    <xf numFmtId="10" fontId="3" fillId="2" borderId="0" xfId="16" applyNumberFormat="1" applyFont="1" applyFill="1" applyAlignment="1">
      <alignment vertical="center"/>
    </xf>
    <xf numFmtId="179" fontId="18" fillId="0" borderId="0" xfId="0" applyNumberFormat="1" applyFont="1" applyAlignment="1">
      <alignment horizontal="center" vertical="center"/>
    </xf>
    <xf numFmtId="179" fontId="0" fillId="0" borderId="0" xfId="0" applyNumberFormat="1"/>
    <xf numFmtId="0" fontId="9" fillId="0" borderId="0" xfId="0" applyFont="1" applyAlignment="1">
      <alignment horizontal="left" vertical="center" wrapText="1"/>
    </xf>
    <xf numFmtId="0" fontId="9" fillId="0" borderId="18" xfId="0" applyFont="1" applyBorder="1" applyAlignment="1">
      <alignment horizontal="left" vertical="center" wrapText="1"/>
    </xf>
    <xf numFmtId="10" fontId="4" fillId="16" borderId="4" xfId="16" applyNumberFormat="1" applyFill="1" applyBorder="1" applyAlignment="1">
      <alignment horizontal="center" vertical="center" wrapText="1"/>
    </xf>
    <xf numFmtId="0" fontId="40" fillId="18" borderId="1" xfId="2866" applyFont="1" applyFill="1" applyBorder="1" applyAlignment="1">
      <alignment horizontal="center" vertical="center" wrapText="1"/>
    </xf>
    <xf numFmtId="42" fontId="5" fillId="0" borderId="0" xfId="2865" applyFont="1" applyFill="1" applyAlignment="1">
      <alignment horizontal="center"/>
    </xf>
    <xf numFmtId="179" fontId="5" fillId="0" borderId="0" xfId="0" applyNumberFormat="1" applyFont="1" applyAlignment="1">
      <alignment horizontal="center"/>
    </xf>
    <xf numFmtId="0" fontId="23"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0" fontId="15" fillId="0" borderId="1" xfId="9" applyNumberFormat="1" applyFont="1" applyFill="1" applyBorder="1" applyAlignment="1">
      <alignment horizontal="center" vertical="center"/>
    </xf>
    <xf numFmtId="180" fontId="0" fillId="0" borderId="0" xfId="0" applyNumberFormat="1" applyAlignment="1">
      <alignment horizontal="center" vertical="center"/>
    </xf>
    <xf numFmtId="180" fontId="18" fillId="0" borderId="0" xfId="0" applyNumberFormat="1" applyFont="1" applyAlignment="1">
      <alignment horizontal="center" vertical="center"/>
    </xf>
    <xf numFmtId="4" fontId="37" fillId="15" borderId="0" xfId="0" applyNumberFormat="1" applyFont="1" applyFill="1" applyAlignment="1">
      <alignment horizontal="center"/>
    </xf>
    <xf numFmtId="179" fontId="0" fillId="0" borderId="0" xfId="0" applyNumberFormat="1" applyAlignment="1">
      <alignment horizontal="center" vertical="center"/>
    </xf>
    <xf numFmtId="3" fontId="41" fillId="0" borderId="0" xfId="0" applyNumberFormat="1" applyFont="1"/>
    <xf numFmtId="180" fontId="5" fillId="0" borderId="0" xfId="0" applyNumberFormat="1" applyFont="1" applyAlignment="1">
      <alignment horizontal="center"/>
    </xf>
    <xf numFmtId="43" fontId="5" fillId="0" borderId="0" xfId="0" applyNumberFormat="1" applyFont="1" applyAlignment="1">
      <alignment horizontal="center"/>
    </xf>
    <xf numFmtId="180" fontId="15"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0" fontId="15"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0" fontId="43" fillId="0" borderId="1" xfId="9" applyNumberFormat="1" applyFont="1" applyFill="1" applyBorder="1" applyAlignment="1">
      <alignment horizontal="center" vertical="center"/>
    </xf>
    <xf numFmtId="179" fontId="43" fillId="0" borderId="1" xfId="9" applyNumberFormat="1" applyFont="1" applyFill="1" applyBorder="1" applyAlignment="1">
      <alignment horizontal="center" vertical="center"/>
    </xf>
    <xf numFmtId="0" fontId="21" fillId="0" borderId="0" xfId="0" applyFont="1" applyAlignment="1">
      <alignment horizontal="center" vertical="center"/>
    </xf>
    <xf numFmtId="9" fontId="4" fillId="0" borderId="1" xfId="21" applyFont="1" applyFill="1" applyBorder="1" applyAlignment="1">
      <alignment horizontal="center" vertical="center" wrapText="1"/>
    </xf>
    <xf numFmtId="0" fontId="9" fillId="0" borderId="0" xfId="0" applyFont="1" applyAlignment="1">
      <alignment vertical="center" wrapText="1"/>
    </xf>
    <xf numFmtId="0" fontId="45" fillId="0" borderId="0" xfId="0" applyFont="1"/>
    <xf numFmtId="42" fontId="4" fillId="0" borderId="1" xfId="2865" applyFont="1" applyFill="1" applyBorder="1" applyAlignment="1">
      <alignment horizontal="center" vertical="center" wrapText="1"/>
    </xf>
    <xf numFmtId="42" fontId="21" fillId="0" borderId="1" xfId="2865" applyFont="1" applyFill="1" applyBorder="1" applyAlignment="1">
      <alignment horizontal="center" vertical="center"/>
    </xf>
    <xf numFmtId="0" fontId="17" fillId="0" borderId="0" xfId="0" applyFont="1" applyAlignment="1">
      <alignment horizontal="center" vertical="center"/>
    </xf>
    <xf numFmtId="179" fontId="21" fillId="0" borderId="1" xfId="9" applyNumberFormat="1" applyFont="1" applyFill="1" applyBorder="1" applyAlignment="1">
      <alignment horizontal="center" vertical="center"/>
    </xf>
    <xf numFmtId="179" fontId="17" fillId="0" borderId="0" xfId="0" applyNumberFormat="1" applyFont="1" applyAlignment="1">
      <alignment horizontal="center" vertical="center"/>
    </xf>
    <xf numFmtId="180" fontId="21" fillId="0" borderId="1" xfId="9" applyNumberFormat="1" applyFont="1" applyFill="1" applyBorder="1" applyAlignment="1">
      <alignment horizontal="center" vertical="center"/>
    </xf>
    <xf numFmtId="179" fontId="48"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27" fillId="0" borderId="1" xfId="2865"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0" fontId="49" fillId="0" borderId="0" xfId="16" applyFont="1" applyAlignment="1">
      <alignment vertical="center"/>
    </xf>
    <xf numFmtId="173" fontId="11" fillId="17" borderId="1" xfId="0" applyNumberFormat="1" applyFont="1" applyFill="1" applyBorder="1" applyAlignment="1">
      <alignment vertical="center"/>
    </xf>
    <xf numFmtId="173" fontId="51" fillId="16" borderId="1" xfId="0" applyNumberFormat="1" applyFont="1" applyFill="1" applyBorder="1" applyAlignment="1">
      <alignment vertical="center"/>
    </xf>
    <xf numFmtId="173" fontId="51"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179" fontId="0" fillId="0" borderId="0" xfId="0" applyNumberFormat="1" applyAlignment="1">
      <alignment horizontal="center"/>
    </xf>
    <xf numFmtId="9" fontId="43" fillId="0" borderId="1" xfId="21" applyFont="1" applyFill="1" applyBorder="1" applyAlignment="1">
      <alignment horizontal="center" vertical="center"/>
    </xf>
    <xf numFmtId="42" fontId="5" fillId="3" borderId="0" xfId="0" applyNumberFormat="1" applyFont="1" applyFill="1" applyAlignment="1">
      <alignment horizontal="center"/>
    </xf>
    <xf numFmtId="0" fontId="40" fillId="17" borderId="1" xfId="0" applyFont="1" applyFill="1" applyBorder="1" applyAlignment="1">
      <alignment horizontal="center" vertical="center"/>
    </xf>
    <xf numFmtId="184" fontId="40" fillId="18" borderId="1" xfId="5" applyNumberFormat="1" applyFont="1" applyFill="1" applyBorder="1" applyAlignment="1">
      <alignment horizontal="center" vertical="center" wrapText="1"/>
    </xf>
    <xf numFmtId="164" fontId="27" fillId="0" borderId="1" xfId="2868" applyFont="1" applyBorder="1" applyAlignment="1">
      <alignment horizontal="center" vertical="center"/>
    </xf>
    <xf numFmtId="0" fontId="27" fillId="0" borderId="0" xfId="0" applyFont="1" applyAlignment="1">
      <alignment horizontal="center" vertical="center"/>
    </xf>
    <xf numFmtId="9" fontId="27" fillId="0" borderId="1" xfId="24" applyFont="1" applyBorder="1" applyAlignment="1">
      <alignment horizontal="center" vertical="center"/>
    </xf>
    <xf numFmtId="0" fontId="27" fillId="0" borderId="0" xfId="0" applyFont="1" applyAlignment="1">
      <alignment horizontal="center" vertical="center" wrapText="1"/>
    </xf>
    <xf numFmtId="4" fontId="27" fillId="0" borderId="1" xfId="0" applyNumberFormat="1" applyFont="1" applyBorder="1" applyAlignment="1">
      <alignment horizontal="center" vertical="center" wrapText="1"/>
    </xf>
    <xf numFmtId="3" fontId="27" fillId="0" borderId="1" xfId="0" applyNumberFormat="1" applyFont="1" applyBorder="1" applyAlignment="1">
      <alignment horizontal="center" vertical="center" wrapText="1"/>
    </xf>
    <xf numFmtId="0" fontId="27" fillId="0" borderId="1" xfId="0" applyFont="1" applyBorder="1" applyAlignment="1">
      <alignment wrapText="1"/>
    </xf>
    <xf numFmtId="0" fontId="27" fillId="0" borderId="0" xfId="0" applyFont="1"/>
    <xf numFmtId="1" fontId="27" fillId="0" borderId="1" xfId="0" applyNumberFormat="1" applyFont="1" applyBorder="1" applyAlignment="1">
      <alignment horizontal="center" vertical="center" wrapText="1"/>
    </xf>
    <xf numFmtId="0" fontId="27" fillId="0" borderId="1" xfId="0" applyFont="1" applyBorder="1" applyAlignment="1">
      <alignment horizontal="left" wrapText="1"/>
    </xf>
    <xf numFmtId="0" fontId="27" fillId="0" borderId="37" xfId="0" applyFont="1" applyBorder="1" applyAlignment="1">
      <alignment horizontal="left" wrapText="1"/>
    </xf>
    <xf numFmtId="0" fontId="27" fillId="0" borderId="1" xfId="0" applyFont="1" applyBorder="1" applyAlignment="1">
      <alignment horizontal="left" vertical="top" wrapText="1"/>
    </xf>
    <xf numFmtId="9" fontId="27" fillId="0" borderId="7" xfId="24" applyFont="1" applyBorder="1" applyAlignment="1">
      <alignment horizontal="center" vertical="center"/>
    </xf>
    <xf numFmtId="4" fontId="27" fillId="0" borderId="1" xfId="0" applyNumberFormat="1" applyFont="1" applyBorder="1" applyAlignment="1">
      <alignment horizontal="center" vertical="center"/>
    </xf>
    <xf numFmtId="3" fontId="27" fillId="0" borderId="1" xfId="0" applyNumberFormat="1" applyFont="1" applyBorder="1" applyAlignment="1">
      <alignment horizontal="center" vertical="center"/>
    </xf>
    <xf numFmtId="9" fontId="27" fillId="0" borderId="1" xfId="0" applyNumberFormat="1" applyFont="1" applyBorder="1" applyAlignment="1">
      <alignment horizontal="center" vertical="center"/>
    </xf>
    <xf numFmtId="0" fontId="9" fillId="0" borderId="0" xfId="0" applyFont="1" applyAlignment="1">
      <alignment horizontal="center" vertical="center" wrapText="1"/>
    </xf>
    <xf numFmtId="3" fontId="9" fillId="0" borderId="0" xfId="0" applyNumberFormat="1" applyFont="1" applyAlignment="1">
      <alignment horizontal="left" vertical="center" wrapText="1"/>
    </xf>
    <xf numFmtId="42" fontId="27" fillId="0" borderId="0" xfId="2865" applyFont="1" applyAlignment="1">
      <alignment horizontal="center" vertical="center"/>
    </xf>
    <xf numFmtId="42" fontId="40" fillId="18" borderId="1" xfId="2865" applyFont="1" applyFill="1" applyBorder="1" applyAlignment="1">
      <alignment horizontal="center" vertical="center" wrapText="1"/>
    </xf>
    <xf numFmtId="42" fontId="27" fillId="0" borderId="1" xfId="2865" applyFont="1" applyBorder="1" applyAlignment="1">
      <alignment horizontal="center" vertical="center" wrapText="1"/>
    </xf>
    <xf numFmtId="42" fontId="27" fillId="0" borderId="1" xfId="2865" applyFont="1" applyBorder="1" applyAlignment="1">
      <alignment horizontal="center" vertical="center"/>
    </xf>
    <xf numFmtId="42" fontId="27" fillId="0" borderId="0" xfId="2865" applyFont="1" applyBorder="1" applyAlignment="1">
      <alignment horizontal="center" vertical="center"/>
    </xf>
    <xf numFmtId="179" fontId="5" fillId="0" borderId="0" xfId="2865" applyNumberFormat="1" applyFont="1" applyFill="1" applyAlignment="1">
      <alignment horizontal="center"/>
    </xf>
    <xf numFmtId="0" fontId="27" fillId="0" borderId="1" xfId="0" applyFont="1" applyBorder="1" applyAlignment="1">
      <alignment vertical="center" wrapText="1"/>
    </xf>
    <xf numFmtId="0" fontId="0" fillId="3" borderId="0" xfId="0" applyFill="1" applyAlignment="1">
      <alignment vertical="top"/>
    </xf>
    <xf numFmtId="0" fontId="0" fillId="0" borderId="0" xfId="0" applyAlignment="1">
      <alignment vertical="top"/>
    </xf>
    <xf numFmtId="10" fontId="5" fillId="0" borderId="0" xfId="21" applyNumberFormat="1" applyFont="1" applyFill="1" applyAlignment="1">
      <alignment horizontal="center"/>
    </xf>
    <xf numFmtId="10" fontId="27" fillId="17" borderId="1" xfId="16" applyNumberFormat="1" applyFont="1" applyFill="1" applyBorder="1" applyAlignment="1">
      <alignment horizontal="center" vertical="center" wrapText="1"/>
    </xf>
    <xf numFmtId="0" fontId="18" fillId="4" borderId="1" xfId="0" applyFont="1" applyFill="1" applyBorder="1" applyAlignment="1">
      <alignment horizontal="center" vertical="center"/>
    </xf>
    <xf numFmtId="0" fontId="0" fillId="0" borderId="1" xfId="0" applyBorder="1" applyAlignment="1">
      <alignment horizontal="center" vertical="center"/>
    </xf>
    <xf numFmtId="10" fontId="4" fillId="17" borderId="1" xfId="0" applyNumberFormat="1" applyFont="1" applyFill="1" applyBorder="1" applyAlignment="1">
      <alignment horizontal="center" vertical="center"/>
    </xf>
    <xf numFmtId="179" fontId="21" fillId="22" borderId="1" xfId="9" applyNumberFormat="1" applyFont="1" applyFill="1" applyBorder="1" applyAlignment="1">
      <alignment horizontal="center" vertical="center"/>
    </xf>
    <xf numFmtId="0" fontId="17" fillId="3" borderId="0" xfId="0" applyFont="1" applyFill="1"/>
    <xf numFmtId="0" fontId="17" fillId="0" borderId="0" xfId="0" applyFont="1"/>
    <xf numFmtId="9" fontId="50" fillId="0" borderId="1" xfId="21" applyFont="1" applyFill="1" applyBorder="1" applyAlignment="1">
      <alignment horizontal="center" vertical="center" wrapText="1"/>
    </xf>
    <xf numFmtId="164" fontId="27" fillId="0" borderId="1" xfId="2868" applyFont="1" applyFill="1" applyBorder="1" applyAlignment="1">
      <alignment horizontal="center" vertical="center"/>
    </xf>
    <xf numFmtId="9" fontId="27" fillId="0" borderId="1" xfId="24" applyFont="1" applyFill="1" applyBorder="1" applyAlignment="1">
      <alignment horizontal="center" vertical="center"/>
    </xf>
    <xf numFmtId="181" fontId="4" fillId="0" borderId="1" xfId="2865" applyNumberFormat="1" applyFont="1" applyFill="1" applyBorder="1" applyAlignment="1">
      <alignment horizontal="center" vertical="center" wrapText="1"/>
    </xf>
    <xf numFmtId="2" fontId="4" fillId="0" borderId="1" xfId="2865" applyNumberFormat="1" applyFont="1" applyFill="1" applyBorder="1" applyAlignment="1">
      <alignment horizontal="center" vertical="center" wrapText="1"/>
    </xf>
    <xf numFmtId="9" fontId="5" fillId="0" borderId="0" xfId="21" applyFont="1" applyFill="1" applyAlignment="1">
      <alignment horizontal="center"/>
    </xf>
    <xf numFmtId="3" fontId="0" fillId="0" borderId="0" xfId="0" applyNumberFormat="1" applyAlignment="1">
      <alignment horizontal="center"/>
    </xf>
    <xf numFmtId="1" fontId="4" fillId="0" borderId="1" xfId="2869" applyNumberFormat="1" applyFont="1" applyFill="1" applyBorder="1" applyAlignment="1">
      <alignment horizontal="center" vertical="center" wrapText="1"/>
    </xf>
    <xf numFmtId="9" fontId="5" fillId="0" borderId="0" xfId="21" applyFont="1"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4" fontId="4" fillId="0" borderId="0" xfId="24" applyNumberFormat="1" applyFont="1" applyFill="1" applyBorder="1" applyAlignment="1">
      <alignment horizontal="center" vertical="center"/>
    </xf>
    <xf numFmtId="9" fontId="4" fillId="0" borderId="0" xfId="24" applyFont="1" applyFill="1" applyBorder="1" applyAlignment="1">
      <alignment horizontal="center" vertical="center"/>
    </xf>
    <xf numFmtId="2" fontId="4" fillId="0" borderId="0" xfId="24" applyNumberFormat="1" applyFont="1" applyFill="1" applyBorder="1" applyAlignment="1">
      <alignment horizontal="center" vertical="center"/>
    </xf>
    <xf numFmtId="2" fontId="4" fillId="0" borderId="0" xfId="5" applyNumberFormat="1" applyFont="1" applyFill="1" applyBorder="1" applyAlignment="1">
      <alignment horizontal="center" vertical="center"/>
    </xf>
    <xf numFmtId="183" fontId="21" fillId="0" borderId="0" xfId="0" applyNumberFormat="1" applyFont="1" applyAlignment="1">
      <alignment horizontal="center" vertical="center"/>
    </xf>
    <xf numFmtId="0" fontId="4" fillId="0" borderId="0" xfId="0" applyFont="1" applyAlignment="1">
      <alignment horizontal="left" vertical="top" wrapText="1"/>
    </xf>
    <xf numFmtId="0" fontId="53" fillId="0" borderId="0" xfId="2867" applyFont="1" applyFill="1" applyBorder="1" applyAlignment="1">
      <alignment horizontal="center" vertical="center" wrapText="1"/>
    </xf>
    <xf numFmtId="0" fontId="2" fillId="16" borderId="4" xfId="16" applyFont="1" applyFill="1" applyBorder="1" applyAlignment="1">
      <alignment horizontal="center" vertical="center" wrapText="1"/>
    </xf>
    <xf numFmtId="41" fontId="4" fillId="0" borderId="1" xfId="2869" applyFont="1" applyFill="1" applyBorder="1" applyAlignment="1">
      <alignment horizontal="center" vertical="center" wrapText="1"/>
    </xf>
    <xf numFmtId="9" fontId="4" fillId="0" borderId="2" xfId="2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9" fontId="27" fillId="0" borderId="5" xfId="21" applyFont="1" applyFill="1" applyBorder="1" applyAlignment="1">
      <alignment horizontal="center" vertical="center"/>
    </xf>
    <xf numFmtId="42" fontId="21" fillId="4" borderId="45" xfId="2865" applyFont="1" applyFill="1" applyBorder="1" applyAlignment="1">
      <alignment horizontal="center" vertical="center"/>
    </xf>
    <xf numFmtId="42" fontId="21" fillId="4" borderId="33" xfId="2865" applyFont="1" applyFill="1" applyBorder="1" applyAlignment="1">
      <alignment horizontal="center" vertical="center"/>
    </xf>
    <xf numFmtId="42" fontId="4" fillId="4" borderId="33" xfId="2865" applyFont="1" applyFill="1" applyBorder="1" applyAlignment="1">
      <alignment horizontal="center" vertical="center" wrapText="1"/>
    </xf>
    <xf numFmtId="180" fontId="21" fillId="4" borderId="33" xfId="9" applyNumberFormat="1" applyFont="1" applyFill="1" applyBorder="1" applyAlignment="1">
      <alignment horizontal="center" vertical="center"/>
    </xf>
    <xf numFmtId="182" fontId="4" fillId="0" borderId="2" xfId="21" applyNumberFormat="1" applyFont="1" applyFill="1" applyBorder="1" applyAlignment="1">
      <alignment horizontal="center" vertical="center" wrapText="1"/>
    </xf>
    <xf numFmtId="2" fontId="4" fillId="0" borderId="5" xfId="21" applyNumberFormat="1" applyFont="1" applyFill="1" applyBorder="1" applyAlignment="1">
      <alignment horizontal="center" vertical="center" wrapText="1"/>
    </xf>
    <xf numFmtId="42" fontId="27" fillId="4" borderId="33" xfId="2865" applyFont="1" applyFill="1" applyBorder="1" applyAlignment="1">
      <alignment horizontal="center" vertical="center" wrapText="1"/>
    </xf>
    <xf numFmtId="42" fontId="4" fillId="4" borderId="33" xfId="2865" applyFont="1" applyFill="1" applyBorder="1" applyAlignment="1">
      <alignment horizontal="center" vertical="center"/>
    </xf>
    <xf numFmtId="4" fontId="4" fillId="0" borderId="2" xfId="21"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80" fontId="43" fillId="4" borderId="33" xfId="9" applyNumberFormat="1" applyFont="1" applyFill="1" applyBorder="1" applyAlignment="1">
      <alignment horizontal="center" vertical="center"/>
    </xf>
    <xf numFmtId="9" fontId="4" fillId="0" borderId="5" xfId="21" applyFont="1" applyFill="1" applyBorder="1" applyAlignment="1">
      <alignment horizontal="center" vertical="center" wrapText="1"/>
    </xf>
    <xf numFmtId="9" fontId="14" fillId="0" borderId="5" xfId="21" applyFont="1" applyFill="1" applyBorder="1" applyAlignment="1">
      <alignment horizontal="center" vertical="center" wrapText="1"/>
    </xf>
    <xf numFmtId="180" fontId="15" fillId="4" borderId="33"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9" fontId="43" fillId="0" borderId="5" xfId="21" applyFont="1" applyFill="1" applyBorder="1" applyAlignment="1">
      <alignment horizontal="center" vertical="center"/>
    </xf>
    <xf numFmtId="9" fontId="43" fillId="0" borderId="2" xfId="21" applyFont="1" applyFill="1" applyBorder="1" applyAlignment="1">
      <alignment horizontal="center" vertical="center"/>
    </xf>
    <xf numFmtId="179" fontId="2" fillId="23" borderId="5" xfId="10" applyNumberFormat="1" applyFont="1" applyFill="1" applyBorder="1" applyAlignment="1">
      <alignment horizontal="center" vertical="center" wrapText="1"/>
    </xf>
    <xf numFmtId="42" fontId="21" fillId="22" borderId="3" xfId="2865" applyFont="1" applyFill="1" applyBorder="1" applyAlignment="1">
      <alignment horizontal="center" vertical="center"/>
    </xf>
    <xf numFmtId="179" fontId="21" fillId="22" borderId="3" xfId="9" applyNumberFormat="1" applyFont="1" applyFill="1" applyBorder="1" applyAlignment="1">
      <alignment horizontal="center" vertical="center"/>
    </xf>
    <xf numFmtId="42" fontId="21" fillId="22" borderId="1" xfId="2865" applyFont="1" applyFill="1" applyBorder="1" applyAlignment="1">
      <alignment horizontal="center" vertical="center"/>
    </xf>
    <xf numFmtId="0" fontId="61" fillId="0" borderId="0" xfId="0" applyFont="1" applyAlignment="1">
      <alignment horizontal="center" vertical="center"/>
    </xf>
    <xf numFmtId="179" fontId="21" fillId="22" borderId="3" xfId="9" applyNumberFormat="1" applyFont="1" applyFill="1" applyBorder="1" applyAlignment="1" applyProtection="1">
      <alignment horizontal="center" vertical="center"/>
    </xf>
    <xf numFmtId="41" fontId="5" fillId="0" borderId="0" xfId="2869" applyFont="1" applyAlignment="1">
      <alignment horizontal="center"/>
    </xf>
    <xf numFmtId="187" fontId="5" fillId="0" borderId="0" xfId="2869" applyNumberFormat="1" applyFont="1" applyAlignment="1">
      <alignment horizontal="center"/>
    </xf>
    <xf numFmtId="9" fontId="4" fillId="0" borderId="1" xfId="2869" applyNumberFormat="1" applyFont="1" applyFill="1" applyBorder="1" applyAlignment="1">
      <alignment horizontal="center" vertical="center" wrapText="1"/>
    </xf>
    <xf numFmtId="42" fontId="21" fillId="0" borderId="1" xfId="2865" applyFont="1" applyFill="1" applyBorder="1" applyAlignment="1" applyProtection="1">
      <alignment horizontal="center" vertical="center"/>
      <protection locked="0"/>
    </xf>
    <xf numFmtId="42" fontId="4" fillId="0" borderId="1" xfId="2865" applyFont="1" applyFill="1" applyBorder="1" applyAlignment="1" applyProtection="1">
      <alignment horizontal="center" vertical="center" wrapText="1"/>
      <protection locked="0"/>
    </xf>
    <xf numFmtId="42" fontId="4" fillId="0" borderId="1" xfId="2865" applyFont="1" applyFill="1" applyBorder="1" applyAlignment="1" applyProtection="1">
      <alignment horizontal="center" vertical="center"/>
      <protection locked="0"/>
    </xf>
    <xf numFmtId="0" fontId="11" fillId="16" borderId="8" xfId="0" applyFont="1" applyFill="1" applyBorder="1" applyAlignment="1" applyProtection="1">
      <alignment horizontal="left" vertical="center" wrapText="1"/>
      <protection locked="0"/>
    </xf>
    <xf numFmtId="180" fontId="11" fillId="17" borderId="8" xfId="0" applyNumberFormat="1" applyFont="1" applyFill="1" applyBorder="1" applyAlignment="1" applyProtection="1">
      <alignment horizontal="left" vertical="center" wrapText="1"/>
      <protection locked="0"/>
    </xf>
    <xf numFmtId="180" fontId="11" fillId="20" borderId="8" xfId="0" applyNumberFormat="1" applyFont="1" applyFill="1" applyBorder="1" applyAlignment="1" applyProtection="1">
      <alignment horizontal="left" vertical="center" wrapText="1"/>
      <protection locked="0"/>
    </xf>
    <xf numFmtId="179" fontId="11" fillId="16" borderId="8" xfId="0" applyNumberFormat="1" applyFont="1" applyFill="1" applyBorder="1" applyAlignment="1" applyProtection="1">
      <alignment horizontal="left" vertical="top" wrapText="1"/>
      <protection locked="0"/>
    </xf>
    <xf numFmtId="179" fontId="11" fillId="17" borderId="8" xfId="0" applyNumberFormat="1" applyFont="1" applyFill="1" applyBorder="1" applyAlignment="1" applyProtection="1">
      <alignment horizontal="left" vertical="top" wrapText="1"/>
      <protection locked="0"/>
    </xf>
    <xf numFmtId="42" fontId="39" fillId="0" borderId="1" xfId="2865" applyFont="1" applyFill="1" applyBorder="1"/>
    <xf numFmtId="42" fontId="28" fillId="0" borderId="1" xfId="2865" applyFont="1" applyFill="1" applyBorder="1"/>
    <xf numFmtId="179" fontId="21" fillId="22" borderId="1" xfId="9" applyNumberFormat="1" applyFont="1" applyFill="1" applyBorder="1" applyAlignment="1" applyProtection="1">
      <alignment horizontal="center" vertical="center"/>
    </xf>
    <xf numFmtId="0" fontId="4"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27" fillId="0" borderId="5"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27" fillId="0" borderId="1" xfId="0" applyNumberFormat="1" applyFont="1" applyBorder="1" applyAlignment="1" applyProtection="1">
      <alignment horizontal="center" vertical="center" wrapText="1"/>
      <protection locked="0"/>
    </xf>
    <xf numFmtId="42" fontId="21" fillId="0" borderId="1" xfId="2865" applyFont="1" applyFill="1" applyBorder="1" applyAlignment="1" applyProtection="1">
      <alignment horizontal="center" vertical="center"/>
    </xf>
    <xf numFmtId="9" fontId="4" fillId="0" borderId="1" xfId="21" applyFont="1" applyFill="1" applyBorder="1" applyAlignment="1" applyProtection="1">
      <alignment horizontal="center" vertical="center" wrapText="1"/>
    </xf>
    <xf numFmtId="42" fontId="21" fillId="4" borderId="33" xfId="2865" applyFont="1" applyFill="1" applyBorder="1" applyAlignment="1" applyProtection="1">
      <alignment horizontal="center" vertical="center"/>
    </xf>
    <xf numFmtId="42" fontId="4" fillId="0" borderId="1" xfId="2865" applyFont="1" applyFill="1" applyBorder="1" applyAlignment="1" applyProtection="1">
      <alignment horizontal="center" vertical="center"/>
    </xf>
    <xf numFmtId="9" fontId="27" fillId="0" borderId="1" xfId="24" applyFont="1" applyBorder="1" applyAlignment="1" applyProtection="1">
      <alignment horizontal="center" vertical="center"/>
    </xf>
    <xf numFmtId="9" fontId="27" fillId="0" borderId="1" xfId="24" applyFont="1" applyFill="1" applyBorder="1" applyAlignment="1" applyProtection="1">
      <alignment horizontal="center" vertical="center"/>
    </xf>
    <xf numFmtId="42" fontId="27" fillId="0" borderId="1" xfId="2865" applyFont="1" applyFill="1" applyBorder="1" applyAlignment="1" applyProtection="1">
      <alignment horizontal="center" vertical="center" wrapText="1"/>
      <protection locked="0"/>
    </xf>
    <xf numFmtId="179" fontId="21" fillId="22" borderId="1" xfId="9" applyNumberFormat="1" applyFont="1" applyFill="1" applyBorder="1" applyAlignment="1" applyProtection="1">
      <alignment horizontal="center" vertical="center"/>
      <protection locked="0"/>
    </xf>
    <xf numFmtId="9" fontId="0" fillId="0" borderId="0" xfId="21" applyFont="1"/>
    <xf numFmtId="2" fontId="21" fillId="0" borderId="1" xfId="2865"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9" fontId="27" fillId="0" borderId="1" xfId="24" applyFont="1" applyFill="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4" fontId="27" fillId="0" borderId="1" xfId="0" applyNumberFormat="1" applyFont="1" applyBorder="1" applyAlignment="1" applyProtection="1">
      <alignment horizontal="center" vertical="center"/>
      <protection locked="0"/>
    </xf>
    <xf numFmtId="3" fontId="27" fillId="0" borderId="1" xfId="0" applyNumberFormat="1" applyFont="1" applyBorder="1" applyAlignment="1" applyProtection="1">
      <alignment horizontal="center" vertical="center"/>
      <protection locked="0"/>
    </xf>
    <xf numFmtId="9" fontId="4" fillId="0" borderId="1" xfId="21" applyFont="1" applyFill="1" applyBorder="1" applyAlignment="1" applyProtection="1">
      <alignment horizontal="center" vertical="center" wrapText="1"/>
      <protection locked="0"/>
    </xf>
    <xf numFmtId="182" fontId="4" fillId="0" borderId="1" xfId="2865" applyNumberFormat="1" applyFont="1" applyFill="1" applyBorder="1" applyAlignment="1">
      <alignment horizontal="center" vertical="center" wrapText="1"/>
    </xf>
    <xf numFmtId="0" fontId="27" fillId="0" borderId="15" xfId="0" applyFont="1" applyBorder="1" applyAlignment="1">
      <alignment horizontal="center" vertical="center"/>
    </xf>
    <xf numFmtId="164" fontId="4" fillId="0" borderId="1" xfId="2868" applyFont="1" applyFill="1" applyBorder="1" applyAlignment="1">
      <alignment horizontal="center" vertical="center"/>
    </xf>
    <xf numFmtId="42" fontId="27" fillId="0" borderId="1" xfId="2865" applyFont="1" applyFill="1" applyBorder="1" applyAlignment="1">
      <alignment horizontal="center" vertical="center"/>
    </xf>
    <xf numFmtId="9" fontId="27" fillId="0" borderId="37" xfId="24" applyFont="1" applyFill="1" applyBorder="1" applyAlignment="1">
      <alignment horizontal="center" vertical="center"/>
    </xf>
    <xf numFmtId="9" fontId="27" fillId="0" borderId="0" xfId="24" applyFont="1" applyFill="1" applyBorder="1" applyAlignment="1">
      <alignment horizontal="center" vertical="center"/>
    </xf>
    <xf numFmtId="9" fontId="65" fillId="0" borderId="0" xfId="24" applyFont="1" applyFill="1" applyBorder="1" applyAlignment="1">
      <alignment horizontal="center" vertical="center"/>
    </xf>
    <xf numFmtId="42" fontId="4" fillId="0" borderId="44" xfId="2865" applyFont="1" applyFill="1" applyBorder="1" applyAlignment="1">
      <alignment horizontal="center" vertical="center"/>
    </xf>
    <xf numFmtId="0" fontId="40" fillId="16" borderId="1" xfId="0" applyFont="1" applyFill="1" applyBorder="1" applyAlignment="1">
      <alignment horizontal="center" vertical="center" wrapText="1"/>
    </xf>
    <xf numFmtId="42" fontId="27" fillId="0" borderId="0" xfId="2865" applyFont="1"/>
    <xf numFmtId="42" fontId="27" fillId="0" borderId="1" xfId="2865" applyFont="1" applyBorder="1"/>
    <xf numFmtId="42" fontId="65" fillId="0" borderId="0" xfId="2865" applyFont="1"/>
    <xf numFmtId="0" fontId="65" fillId="0" borderId="0" xfId="0" applyFont="1"/>
    <xf numFmtId="42" fontId="27" fillId="0" borderId="2" xfId="2865" applyFont="1" applyBorder="1" applyAlignment="1">
      <alignment horizontal="center" vertical="center"/>
    </xf>
    <xf numFmtId="0" fontId="27" fillId="0" borderId="1" xfId="0" applyFont="1" applyBorder="1" applyProtection="1">
      <protection locked="0"/>
    </xf>
    <xf numFmtId="0" fontId="27" fillId="0" borderId="1" xfId="0" applyFont="1" applyBorder="1"/>
    <xf numFmtId="0" fontId="27" fillId="0" borderId="1" xfId="0" applyFont="1" applyBorder="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 xfId="0" applyFont="1" applyBorder="1" applyAlignment="1" applyProtection="1">
      <alignment wrapText="1"/>
      <protection locked="0"/>
    </xf>
    <xf numFmtId="0" fontId="27" fillId="0" borderId="18" xfId="0" applyFont="1" applyBorder="1"/>
    <xf numFmtId="0" fontId="27" fillId="0" borderId="19" xfId="0" applyFont="1" applyBorder="1"/>
    <xf numFmtId="0" fontId="2" fillId="15" borderId="0" xfId="0" applyFont="1" applyFill="1"/>
    <xf numFmtId="0" fontId="4" fillId="15" borderId="0" xfId="0" applyFont="1" applyFill="1"/>
    <xf numFmtId="4" fontId="4" fillId="15" borderId="0" xfId="0" applyNumberFormat="1" applyFont="1" applyFill="1"/>
    <xf numFmtId="4" fontId="4" fillId="15" borderId="0" xfId="0" applyNumberFormat="1" applyFont="1" applyFill="1" applyAlignment="1">
      <alignment horizontal="center"/>
    </xf>
    <xf numFmtId="0" fontId="4" fillId="15" borderId="0" xfId="0" applyFont="1" applyFill="1" applyProtection="1">
      <protection locked="0"/>
    </xf>
    <xf numFmtId="0" fontId="4" fillId="15" borderId="0" xfId="0" applyFont="1" applyFill="1" applyAlignment="1" applyProtection="1">
      <alignment horizontal="center"/>
      <protection locked="0"/>
    </xf>
    <xf numFmtId="0" fontId="40" fillId="4" borderId="1" xfId="0" applyFont="1" applyFill="1" applyBorder="1" applyAlignment="1">
      <alignment horizontal="center" vertical="center"/>
    </xf>
    <xf numFmtId="0" fontId="4" fillId="15" borderId="0" xfId="0" applyFont="1" applyFill="1" applyAlignment="1">
      <alignment horizontal="center"/>
    </xf>
    <xf numFmtId="0" fontId="11" fillId="16" borderId="48" xfId="0" applyFont="1" applyFill="1" applyBorder="1" applyAlignment="1" applyProtection="1">
      <alignment horizontal="left" vertical="center" wrapText="1"/>
      <protection locked="0"/>
    </xf>
    <xf numFmtId="42" fontId="66" fillId="0" borderId="1" xfId="2865" applyFont="1" applyFill="1" applyBorder="1" applyAlignment="1">
      <alignment horizontal="center" vertical="center" wrapText="1"/>
    </xf>
    <xf numFmtId="42" fontId="66" fillId="0" borderId="1" xfId="2865" applyFont="1" applyFill="1" applyBorder="1" applyAlignment="1">
      <alignment horizontal="center" vertical="center"/>
    </xf>
    <xf numFmtId="9" fontId="17" fillId="0" borderId="1" xfId="21" applyFont="1" applyFill="1" applyBorder="1" applyAlignment="1">
      <alignment horizontal="center" vertical="center"/>
    </xf>
    <xf numFmtId="0" fontId="27" fillId="0" borderId="48" xfId="0" applyFont="1" applyBorder="1" applyAlignment="1" applyProtection="1">
      <alignment horizontal="center" vertical="center"/>
      <protection locked="0"/>
    </xf>
    <xf numFmtId="42" fontId="66" fillId="0" borderId="6" xfId="2865" applyFont="1" applyFill="1" applyBorder="1" applyAlignment="1">
      <alignment horizontal="center" vertical="center" wrapText="1"/>
    </xf>
    <xf numFmtId="9" fontId="17" fillId="0" borderId="6" xfId="21" applyFont="1" applyFill="1" applyBorder="1" applyAlignment="1">
      <alignment horizontal="center" vertical="center"/>
    </xf>
    <xf numFmtId="0" fontId="27" fillId="0" borderId="1" xfId="0" applyFont="1" applyBorder="1" applyAlignment="1" applyProtection="1">
      <alignment horizontal="left" vertical="top" wrapText="1"/>
      <protection locked="0"/>
    </xf>
    <xf numFmtId="0" fontId="27" fillId="0" borderId="1" xfId="0" applyFont="1" applyBorder="1" applyAlignment="1" applyProtection="1">
      <alignment vertical="top" wrapText="1"/>
      <protection locked="0"/>
    </xf>
    <xf numFmtId="42" fontId="21" fillId="4" borderId="33" xfId="2865" applyFont="1" applyFill="1" applyBorder="1" applyAlignment="1" applyProtection="1">
      <alignment horizontal="center" vertical="center"/>
      <protection locked="0"/>
    </xf>
    <xf numFmtId="42" fontId="4" fillId="4" borderId="33" xfId="2865" applyFont="1" applyFill="1" applyBorder="1" applyAlignment="1" applyProtection="1">
      <alignment horizontal="center" vertical="center" wrapText="1"/>
      <protection locked="0"/>
    </xf>
    <xf numFmtId="187" fontId="0" fillId="0" borderId="0" xfId="2869" applyNumberFormat="1" applyFont="1" applyAlignment="1">
      <alignment vertical="top"/>
    </xf>
    <xf numFmtId="10" fontId="0" fillId="0" borderId="0" xfId="21" applyNumberFormat="1" applyFont="1"/>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2" fillId="19" borderId="4" xfId="0" applyFont="1" applyFill="1" applyBorder="1" applyAlignment="1">
      <alignment horizontal="center" vertical="center" wrapText="1"/>
    </xf>
    <xf numFmtId="9" fontId="4" fillId="0" borderId="2" xfId="2865" applyNumberFormat="1" applyFont="1" applyFill="1" applyBorder="1" applyAlignment="1">
      <alignment horizontal="center" vertical="center" wrapText="1"/>
    </xf>
    <xf numFmtId="2" fontId="27" fillId="0" borderId="1" xfId="0" applyNumberFormat="1" applyFont="1" applyBorder="1" applyAlignment="1" applyProtection="1">
      <alignment horizontal="center" vertical="center" wrapText="1"/>
      <protection locked="0"/>
    </xf>
    <xf numFmtId="3" fontId="27"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wrapText="1"/>
      <protection locked="0"/>
    </xf>
    <xf numFmtId="182" fontId="4" fillId="0" borderId="0" xfId="24" applyNumberFormat="1" applyFont="1" applyFill="1" applyBorder="1" applyAlignment="1">
      <alignment horizontal="center" vertical="center" wrapText="1"/>
    </xf>
    <xf numFmtId="10" fontId="4" fillId="0" borderId="0" xfId="24" applyNumberFormat="1" applyFont="1" applyFill="1" applyBorder="1" applyAlignment="1">
      <alignment horizontal="center" vertical="center"/>
    </xf>
    <xf numFmtId="10" fontId="4" fillId="0" borderId="0" xfId="24" applyNumberFormat="1" applyFont="1" applyFill="1" applyBorder="1" applyAlignment="1">
      <alignment horizontal="center" vertical="center" wrapText="1"/>
    </xf>
    <xf numFmtId="10" fontId="27" fillId="0" borderId="0" xfId="24" applyNumberFormat="1" applyFont="1" applyFill="1" applyBorder="1" applyAlignment="1">
      <alignment horizontal="center" vertical="center" wrapText="1"/>
    </xf>
    <xf numFmtId="10" fontId="4" fillId="0" borderId="0" xfId="24" applyNumberFormat="1" applyFont="1" applyAlignment="1">
      <alignment vertical="center"/>
    </xf>
    <xf numFmtId="173" fontId="11" fillId="16" borderId="5" xfId="0" applyNumberFormat="1" applyFont="1" applyFill="1" applyBorder="1" applyAlignment="1">
      <alignment vertical="center"/>
    </xf>
    <xf numFmtId="0" fontId="11" fillId="16" borderId="4" xfId="16" applyFont="1" applyFill="1" applyBorder="1" applyAlignment="1">
      <alignment horizontal="center" vertical="center" wrapText="1"/>
    </xf>
    <xf numFmtId="9" fontId="0" fillId="0" borderId="0" xfId="21" applyFont="1" applyAlignment="1">
      <alignment vertical="top"/>
    </xf>
    <xf numFmtId="42" fontId="66" fillId="0" borderId="6" xfId="2865" applyFont="1" applyFill="1" applyBorder="1" applyAlignment="1">
      <alignment horizontal="center" vertical="center"/>
    </xf>
    <xf numFmtId="9" fontId="27" fillId="0" borderId="15" xfId="21" applyFont="1" applyFill="1" applyBorder="1" applyAlignment="1">
      <alignment horizontal="center" vertical="center"/>
    </xf>
    <xf numFmtId="9" fontId="27" fillId="4" borderId="33" xfId="21" applyFont="1" applyFill="1" applyBorder="1" applyAlignment="1">
      <alignment horizontal="center" vertical="center"/>
    </xf>
    <xf numFmtId="41" fontId="4" fillId="0" borderId="2" xfId="2869" applyFont="1" applyFill="1" applyBorder="1" applyAlignment="1">
      <alignment horizontal="center" vertical="center" wrapText="1"/>
    </xf>
    <xf numFmtId="42" fontId="4" fillId="0" borderId="1" xfId="2865" applyFont="1" applyFill="1" applyBorder="1" applyAlignment="1" applyProtection="1">
      <alignment horizontal="center" vertical="center" wrapText="1"/>
    </xf>
    <xf numFmtId="9" fontId="4" fillId="0" borderId="5" xfId="21" applyFont="1" applyFill="1" applyBorder="1" applyAlignment="1" applyProtection="1">
      <alignment horizontal="center" vertical="center" wrapText="1"/>
      <protection locked="0"/>
    </xf>
    <xf numFmtId="188" fontId="4" fillId="0" borderId="1" xfId="2865" applyNumberFormat="1" applyFont="1" applyFill="1" applyBorder="1" applyAlignment="1">
      <alignment horizontal="center" vertical="center" wrapText="1"/>
    </xf>
    <xf numFmtId="180" fontId="21" fillId="0" borderId="1" xfId="9" applyNumberFormat="1" applyFont="1" applyFill="1" applyBorder="1" applyAlignment="1" applyProtection="1">
      <alignment horizontal="center" vertical="center"/>
      <protection locked="0"/>
    </xf>
    <xf numFmtId="9" fontId="4" fillId="0" borderId="2" xfId="21" applyFont="1" applyFill="1" applyBorder="1" applyAlignment="1" applyProtection="1">
      <alignment horizontal="center" vertical="center" wrapText="1"/>
      <protection locked="0"/>
    </xf>
    <xf numFmtId="42" fontId="4" fillId="4" borderId="33" xfId="2865" applyFont="1" applyFill="1" applyBorder="1" applyAlignment="1" applyProtection="1">
      <alignment horizontal="center" vertical="center"/>
      <protection locked="0"/>
    </xf>
    <xf numFmtId="1" fontId="4" fillId="0" borderId="2" xfId="21" applyNumberFormat="1" applyFont="1" applyFill="1" applyBorder="1" applyAlignment="1" applyProtection="1">
      <alignment horizontal="center" vertical="center" wrapText="1"/>
      <protection locked="0"/>
    </xf>
    <xf numFmtId="9" fontId="4" fillId="0" borderId="1" xfId="21" applyFont="1" applyFill="1" applyBorder="1" applyAlignment="1">
      <alignment horizontal="center" vertical="center"/>
    </xf>
    <xf numFmtId="4" fontId="4" fillId="0" borderId="1" xfId="3" applyNumberFormat="1" applyFont="1" applyFill="1" applyBorder="1" applyAlignment="1">
      <alignment horizontal="center" vertical="center"/>
    </xf>
    <xf numFmtId="4" fontId="4" fillId="0" borderId="1" xfId="3" applyNumberFormat="1" applyFont="1" applyFill="1" applyBorder="1" applyAlignment="1" applyProtection="1">
      <alignment horizontal="center" vertical="center"/>
    </xf>
    <xf numFmtId="42" fontId="4" fillId="4" borderId="33" xfId="2865" applyFont="1" applyFill="1" applyBorder="1" applyAlignment="1" applyProtection="1">
      <alignment horizontal="center" vertical="center" wrapText="1"/>
    </xf>
    <xf numFmtId="42" fontId="4" fillId="4" borderId="33" xfId="2865" applyFont="1" applyFill="1" applyBorder="1" applyAlignment="1" applyProtection="1">
      <alignment horizontal="center" vertical="center"/>
    </xf>
    <xf numFmtId="9" fontId="4" fillId="0" borderId="1" xfId="21" applyFont="1" applyFill="1" applyBorder="1" applyAlignment="1" applyProtection="1">
      <alignment horizontal="center" vertical="center"/>
    </xf>
    <xf numFmtId="9" fontId="21" fillId="0" borderId="5" xfId="21" applyFont="1" applyFill="1" applyBorder="1" applyAlignment="1" applyProtection="1">
      <alignment horizontal="center" vertical="center"/>
      <protection locked="0"/>
    </xf>
    <xf numFmtId="9" fontId="21" fillId="0" borderId="1" xfId="21" applyFont="1" applyFill="1" applyBorder="1" applyAlignment="1" applyProtection="1">
      <alignment horizontal="center" vertical="center"/>
      <protection locked="0"/>
    </xf>
    <xf numFmtId="4" fontId="37" fillId="15" borderId="0" xfId="0" applyNumberFormat="1" applyFont="1" applyFill="1" applyAlignment="1">
      <alignment horizontal="center" vertical="center"/>
    </xf>
    <xf numFmtId="0" fontId="0" fillId="0" borderId="0" xfId="0" applyAlignment="1">
      <alignment vertical="center"/>
    </xf>
    <xf numFmtId="179" fontId="21" fillId="0" borderId="1" xfId="9" applyNumberFormat="1" applyFont="1" applyFill="1" applyBorder="1" applyAlignment="1" applyProtection="1">
      <alignment horizontal="center" vertical="center"/>
      <protection locked="0"/>
    </xf>
    <xf numFmtId="180" fontId="21" fillId="4" borderId="33" xfId="9" applyNumberFormat="1" applyFont="1" applyFill="1" applyBorder="1" applyAlignment="1" applyProtection="1">
      <alignment horizontal="center" vertical="center"/>
      <protection locked="0"/>
    </xf>
    <xf numFmtId="179" fontId="43" fillId="0" borderId="1" xfId="9" applyNumberFormat="1" applyFont="1" applyFill="1" applyBorder="1" applyAlignment="1" applyProtection="1">
      <alignment horizontal="center" vertical="center"/>
      <protection locked="0"/>
    </xf>
    <xf numFmtId="180" fontId="43" fillId="0" borderId="1" xfId="9" applyNumberFormat="1" applyFont="1" applyFill="1" applyBorder="1" applyAlignment="1" applyProtection="1">
      <alignment horizontal="center" vertical="center"/>
      <protection locked="0"/>
    </xf>
    <xf numFmtId="180" fontId="43" fillId="4" borderId="33" xfId="9" applyNumberFormat="1" applyFont="1" applyFill="1" applyBorder="1" applyAlignment="1" applyProtection="1">
      <alignment horizontal="center" vertical="center"/>
      <protection locked="0"/>
    </xf>
    <xf numFmtId="9" fontId="14" fillId="0" borderId="5" xfId="21" applyFont="1" applyFill="1" applyBorder="1" applyAlignment="1" applyProtection="1">
      <alignment horizontal="center" vertical="center" wrapText="1"/>
      <protection locked="0"/>
    </xf>
    <xf numFmtId="180" fontId="15" fillId="0" borderId="1" xfId="9" applyNumberFormat="1" applyFont="1" applyFill="1" applyBorder="1" applyAlignment="1" applyProtection="1">
      <alignment horizontal="center" vertical="center"/>
      <protection locked="0"/>
    </xf>
    <xf numFmtId="180" fontId="15" fillId="4" borderId="33" xfId="9" applyNumberFormat="1" applyFont="1" applyFill="1" applyBorder="1" applyAlignment="1" applyProtection="1">
      <alignment horizontal="center" vertical="center"/>
      <protection locked="0"/>
    </xf>
    <xf numFmtId="9" fontId="43" fillId="0" borderId="5" xfId="21" applyFont="1" applyFill="1" applyBorder="1" applyAlignment="1" applyProtection="1">
      <alignment horizontal="center" vertical="center"/>
      <protection locked="0"/>
    </xf>
    <xf numFmtId="9" fontId="43" fillId="0" borderId="1" xfId="21" applyFont="1" applyFill="1" applyBorder="1" applyAlignment="1" applyProtection="1">
      <alignment horizontal="center" vertical="center"/>
      <protection locked="0"/>
    </xf>
    <xf numFmtId="9" fontId="43" fillId="0" borderId="2" xfId="21" applyFont="1" applyFill="1" applyBorder="1" applyAlignment="1" applyProtection="1">
      <alignment horizontal="center" vertical="center"/>
      <protection locked="0"/>
    </xf>
    <xf numFmtId="42" fontId="11" fillId="17" borderId="8" xfId="2865" applyFont="1" applyFill="1" applyBorder="1" applyAlignment="1" applyProtection="1">
      <alignment horizontal="left" vertical="center" wrapText="1"/>
      <protection locked="0"/>
    </xf>
    <xf numFmtId="42" fontId="17" fillId="0" borderId="0" xfId="2865" applyFont="1" applyAlignment="1">
      <alignment horizontal="center" vertical="center"/>
    </xf>
    <xf numFmtId="42" fontId="0" fillId="0" borderId="1" xfId="2865" applyFont="1" applyFill="1" applyBorder="1" applyAlignment="1">
      <alignment horizontal="center" vertical="center"/>
    </xf>
    <xf numFmtId="3" fontId="4" fillId="0" borderId="2" xfId="21" applyNumberFormat="1" applyFont="1" applyFill="1" applyBorder="1" applyAlignment="1">
      <alignment horizontal="center" vertical="center" wrapText="1"/>
    </xf>
    <xf numFmtId="0" fontId="40" fillId="17" borderId="1" xfId="0" applyFont="1" applyFill="1" applyBorder="1" applyAlignment="1">
      <alignment horizontal="center" vertical="center" wrapText="1"/>
    </xf>
    <xf numFmtId="184" fontId="40" fillId="18" borderId="1" xfId="3" applyNumberFormat="1" applyFont="1" applyFill="1" applyBorder="1" applyAlignment="1">
      <alignment horizontal="center" vertical="center" wrapText="1"/>
    </xf>
    <xf numFmtId="9" fontId="27" fillId="0" borderId="0" xfId="0" applyNumberFormat="1" applyFont="1" applyAlignment="1">
      <alignment horizontal="center" vertical="center" wrapText="1"/>
    </xf>
    <xf numFmtId="0" fontId="27" fillId="0" borderId="0" xfId="0" applyFont="1" applyAlignment="1">
      <alignment wrapText="1"/>
    </xf>
    <xf numFmtId="0" fontId="27" fillId="0" borderId="37" xfId="0" applyFont="1" applyBorder="1" applyAlignment="1" applyProtection="1">
      <alignment horizontal="center" vertical="center"/>
      <protection locked="0"/>
    </xf>
    <xf numFmtId="42" fontId="66" fillId="0" borderId="0" xfId="2865" applyFont="1" applyFill="1" applyBorder="1" applyAlignment="1">
      <alignment horizontal="center" vertical="center"/>
    </xf>
    <xf numFmtId="0" fontId="27" fillId="0" borderId="42" xfId="0" applyFont="1" applyBorder="1" applyAlignment="1" applyProtection="1">
      <alignment horizontal="center" vertical="center"/>
      <protection locked="0"/>
    </xf>
    <xf numFmtId="0" fontId="27" fillId="0" borderId="42" xfId="0" applyFont="1" applyBorder="1" applyAlignment="1" applyProtection="1">
      <alignment horizontal="center" vertical="center" wrapText="1"/>
      <protection locked="0"/>
    </xf>
    <xf numFmtId="9" fontId="27" fillId="0" borderId="42" xfId="0" applyNumberFormat="1" applyFont="1" applyBorder="1" applyAlignment="1" applyProtection="1">
      <alignment horizontal="center" vertical="center" wrapText="1"/>
      <protection locked="0"/>
    </xf>
    <xf numFmtId="9" fontId="27" fillId="0" borderId="0" xfId="0" applyNumberFormat="1" applyFont="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left" vertical="top" wrapText="1"/>
      <protection locked="0"/>
    </xf>
    <xf numFmtId="0" fontId="27" fillId="0" borderId="6" xfId="0" applyFont="1" applyBorder="1" applyAlignment="1" applyProtection="1">
      <alignment horizontal="center" vertical="center" wrapText="1"/>
      <protection locked="0"/>
    </xf>
    <xf numFmtId="9" fontId="27" fillId="0" borderId="6" xfId="0" applyNumberFormat="1"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164" fontId="27" fillId="0" borderId="0" xfId="2868" applyFont="1" applyFill="1" applyBorder="1" applyAlignment="1">
      <alignment horizontal="center" vertical="center"/>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9" fontId="27" fillId="0" borderId="0" xfId="24" applyFont="1" applyFill="1" applyBorder="1" applyAlignment="1" applyProtection="1">
      <alignment horizontal="center" vertical="center"/>
      <protection locked="0"/>
    </xf>
    <xf numFmtId="0" fontId="27" fillId="0" borderId="0" xfId="0" applyFont="1" applyAlignment="1" applyProtection="1">
      <alignment vertical="top" wrapText="1"/>
      <protection locked="0"/>
    </xf>
    <xf numFmtId="9" fontId="3" fillId="0" borderId="1" xfId="21" applyFont="1" applyFill="1" applyBorder="1" applyAlignment="1" applyProtection="1">
      <alignment horizontal="center" vertical="center" wrapText="1"/>
      <protection locked="0"/>
    </xf>
    <xf numFmtId="9" fontId="3" fillId="0" borderId="1" xfId="21" applyFont="1" applyFill="1" applyBorder="1" applyAlignment="1">
      <alignment horizontal="center" vertical="center" wrapText="1"/>
    </xf>
    <xf numFmtId="42" fontId="70" fillId="0" borderId="1" xfId="2865" applyFont="1" applyFill="1" applyBorder="1" applyAlignment="1">
      <alignment horizontal="center" vertical="center" wrapText="1"/>
    </xf>
    <xf numFmtId="42" fontId="70" fillId="0" borderId="2" xfId="2865" applyFont="1" applyFill="1" applyBorder="1" applyAlignment="1">
      <alignment horizontal="center" vertical="center" wrapText="1"/>
    </xf>
    <xf numFmtId="9" fontId="4" fillId="0" borderId="2" xfId="21" applyFont="1" applyFill="1" applyBorder="1" applyAlignment="1" applyProtection="1">
      <alignment horizontal="center" vertical="center" wrapText="1"/>
    </xf>
    <xf numFmtId="9" fontId="4" fillId="0" borderId="5" xfId="21" applyFont="1" applyFill="1" applyBorder="1" applyAlignment="1" applyProtection="1">
      <alignment horizontal="center" vertical="center" wrapText="1"/>
    </xf>
    <xf numFmtId="2" fontId="21" fillId="0" borderId="5" xfId="2865" applyNumberFormat="1" applyFont="1" applyFill="1" applyBorder="1" applyAlignment="1">
      <alignment horizontal="center" vertical="center"/>
    </xf>
    <xf numFmtId="179" fontId="21" fillId="22" borderId="3" xfId="9" applyNumberFormat="1" applyFont="1" applyFill="1" applyBorder="1" applyAlignment="1" applyProtection="1">
      <alignment horizontal="center" vertical="center"/>
      <protection locked="0"/>
    </xf>
    <xf numFmtId="9" fontId="21" fillId="0" borderId="1" xfId="21" applyFont="1" applyFill="1" applyBorder="1" applyAlignment="1" applyProtection="1">
      <alignment horizontal="center" vertical="center"/>
    </xf>
    <xf numFmtId="9" fontId="21" fillId="0" borderId="2" xfId="21" applyFont="1" applyFill="1" applyBorder="1" applyAlignment="1" applyProtection="1">
      <alignment horizontal="center" vertical="center"/>
    </xf>
    <xf numFmtId="1" fontId="4" fillId="0" borderId="2" xfId="21" applyNumberFormat="1" applyFont="1" applyFill="1" applyBorder="1" applyAlignment="1" applyProtection="1">
      <alignment horizontal="center" vertical="center" wrapText="1"/>
    </xf>
    <xf numFmtId="0" fontId="2" fillId="16" borderId="12" xfId="16" applyFont="1" applyFill="1" applyBorder="1" applyAlignment="1">
      <alignment horizontal="center" vertical="center" wrapText="1"/>
    </xf>
    <xf numFmtId="0" fontId="11" fillId="16" borderId="39" xfId="16" applyFont="1" applyFill="1" applyBorder="1" applyAlignment="1">
      <alignment horizontal="center" vertical="center" wrapText="1"/>
    </xf>
    <xf numFmtId="0" fontId="2" fillId="16" borderId="29" xfId="16" applyFont="1" applyFill="1" applyBorder="1" applyAlignment="1">
      <alignment horizontal="center" vertical="center" wrapText="1"/>
    </xf>
    <xf numFmtId="0" fontId="11" fillId="16" borderId="38" xfId="16" applyFont="1" applyFill="1" applyBorder="1" applyAlignment="1">
      <alignment horizontal="center" vertical="center" wrapText="1"/>
    </xf>
    <xf numFmtId="4" fontId="27" fillId="0" borderId="1" xfId="0" applyNumberFormat="1" applyFont="1" applyBorder="1" applyAlignment="1" applyProtection="1">
      <alignment horizontal="center" vertical="center" wrapText="1"/>
      <protection locked="0"/>
    </xf>
    <xf numFmtId="9" fontId="17" fillId="0" borderId="0" xfId="21" applyFont="1" applyAlignment="1">
      <alignment horizontal="center" vertical="center"/>
    </xf>
    <xf numFmtId="9" fontId="0" fillId="0" borderId="0" xfId="21" applyFont="1" applyAlignment="1">
      <alignment horizontal="center" vertical="center"/>
    </xf>
    <xf numFmtId="0" fontId="10" fillId="16" borderId="2" xfId="0" applyFont="1" applyFill="1" applyBorder="1" applyAlignment="1">
      <alignment horizontal="center" vertical="center" wrapText="1"/>
    </xf>
    <xf numFmtId="10" fontId="17" fillId="0" borderId="1" xfId="21" applyNumberFormat="1" applyFont="1" applyFill="1" applyBorder="1" applyAlignment="1">
      <alignment horizontal="center" vertical="center"/>
    </xf>
    <xf numFmtId="9" fontId="27" fillId="0" borderId="1" xfId="21" applyFont="1" applyFill="1" applyBorder="1" applyAlignment="1">
      <alignment horizontal="center" vertical="center"/>
    </xf>
    <xf numFmtId="10" fontId="27" fillId="0" borderId="48" xfId="24" applyNumberFormat="1" applyFont="1" applyFill="1" applyBorder="1" applyAlignment="1">
      <alignment horizontal="center" vertical="center" wrapText="1"/>
    </xf>
    <xf numFmtId="10" fontId="27" fillId="0" borderId="8" xfId="24" applyNumberFormat="1" applyFont="1" applyFill="1" applyBorder="1" applyAlignment="1">
      <alignment horizontal="center" vertical="center" wrapText="1"/>
    </xf>
    <xf numFmtId="10" fontId="27" fillId="0" borderId="35" xfId="24" applyNumberFormat="1" applyFont="1" applyFill="1" applyBorder="1" applyAlignment="1">
      <alignment horizontal="center" vertical="center" wrapText="1"/>
    </xf>
    <xf numFmtId="10" fontId="27" fillId="0" borderId="37" xfId="24" applyNumberFormat="1" applyFont="1" applyFill="1" applyBorder="1" applyAlignment="1">
      <alignment horizontal="center" vertical="center" wrapText="1"/>
    </xf>
    <xf numFmtId="0" fontId="5" fillId="16" borderId="2" xfId="0" applyFont="1" applyFill="1" applyBorder="1" applyAlignment="1">
      <alignment vertical="center" wrapText="1"/>
    </xf>
    <xf numFmtId="0" fontId="5" fillId="16"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21" borderId="2" xfId="0" applyFont="1" applyFill="1" applyBorder="1" applyAlignment="1">
      <alignment horizontal="center" vertical="center" wrapText="1"/>
    </xf>
    <xf numFmtId="3" fontId="3" fillId="0" borderId="3" xfId="24" applyNumberFormat="1" applyFont="1" applyFill="1" applyBorder="1" applyAlignment="1">
      <alignment horizontal="center" vertical="center"/>
    </xf>
    <xf numFmtId="1" fontId="57" fillId="0" borderId="3" xfId="2920" applyNumberFormat="1" applyFont="1" applyFill="1" applyBorder="1" applyAlignment="1">
      <alignment horizontal="center" vertical="center"/>
    </xf>
    <xf numFmtId="1" fontId="3" fillId="0" borderId="3" xfId="5" applyNumberFormat="1" applyFont="1" applyFill="1" applyBorder="1" applyAlignment="1">
      <alignment horizontal="center" vertical="center"/>
    </xf>
    <xf numFmtId="3" fontId="3" fillId="0" borderId="3" xfId="24" applyNumberFormat="1" applyFont="1" applyFill="1" applyBorder="1" applyAlignment="1" applyProtection="1">
      <alignment horizontal="center" vertical="center"/>
      <protection locked="0"/>
    </xf>
    <xf numFmtId="10" fontId="3" fillId="0" borderId="3" xfId="24" applyNumberFormat="1" applyFont="1" applyFill="1" applyBorder="1" applyAlignment="1">
      <alignment horizontal="center" vertical="center"/>
    </xf>
    <xf numFmtId="10" fontId="3" fillId="0" borderId="3" xfId="24" applyNumberFormat="1" applyFont="1" applyFill="1" applyBorder="1" applyAlignment="1">
      <alignment horizontal="center" vertical="center" wrapText="1"/>
    </xf>
    <xf numFmtId="4" fontId="3" fillId="0" borderId="4" xfId="24" applyNumberFormat="1" applyFont="1" applyFill="1" applyBorder="1" applyAlignment="1">
      <alignment horizontal="center" vertical="center"/>
    </xf>
    <xf numFmtId="9" fontId="3" fillId="0" borderId="4" xfId="24" applyFont="1" applyFill="1" applyBorder="1" applyAlignment="1">
      <alignment horizontal="center" vertical="center"/>
    </xf>
    <xf numFmtId="2" fontId="3" fillId="0" borderId="4" xfId="24" applyNumberFormat="1" applyFont="1" applyFill="1" applyBorder="1" applyAlignment="1">
      <alignment horizontal="center" vertical="center"/>
    </xf>
    <xf numFmtId="2" fontId="3" fillId="0" borderId="4" xfId="5" applyNumberFormat="1" applyFont="1" applyFill="1" applyBorder="1" applyAlignment="1">
      <alignment horizontal="center" vertical="center"/>
    </xf>
    <xf numFmtId="182" fontId="3" fillId="0" borderId="4" xfId="24" applyNumberFormat="1" applyFont="1" applyFill="1" applyBorder="1" applyAlignment="1">
      <alignment horizontal="center" vertical="center" wrapText="1"/>
    </xf>
    <xf numFmtId="2" fontId="3" fillId="0" borderId="4" xfId="24" applyNumberFormat="1" applyFont="1" applyFill="1" applyBorder="1" applyAlignment="1" applyProtection="1">
      <alignment horizontal="center" vertical="center"/>
      <protection locked="0"/>
    </xf>
    <xf numFmtId="189" fontId="57" fillId="0" borderId="4" xfId="10" applyNumberFormat="1" applyFont="1" applyFill="1" applyBorder="1" applyAlignment="1">
      <alignment horizontal="center" vertical="center"/>
    </xf>
    <xf numFmtId="10" fontId="3" fillId="0" borderId="4" xfId="24" applyNumberFormat="1" applyFont="1" applyFill="1" applyBorder="1" applyAlignment="1">
      <alignment horizontal="center" vertical="center"/>
    </xf>
    <xf numFmtId="42" fontId="0" fillId="0" borderId="1" xfId="2865" applyFont="1" applyFill="1" applyBorder="1" applyAlignment="1" applyProtection="1">
      <alignment horizontal="center" vertical="center"/>
    </xf>
    <xf numFmtId="179" fontId="21" fillId="0" borderId="1" xfId="9" applyNumberFormat="1" applyFont="1" applyFill="1" applyBorder="1" applyAlignment="1" applyProtection="1">
      <alignment horizontal="center" vertical="center"/>
    </xf>
    <xf numFmtId="42" fontId="0" fillId="0" borderId="1" xfId="2865" applyFont="1" applyFill="1" applyBorder="1" applyAlignment="1" applyProtection="1">
      <alignment horizontal="center" vertical="center"/>
      <protection locked="0"/>
    </xf>
    <xf numFmtId="180" fontId="4" fillId="0" borderId="1" xfId="21" applyNumberFormat="1" applyFont="1" applyFill="1" applyBorder="1" applyAlignment="1">
      <alignment horizontal="center" vertical="center"/>
    </xf>
    <xf numFmtId="44" fontId="4" fillId="0" borderId="1" xfId="21" applyNumberFormat="1" applyFont="1" applyFill="1" applyBorder="1" applyAlignment="1">
      <alignment horizontal="center" vertical="center"/>
    </xf>
    <xf numFmtId="44" fontId="4" fillId="0" borderId="1" xfId="3" applyNumberFormat="1" applyFont="1" applyFill="1" applyBorder="1" applyAlignment="1">
      <alignment horizontal="center" vertical="center"/>
    </xf>
    <xf numFmtId="44" fontId="4" fillId="0" borderId="1" xfId="3" applyNumberFormat="1" applyFont="1" applyFill="1" applyBorder="1" applyAlignment="1" applyProtection="1">
      <alignment horizontal="center" vertical="center"/>
    </xf>
    <xf numFmtId="2" fontId="4" fillId="0" borderId="1" xfId="2865" applyNumberFormat="1" applyFont="1" applyFill="1" applyBorder="1" applyAlignment="1" applyProtection="1">
      <alignment horizontal="center" vertical="center"/>
    </xf>
    <xf numFmtId="44" fontId="4" fillId="0" borderId="1" xfId="21" applyNumberFormat="1" applyFont="1" applyFill="1" applyBorder="1" applyAlignment="1" applyProtection="1">
      <alignment horizontal="center" vertical="center"/>
    </xf>
    <xf numFmtId="44" fontId="4" fillId="0" borderId="5" xfId="21" applyNumberFormat="1" applyFont="1" applyFill="1" applyBorder="1" applyAlignment="1">
      <alignment horizontal="center" vertical="center" wrapText="1"/>
    </xf>
    <xf numFmtId="37" fontId="57" fillId="0" borderId="1" xfId="10" applyNumberFormat="1" applyFont="1" applyFill="1" applyBorder="1" applyAlignment="1" applyProtection="1">
      <alignment horizontal="center" vertical="center"/>
      <protection locked="0"/>
    </xf>
    <xf numFmtId="9" fontId="27" fillId="0" borderId="1" xfId="21" applyFont="1" applyFill="1" applyBorder="1" applyAlignment="1" applyProtection="1">
      <alignment horizontal="center" vertical="center"/>
    </xf>
    <xf numFmtId="10" fontId="4" fillId="16" borderId="5" xfId="0" applyNumberFormat="1" applyFont="1" applyFill="1" applyBorder="1" applyAlignment="1">
      <alignment horizontal="center" vertical="center"/>
    </xf>
    <xf numFmtId="9" fontId="58" fillId="0" borderId="3" xfId="24" applyFont="1" applyFill="1" applyBorder="1" applyAlignment="1">
      <alignment horizontal="center" vertical="center" wrapText="1"/>
    </xf>
    <xf numFmtId="9" fontId="58" fillId="0" borderId="1" xfId="24"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4" fillId="20" borderId="1"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47" xfId="0" applyFont="1" applyFill="1" applyBorder="1" applyAlignment="1">
      <alignment horizontal="center" vertical="center" wrapText="1"/>
    </xf>
    <xf numFmtId="0" fontId="44"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9" fillId="16" borderId="14"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16" borderId="38"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24" fillId="0" borderId="13" xfId="0" applyFont="1" applyBorder="1" applyAlignment="1">
      <alignment horizontal="center"/>
    </xf>
    <xf numFmtId="0" fontId="24" fillId="0" borderId="3" xfId="0" applyFont="1" applyBorder="1" applyAlignment="1">
      <alignment horizontal="center"/>
    </xf>
    <xf numFmtId="0" fontId="24" fillId="0" borderId="14" xfId="0" applyFont="1" applyBorder="1" applyAlignment="1">
      <alignment horizontal="center"/>
    </xf>
    <xf numFmtId="0" fontId="24" fillId="0" borderId="1" xfId="0" applyFont="1" applyBorder="1" applyAlignment="1">
      <alignment horizontal="center"/>
    </xf>
    <xf numFmtId="0" fontId="46" fillId="16" borderId="3" xfId="0" applyFont="1" applyFill="1" applyBorder="1" applyAlignment="1">
      <alignment horizontal="center" vertical="center" wrapText="1"/>
    </xf>
    <xf numFmtId="0" fontId="46" fillId="16" borderId="10" xfId="0" applyFont="1" applyFill="1" applyBorder="1" applyAlignment="1">
      <alignment horizontal="center" vertical="center" wrapText="1"/>
    </xf>
    <xf numFmtId="0" fontId="47" fillId="16" borderId="1" xfId="0" applyFont="1" applyFill="1" applyBorder="1" applyAlignment="1">
      <alignment horizontal="center"/>
    </xf>
    <xf numFmtId="0" fontId="47" fillId="16" borderId="11" xfId="0" applyFont="1" applyFill="1" applyBorder="1" applyAlignment="1">
      <alignment horizontal="center"/>
    </xf>
    <xf numFmtId="0" fontId="23" fillId="3" borderId="1" xfId="0" applyFont="1" applyFill="1" applyBorder="1" applyAlignment="1">
      <alignment vertical="center" wrapText="1"/>
    </xf>
    <xf numFmtId="0" fontId="23" fillId="3" borderId="1" xfId="0" applyFont="1" applyFill="1" applyBorder="1" applyAlignment="1">
      <alignment horizontal="left" vertical="center" wrapText="1"/>
    </xf>
    <xf numFmtId="0" fontId="23" fillId="3" borderId="11" xfId="0" applyFont="1" applyFill="1" applyBorder="1" applyAlignment="1">
      <alignment horizontal="left" vertical="center" wrapText="1"/>
    </xf>
    <xf numFmtId="179" fontId="17" fillId="16" borderId="43" xfId="0" applyNumberFormat="1" applyFont="1" applyFill="1" applyBorder="1" applyAlignment="1">
      <alignment horizontal="center" wrapText="1"/>
    </xf>
    <xf numFmtId="179" fontId="17" fillId="16" borderId="5" xfId="0" applyNumberFormat="1" applyFont="1" applyFill="1" applyBorder="1" applyAlignment="1">
      <alignment horizontal="center" wrapText="1"/>
    </xf>
    <xf numFmtId="179" fontId="17" fillId="16" borderId="7" xfId="0" applyNumberFormat="1" applyFont="1" applyFill="1" applyBorder="1" applyAlignment="1">
      <alignment horizontal="center" wrapText="1"/>
    </xf>
    <xf numFmtId="179" fontId="17" fillId="16" borderId="1" xfId="0" applyNumberFormat="1" applyFont="1" applyFill="1" applyBorder="1" applyAlignment="1">
      <alignment horizontal="center" wrapText="1"/>
    </xf>
    <xf numFmtId="0" fontId="2" fillId="20" borderId="3" xfId="0" applyFont="1" applyFill="1" applyBorder="1" applyAlignment="1">
      <alignment horizontal="center" vertical="center" wrapText="1"/>
    </xf>
    <xf numFmtId="0" fontId="2" fillId="20" borderId="1"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0" fillId="0" borderId="0" xfId="0" applyAlignment="1">
      <alignment horizontal="center" vertical="center"/>
    </xf>
    <xf numFmtId="0" fontId="17" fillId="0" borderId="13" xfId="0" applyFont="1" applyBorder="1" applyAlignment="1">
      <alignment horizontal="center"/>
    </xf>
    <xf numFmtId="0" fontId="17" fillId="0" borderId="3" xfId="0" applyFont="1" applyBorder="1" applyAlignment="1">
      <alignment horizontal="center"/>
    </xf>
    <xf numFmtId="0" fontId="17" fillId="0" borderId="14" xfId="0" applyFont="1" applyBorder="1" applyAlignment="1">
      <alignment horizontal="center"/>
    </xf>
    <xf numFmtId="0" fontId="17"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3" fillId="16" borderId="3" xfId="0" applyFont="1" applyFill="1" applyBorder="1" applyAlignment="1">
      <alignment horizontal="center" vertical="center" wrapText="1"/>
    </xf>
    <xf numFmtId="0" fontId="23" fillId="16" borderId="10"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49" fillId="16" borderId="11" xfId="0" applyFont="1" applyFill="1" applyBorder="1" applyAlignment="1">
      <alignment horizontal="center" vertical="center" wrapText="1"/>
    </xf>
    <xf numFmtId="0" fontId="23" fillId="0" borderId="1" xfId="0" applyFont="1" applyBorder="1" applyAlignment="1">
      <alignment horizontal="left" vertical="center"/>
    </xf>
    <xf numFmtId="0" fontId="2" fillId="16" borderId="3" xfId="0" applyFont="1" applyFill="1" applyBorder="1" applyAlignment="1">
      <alignment horizontal="center" vertical="center"/>
    </xf>
    <xf numFmtId="0" fontId="2" fillId="20" borderId="1" xfId="0" applyFont="1" applyFill="1" applyBorder="1" applyAlignment="1">
      <alignment horizontal="center" vertical="center"/>
    </xf>
    <xf numFmtId="0" fontId="23" fillId="0" borderId="11" xfId="0" applyFont="1" applyBorder="1" applyAlignment="1">
      <alignment horizontal="left" vertical="center"/>
    </xf>
    <xf numFmtId="0" fontId="9" fillId="0" borderId="39"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40" xfId="0" applyFont="1" applyBorder="1" applyAlignment="1">
      <alignment horizontal="left" vertical="center" wrapText="1"/>
    </xf>
    <xf numFmtId="0" fontId="2" fillId="16" borderId="10"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24" borderId="3"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2" fillId="24"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18" fillId="4" borderId="1" xfId="0" applyFont="1" applyFill="1" applyBorder="1" applyAlignment="1">
      <alignment horizontal="center" vertical="center"/>
    </xf>
    <xf numFmtId="0" fontId="18" fillId="0" borderId="0" xfId="0" applyFont="1" applyAlignment="1">
      <alignment horizontal="center" vertical="center" wrapText="1"/>
    </xf>
    <xf numFmtId="180" fontId="0" fillId="0" borderId="0" xfId="0" applyNumberFormat="1" applyAlignment="1">
      <alignment horizontal="left" vertical="center"/>
    </xf>
    <xf numFmtId="0" fontId="0" fillId="0" borderId="0" xfId="0" applyAlignment="1">
      <alignment horizontal="left" vertical="center"/>
    </xf>
    <xf numFmtId="179" fontId="4" fillId="16" borderId="1" xfId="0" applyNumberFormat="1"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2" fillId="16" borderId="1" xfId="16" applyFont="1" applyFill="1" applyBorder="1" applyAlignment="1">
      <alignment horizontal="center" vertical="center" wrapText="1"/>
    </xf>
    <xf numFmtId="0" fontId="22" fillId="0" borderId="16" xfId="0" applyFont="1" applyBorder="1" applyAlignment="1">
      <alignment horizontal="center"/>
    </xf>
    <xf numFmtId="0" fontId="22" fillId="0" borderId="17" xfId="0" applyFont="1" applyBorder="1" applyAlignment="1">
      <alignment horizontal="center"/>
    </xf>
    <xf numFmtId="0" fontId="22" fillId="0" borderId="18" xfId="0" applyFont="1" applyBorder="1" applyAlignment="1">
      <alignment horizontal="center"/>
    </xf>
    <xf numFmtId="0" fontId="22" fillId="0" borderId="0" xfId="0" applyFont="1" applyAlignment="1">
      <alignment horizontal="center"/>
    </xf>
    <xf numFmtId="0" fontId="22" fillId="0" borderId="20" xfId="0" applyFont="1" applyBorder="1" applyAlignment="1">
      <alignment horizontal="center"/>
    </xf>
    <xf numFmtId="0" fontId="22" fillId="0" borderId="21" xfId="0" applyFont="1" applyBorder="1" applyAlignment="1">
      <alignment horizontal="center"/>
    </xf>
    <xf numFmtId="0" fontId="23" fillId="16" borderId="13" xfId="0" applyFont="1" applyFill="1" applyBorder="1" applyAlignment="1">
      <alignment horizontal="center" vertical="center" wrapText="1"/>
    </xf>
    <xf numFmtId="0" fontId="49" fillId="16" borderId="14" xfId="0" applyFont="1" applyFill="1" applyBorder="1" applyAlignment="1">
      <alignment horizontal="center" vertical="center" wrapText="1"/>
    </xf>
    <xf numFmtId="0" fontId="4" fillId="16" borderId="3" xfId="16" applyFill="1" applyBorder="1" applyAlignment="1">
      <alignment horizontal="center" vertical="center" wrapText="1"/>
    </xf>
    <xf numFmtId="0" fontId="4" fillId="16" borderId="4" xfId="16" applyFill="1" applyBorder="1" applyAlignment="1">
      <alignment horizontal="center" vertical="center" wrapText="1"/>
    </xf>
    <xf numFmtId="0" fontId="11" fillId="16" borderId="3" xfId="16" applyFont="1" applyFill="1" applyBorder="1" applyAlignment="1">
      <alignment horizontal="center" vertical="center" wrapText="1"/>
    </xf>
    <xf numFmtId="0" fontId="11" fillId="16" borderId="51" xfId="16" applyFont="1" applyFill="1" applyBorder="1" applyAlignment="1">
      <alignment horizontal="center" vertical="center" wrapText="1"/>
    </xf>
    <xf numFmtId="0" fontId="2" fillId="20" borderId="1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2" fillId="20" borderId="10" xfId="16" applyFont="1" applyFill="1" applyBorder="1" applyAlignment="1">
      <alignment horizontal="center" vertical="center" wrapText="1"/>
    </xf>
    <xf numFmtId="0" fontId="10" fillId="16" borderId="28"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4" fillId="16" borderId="13" xfId="16" applyFill="1" applyBorder="1" applyAlignment="1">
      <alignment horizontal="center" vertical="center" wrapText="1"/>
    </xf>
    <xf numFmtId="0" fontId="4" fillId="16" borderId="38" xfId="16" applyFill="1" applyBorder="1" applyAlignment="1">
      <alignment horizontal="center" vertical="center" wrapText="1"/>
    </xf>
    <xf numFmtId="0" fontId="23" fillId="3" borderId="28" xfId="0" applyFont="1" applyFill="1" applyBorder="1" applyAlignment="1">
      <alignment horizontal="left" vertical="center" wrapText="1"/>
    </xf>
    <xf numFmtId="0" fontId="23" fillId="3" borderId="22" xfId="0" applyFont="1" applyFill="1" applyBorder="1" applyAlignment="1">
      <alignment horizontal="left" vertical="center" wrapText="1"/>
    </xf>
    <xf numFmtId="0" fontId="23" fillId="3" borderId="29" xfId="0" applyFont="1" applyFill="1" applyBorder="1" applyAlignment="1">
      <alignment horizontal="lef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2" fillId="16" borderId="52"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27" fillId="0" borderId="1" xfId="0" applyFont="1" applyBorder="1" applyAlignment="1">
      <alignment horizontal="center" vertical="center"/>
    </xf>
    <xf numFmtId="3" fontId="5" fillId="0" borderId="1" xfId="0" applyNumberFormat="1" applyFont="1" applyBorder="1" applyAlignment="1">
      <alignment horizontal="center" vertical="center"/>
    </xf>
    <xf numFmtId="0" fontId="11" fillId="0" borderId="1" xfId="0" applyFont="1" applyBorder="1" applyAlignment="1">
      <alignment vertical="center" wrapText="1"/>
    </xf>
    <xf numFmtId="3" fontId="5" fillId="0" borderId="2"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11" fillId="0" borderId="2" xfId="0" applyFont="1" applyBorder="1" applyAlignment="1">
      <alignment horizontal="center" vertical="top" wrapText="1"/>
    </xf>
    <xf numFmtId="0" fontId="11" fillId="0" borderId="15" xfId="0" applyFont="1" applyBorder="1" applyAlignment="1">
      <alignment horizontal="center" vertical="top" wrapText="1"/>
    </xf>
    <xf numFmtId="0" fontId="27" fillId="0" borderId="5" xfId="0" applyFont="1" applyBorder="1" applyAlignment="1">
      <alignment horizontal="center" vertical="center"/>
    </xf>
    <xf numFmtId="0" fontId="11" fillId="0" borderId="1" xfId="0" applyFont="1" applyBorder="1" applyAlignment="1">
      <alignment vertical="top" wrapText="1"/>
    </xf>
    <xf numFmtId="0" fontId="11" fillId="0" borderId="5" xfId="0" applyFont="1" applyBorder="1" applyAlignment="1">
      <alignment vertical="center" wrapText="1"/>
    </xf>
    <xf numFmtId="0" fontId="25" fillId="16" borderId="20" xfId="19" applyFont="1" applyFill="1" applyBorder="1" applyAlignment="1">
      <alignment horizontal="left" vertical="center" wrapText="1"/>
    </xf>
    <xf numFmtId="0" fontId="25" fillId="16" borderId="21" xfId="19" applyFont="1" applyFill="1" applyBorder="1" applyAlignment="1">
      <alignment horizontal="left" vertical="center" wrapText="1"/>
    </xf>
    <xf numFmtId="0" fontId="10" fillId="2" borderId="45"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25" fillId="0" borderId="16" xfId="19" applyFont="1" applyBorder="1" applyAlignment="1">
      <alignment horizontal="center" vertical="center" wrapText="1"/>
    </xf>
    <xf numFmtId="0" fontId="25" fillId="0" borderId="17" xfId="19" applyFont="1" applyBorder="1" applyAlignment="1">
      <alignment horizontal="center" vertical="center" wrapText="1"/>
    </xf>
    <xf numFmtId="0" fontId="25" fillId="0" borderId="26" xfId="19" applyFont="1" applyBorder="1" applyAlignment="1">
      <alignment horizontal="center" vertical="center" wrapText="1"/>
    </xf>
    <xf numFmtId="0" fontId="2" fillId="16" borderId="8"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59" fillId="16" borderId="13" xfId="0" applyFont="1" applyFill="1" applyBorder="1" applyAlignment="1">
      <alignment horizontal="center" vertical="center"/>
    </xf>
    <xf numFmtId="0" fontId="59" fillId="16" borderId="3" xfId="0" applyFont="1" applyFill="1" applyBorder="1" applyAlignment="1">
      <alignment horizontal="center" vertical="center"/>
    </xf>
    <xf numFmtId="0" fontId="59" fillId="16" borderId="10" xfId="0" applyFont="1" applyFill="1" applyBorder="1" applyAlignment="1">
      <alignment horizontal="center" vertical="center"/>
    </xf>
    <xf numFmtId="0" fontId="60" fillId="16" borderId="46" xfId="0" applyFont="1" applyFill="1" applyBorder="1" applyAlignment="1">
      <alignment horizontal="center" vertical="center" wrapText="1"/>
    </xf>
    <xf numFmtId="0" fontId="60" fillId="16" borderId="2" xfId="0" applyFont="1" applyFill="1" applyBorder="1" applyAlignment="1">
      <alignment horizontal="center" vertical="center" wrapText="1"/>
    </xf>
    <xf numFmtId="0" fontId="60" fillId="16" borderId="47" xfId="0" applyFont="1" applyFill="1" applyBorder="1" applyAlignment="1">
      <alignment horizontal="center"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26" xfId="0" applyFont="1" applyFill="1" applyBorder="1" applyAlignment="1">
      <alignment horizontal="left" vertical="center"/>
    </xf>
    <xf numFmtId="0" fontId="9" fillId="16" borderId="30" xfId="0" applyFont="1" applyFill="1" applyBorder="1" applyAlignment="1">
      <alignment horizontal="left" vertical="center"/>
    </xf>
    <xf numFmtId="0" fontId="9" fillId="16" borderId="31" xfId="0" applyFont="1" applyFill="1" applyBorder="1" applyAlignment="1">
      <alignment horizontal="left" vertical="center"/>
    </xf>
    <xf numFmtId="0" fontId="9" fillId="2" borderId="45" xfId="0" applyFont="1" applyFill="1" applyBorder="1" applyAlignment="1">
      <alignment horizontal="left" vertical="center"/>
    </xf>
    <xf numFmtId="0" fontId="9" fillId="2" borderId="36" xfId="0" applyFont="1" applyFill="1" applyBorder="1" applyAlignment="1">
      <alignment horizontal="left" vertical="center"/>
    </xf>
    <xf numFmtId="0" fontId="9" fillId="2" borderId="33" xfId="0" applyFont="1" applyFill="1" applyBorder="1" applyAlignment="1">
      <alignment horizontal="left" vertical="center"/>
    </xf>
    <xf numFmtId="0" fontId="9" fillId="2" borderId="34" xfId="0" applyFont="1" applyFill="1" applyBorder="1" applyAlignment="1">
      <alignment horizontal="left" vertical="center"/>
    </xf>
    <xf numFmtId="0" fontId="9" fillId="16" borderId="30" xfId="0" applyFont="1" applyFill="1" applyBorder="1" applyAlignment="1">
      <alignment horizontal="left" vertical="center" wrapText="1"/>
    </xf>
    <xf numFmtId="0" fontId="9" fillId="16" borderId="31"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40" fillId="17" borderId="8" xfId="0" applyFont="1" applyFill="1" applyBorder="1" applyAlignment="1">
      <alignment horizontal="center"/>
    </xf>
    <xf numFmtId="0" fontId="40" fillId="17" borderId="6" xfId="0" applyFont="1" applyFill="1" applyBorder="1" applyAlignment="1">
      <alignment horizontal="center"/>
    </xf>
    <xf numFmtId="0" fontId="40" fillId="17" borderId="7" xfId="0" applyFont="1" applyFill="1" applyBorder="1" applyAlignment="1">
      <alignment horizontal="center"/>
    </xf>
    <xf numFmtId="0" fontId="27" fillId="0" borderId="2"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9" fontId="27" fillId="0" borderId="1" xfId="0" applyNumberFormat="1" applyFont="1" applyBorder="1" applyAlignment="1" applyProtection="1">
      <alignment horizontal="center" vertical="center" wrapText="1"/>
      <protection locked="0"/>
    </xf>
    <xf numFmtId="9" fontId="27" fillId="0" borderId="1" xfId="0" applyNumberFormat="1" applyFont="1" applyBorder="1" applyAlignment="1">
      <alignment horizontal="center" vertical="center" wrapText="1"/>
    </xf>
    <xf numFmtId="0" fontId="27" fillId="0" borderId="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5" xfId="0" applyFont="1" applyBorder="1" applyAlignment="1">
      <alignment horizontal="center" vertical="center" wrapText="1"/>
    </xf>
    <xf numFmtId="42" fontId="70" fillId="0" borderId="2" xfId="2865" applyFont="1" applyFill="1" applyBorder="1" applyAlignment="1">
      <alignment horizontal="center" vertical="center" wrapText="1"/>
    </xf>
    <xf numFmtId="42" fontId="70" fillId="0" borderId="5" xfId="2865" applyFont="1" applyFill="1" applyBorder="1" applyAlignment="1">
      <alignment horizontal="center" vertical="center" wrapText="1"/>
    </xf>
    <xf numFmtId="0" fontId="0" fillId="0" borderId="1" xfId="0" applyBorder="1" applyAlignment="1">
      <alignment horizontal="center" vertical="center" wrapText="1"/>
    </xf>
    <xf numFmtId="42" fontId="70" fillId="0" borderId="15" xfId="2865" applyFont="1" applyFill="1" applyBorder="1" applyAlignment="1">
      <alignment horizontal="center" vertical="center" wrapText="1"/>
    </xf>
    <xf numFmtId="0" fontId="40" fillId="17" borderId="8" xfId="0" applyFont="1" applyFill="1" applyBorder="1" applyAlignment="1">
      <alignment horizontal="center" vertical="center"/>
    </xf>
    <xf numFmtId="0" fontId="40" fillId="17" borderId="6" xfId="0" applyFont="1" applyFill="1" applyBorder="1" applyAlignment="1">
      <alignment horizontal="center" vertical="center"/>
    </xf>
    <xf numFmtId="0" fontId="40" fillId="17" borderId="7" xfId="0" applyFont="1" applyFill="1" applyBorder="1" applyAlignment="1">
      <alignment horizontal="center" vertical="center"/>
    </xf>
    <xf numFmtId="9" fontId="27" fillId="0" borderId="2" xfId="0" applyNumberFormat="1" applyFont="1" applyBorder="1" applyAlignment="1">
      <alignment horizontal="center" vertical="center" wrapText="1"/>
    </xf>
    <xf numFmtId="9" fontId="27" fillId="0" borderId="15" xfId="0" applyNumberFormat="1" applyFont="1" applyBorder="1" applyAlignment="1">
      <alignment horizontal="center" vertical="center" wrapText="1"/>
    </xf>
    <xf numFmtId="9" fontId="27" fillId="0" borderId="5" xfId="0" applyNumberFormat="1" applyFont="1" applyBorder="1" applyAlignment="1">
      <alignment horizontal="center" vertical="center" wrapText="1"/>
    </xf>
    <xf numFmtId="0" fontId="69" fillId="17" borderId="1" xfId="0" applyFont="1" applyFill="1" applyBorder="1" applyAlignment="1">
      <alignment horizontal="center" vertical="center"/>
    </xf>
    <xf numFmtId="0" fontId="40" fillId="16" borderId="1" xfId="0" applyFont="1" applyFill="1" applyBorder="1" applyAlignment="1">
      <alignment horizontal="left" vertical="center"/>
    </xf>
    <xf numFmtId="0" fontId="40" fillId="0" borderId="1" xfId="0" applyFont="1" applyBorder="1" applyAlignment="1">
      <alignment horizontal="left" vertical="top"/>
    </xf>
    <xf numFmtId="0" fontId="40" fillId="17" borderId="1" xfId="0" applyFont="1" applyFill="1" applyBorder="1" applyAlignment="1">
      <alignment horizontal="center" vertical="center"/>
    </xf>
    <xf numFmtId="0" fontId="27" fillId="0" borderId="1" xfId="0" applyFont="1" applyBorder="1" applyAlignment="1">
      <alignment horizontal="center"/>
    </xf>
    <xf numFmtId="0" fontId="40" fillId="16" borderId="1" xfId="0" applyFont="1" applyFill="1" applyBorder="1" applyAlignment="1">
      <alignment horizontal="center" vertical="center"/>
    </xf>
    <xf numFmtId="0" fontId="40" fillId="16" borderId="1" xfId="0" applyFont="1" applyFill="1" applyBorder="1" applyAlignment="1">
      <alignment horizontal="center" vertical="center" wrapText="1"/>
    </xf>
    <xf numFmtId="0" fontId="40" fillId="0" borderId="1" xfId="0" applyFont="1" applyBorder="1" applyAlignment="1">
      <alignment horizontal="left"/>
    </xf>
    <xf numFmtId="0" fontId="40" fillId="0" borderId="1" xfId="0" applyFont="1" applyBorder="1" applyAlignment="1">
      <alignment horizontal="center"/>
    </xf>
    <xf numFmtId="42" fontId="4" fillId="0" borderId="2" xfId="2865" applyFont="1" applyFill="1" applyBorder="1" applyAlignment="1">
      <alignment horizontal="center" vertical="center" wrapText="1"/>
    </xf>
    <xf numFmtId="42" fontId="4" fillId="0" borderId="15" xfId="2865" applyFont="1" applyFill="1" applyBorder="1" applyAlignment="1">
      <alignment horizontal="center" vertical="center" wrapText="1"/>
    </xf>
    <xf numFmtId="42" fontId="4" fillId="0" borderId="5" xfId="2865"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8"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40" fillId="4" borderId="8" xfId="0" applyFont="1" applyFill="1" applyBorder="1" applyAlignment="1">
      <alignment horizontal="center" vertical="center"/>
    </xf>
    <xf numFmtId="0" fontId="40" fillId="4" borderId="6" xfId="0" applyFont="1" applyFill="1" applyBorder="1" applyAlignment="1">
      <alignment horizontal="center" vertical="center"/>
    </xf>
    <xf numFmtId="0" fontId="40" fillId="4" borderId="7" xfId="0" applyFont="1" applyFill="1" applyBorder="1" applyAlignment="1">
      <alignment horizontal="center" vertical="center"/>
    </xf>
    <xf numFmtId="0" fontId="40" fillId="4" borderId="8"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27" fillId="0" borderId="8"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35" xfId="0" applyFont="1" applyBorder="1" applyAlignment="1">
      <alignment horizontal="center" vertical="center"/>
    </xf>
    <xf numFmtId="0" fontId="27" fillId="0" borderId="37" xfId="0" applyFont="1" applyBorder="1" applyAlignment="1">
      <alignment horizontal="center" vertical="center"/>
    </xf>
    <xf numFmtId="0" fontId="27" fillId="0" borderId="41" xfId="0" applyFont="1" applyBorder="1" applyAlignment="1">
      <alignment horizontal="center" vertical="center"/>
    </xf>
    <xf numFmtId="0" fontId="27" fillId="0" borderId="9" xfId="0" applyFont="1" applyBorder="1" applyAlignment="1">
      <alignment horizontal="center" vertical="center"/>
    </xf>
    <xf numFmtId="0" fontId="27" fillId="0" borderId="43" xfId="0" applyFont="1" applyBorder="1" applyAlignment="1">
      <alignment horizontal="center" vertical="center"/>
    </xf>
    <xf numFmtId="0" fontId="27" fillId="0" borderId="2" xfId="0" applyFont="1" applyBorder="1" applyAlignment="1">
      <alignment vertical="center"/>
    </xf>
    <xf numFmtId="0" fontId="27" fillId="0" borderId="15" xfId="0" applyFont="1" applyBorder="1" applyAlignment="1">
      <alignment vertical="center"/>
    </xf>
    <xf numFmtId="0" fontId="27" fillId="0" borderId="5" xfId="0" applyFont="1" applyBorder="1" applyAlignment="1">
      <alignment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10" fontId="4" fillId="0" borderId="5" xfId="16" applyNumberFormat="1" applyFill="1" applyBorder="1" applyAlignment="1">
      <alignment horizontal="center" vertical="center" wrapText="1"/>
    </xf>
    <xf numFmtId="10" fontId="4" fillId="0" borderId="5" xfId="16" applyNumberFormat="1" applyFill="1" applyBorder="1" applyAlignment="1" applyProtection="1">
      <alignment horizontal="center" vertical="center" wrapText="1"/>
      <protection locked="0"/>
    </xf>
    <xf numFmtId="10" fontId="27" fillId="0" borderId="1" xfId="16" applyNumberFormat="1" applyFont="1" applyFill="1" applyBorder="1" applyAlignment="1">
      <alignment horizontal="center" vertical="center" wrapText="1"/>
    </xf>
    <xf numFmtId="10" fontId="4" fillId="0" borderId="1" xfId="16" applyNumberFormat="1" applyFill="1" applyBorder="1" applyAlignment="1" applyProtection="1">
      <alignment horizontal="center" vertical="center" wrapText="1"/>
      <protection locked="0"/>
    </xf>
    <xf numFmtId="10" fontId="4" fillId="0" borderId="1" xfId="16" applyNumberFormat="1" applyFill="1" applyBorder="1" applyAlignment="1">
      <alignment horizontal="center" vertical="center" wrapText="1"/>
    </xf>
    <xf numFmtId="10" fontId="28"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7" xfId="0" applyNumberFormat="1" applyFont="1" applyFill="1" applyBorder="1" applyAlignment="1">
      <alignment horizontal="center" vertical="center" wrapText="1"/>
    </xf>
    <xf numFmtId="0" fontId="4" fillId="0" borderId="5" xfId="16" applyFill="1" applyBorder="1" applyAlignment="1">
      <alignment horizontal="center" vertical="center" wrapText="1"/>
    </xf>
    <xf numFmtId="0" fontId="4" fillId="0" borderId="5" xfId="16" applyFill="1" applyBorder="1" applyAlignment="1" applyProtection="1">
      <alignment horizontal="left" vertical="top" wrapText="1"/>
      <protection locked="0"/>
    </xf>
    <xf numFmtId="0" fontId="2" fillId="0" borderId="5" xfId="0" applyFont="1" applyFill="1" applyBorder="1" applyAlignment="1" applyProtection="1">
      <alignment horizontal="center" vertical="center" wrapText="1"/>
      <protection locked="0"/>
    </xf>
    <xf numFmtId="0" fontId="4" fillId="0" borderId="1" xfId="16" applyFill="1" applyBorder="1" applyAlignment="1">
      <alignment horizontal="center" vertical="center" wrapText="1"/>
    </xf>
    <xf numFmtId="0" fontId="4" fillId="0" borderId="1" xfId="16" applyFill="1" applyBorder="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0" fontId="4" fillId="0" borderId="1" xfId="16" applyFill="1" applyBorder="1" applyAlignment="1" applyProtection="1">
      <alignment horizontal="justify" vertical="top" wrapText="1"/>
      <protection locked="0"/>
    </xf>
    <xf numFmtId="0" fontId="4" fillId="0" borderId="1" xfId="16" applyFill="1" applyBorder="1" applyAlignment="1">
      <alignment horizontal="center" vertical="top" wrapText="1"/>
    </xf>
    <xf numFmtId="0" fontId="4" fillId="0" borderId="2" xfId="16" applyFill="1" applyBorder="1" applyAlignment="1">
      <alignment horizontal="center" vertical="center" wrapText="1"/>
    </xf>
    <xf numFmtId="0" fontId="4" fillId="0" borderId="15" xfId="16" applyFill="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4" fillId="0" borderId="2" xfId="16" applyFill="1" applyBorder="1" applyAlignment="1" applyProtection="1">
      <alignment horizontal="left" vertical="top" wrapText="1"/>
      <protection locked="0"/>
    </xf>
    <xf numFmtId="10" fontId="27" fillId="0" borderId="1" xfId="16" applyNumberFormat="1" applyFont="1" applyFill="1" applyBorder="1" applyAlignment="1" applyProtection="1">
      <alignment horizontal="left" vertical="top" wrapText="1"/>
      <protection locked="0"/>
    </xf>
    <xf numFmtId="0" fontId="27" fillId="0" borderId="1" xfId="16" applyFont="1" applyFill="1" applyBorder="1" applyAlignment="1" applyProtection="1">
      <alignment horizontal="left" vertical="top" wrapText="1"/>
      <protection locked="0"/>
    </xf>
    <xf numFmtId="0" fontId="27" fillId="0" borderId="1" xfId="16" applyFont="1" applyFill="1" applyBorder="1" applyAlignment="1" applyProtection="1">
      <alignment horizontal="justify" vertical="top" wrapText="1"/>
      <protection locked="0"/>
    </xf>
    <xf numFmtId="0" fontId="27" fillId="0" borderId="1" xfId="16" applyFont="1" applyFill="1" applyBorder="1" applyAlignment="1" applyProtection="1">
      <alignment horizontal="justify" vertical="top"/>
      <protection locked="0"/>
    </xf>
    <xf numFmtId="0" fontId="27" fillId="0" borderId="1" xfId="16" applyFont="1" applyFill="1" applyBorder="1" applyAlignment="1" applyProtection="1">
      <alignment horizontal="left" vertical="top"/>
      <protection locked="0"/>
    </xf>
    <xf numFmtId="0" fontId="4" fillId="0" borderId="2" xfId="16" applyFill="1" applyBorder="1" applyAlignment="1" applyProtection="1">
      <alignment vertical="top" wrapText="1"/>
      <protection locked="0"/>
    </xf>
    <xf numFmtId="0" fontId="4" fillId="0" borderId="5" xfId="16" applyFill="1" applyBorder="1" applyAlignment="1" applyProtection="1">
      <alignment vertical="top" wrapText="1"/>
      <protection locked="0"/>
    </xf>
    <xf numFmtId="0" fontId="4" fillId="0" borderId="49" xfId="0" applyFont="1" applyFill="1" applyBorder="1" applyAlignment="1" applyProtection="1">
      <alignment horizontal="left" vertical="top" wrapText="1"/>
      <protection locked="0"/>
    </xf>
    <xf numFmtId="0" fontId="71" fillId="0" borderId="50" xfId="0" applyFont="1" applyFill="1" applyBorder="1" applyAlignment="1" applyProtection="1">
      <alignment vertical="top"/>
      <protection locked="0"/>
    </xf>
    <xf numFmtId="10" fontId="4" fillId="0" borderId="2" xfId="0" applyNumberFormat="1" applyFont="1" applyFill="1" applyBorder="1" applyAlignment="1" applyProtection="1">
      <alignment horizontal="center" vertical="center" wrapText="1"/>
      <protection locked="0"/>
    </xf>
    <xf numFmtId="10" fontId="4" fillId="0" borderId="15" xfId="0" applyNumberFormat="1" applyFont="1" applyFill="1" applyBorder="1" applyAlignment="1" applyProtection="1">
      <alignment horizontal="center" vertical="center" wrapText="1"/>
      <protection locked="0"/>
    </xf>
    <xf numFmtId="0" fontId="4" fillId="0" borderId="1" xfId="16" applyFill="1" applyBorder="1" applyAlignment="1" applyProtection="1">
      <alignment horizontal="left" vertical="top"/>
      <protection locked="0"/>
    </xf>
    <xf numFmtId="0" fontId="4" fillId="0" borderId="1" xfId="16" applyFill="1" applyBorder="1" applyAlignment="1" applyProtection="1">
      <alignment horizontal="left" vertical="center" wrapText="1"/>
      <protection locked="0"/>
    </xf>
    <xf numFmtId="0" fontId="27" fillId="0" borderId="1" xfId="16" applyFont="1" applyFill="1" applyBorder="1" applyAlignment="1" applyProtection="1">
      <alignment horizontal="justify" vertical="center" wrapText="1"/>
      <protection locked="0"/>
    </xf>
    <xf numFmtId="0" fontId="27" fillId="0" borderId="1" xfId="16" applyFont="1" applyFill="1" applyBorder="1" applyAlignment="1" applyProtection="1">
      <alignment horizontal="justify" vertical="center"/>
      <protection locked="0"/>
    </xf>
    <xf numFmtId="182" fontId="4" fillId="0" borderId="5" xfId="0" applyNumberFormat="1" applyFont="1" applyFill="1" applyBorder="1" applyAlignment="1">
      <alignment horizontal="center" vertical="center" wrapText="1"/>
    </xf>
    <xf numFmtId="3" fontId="4" fillId="0" borderId="2" xfId="0" applyNumberFormat="1" applyFont="1" applyFill="1" applyBorder="1" applyAlignment="1" applyProtection="1">
      <alignment horizontal="center" vertical="center" wrapText="1"/>
      <protection locked="0"/>
    </xf>
    <xf numFmtId="9" fontId="27" fillId="0" borderId="1" xfId="21" applyFont="1" applyFill="1" applyBorder="1" applyAlignment="1" applyProtection="1">
      <alignment horizontal="center" vertical="center"/>
      <protection locked="0"/>
    </xf>
    <xf numFmtId="3" fontId="27" fillId="0" borderId="1" xfId="0" applyNumberFormat="1" applyFont="1" applyFill="1" applyBorder="1" applyAlignment="1" applyProtection="1">
      <alignment horizontal="center" vertical="center"/>
      <protection locked="0"/>
    </xf>
    <xf numFmtId="4" fontId="27"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164" fontId="27" fillId="0" borderId="1" xfId="2868" applyFont="1" applyFill="1" applyBorder="1" applyAlignment="1" applyProtection="1">
      <alignment horizontal="center" vertical="center"/>
      <protection locked="0"/>
    </xf>
    <xf numFmtId="0" fontId="27" fillId="0" borderId="5" xfId="0" applyFont="1" applyFill="1" applyBorder="1" applyAlignment="1" applyProtection="1">
      <alignment horizontal="center" vertical="center"/>
      <protection locked="0"/>
    </xf>
    <xf numFmtId="4" fontId="27" fillId="0" borderId="1" xfId="0" applyNumberFormat="1" applyFont="1" applyFill="1" applyBorder="1" applyAlignment="1" applyProtection="1">
      <alignment horizontal="center" vertical="center" wrapText="1"/>
      <protection locked="0"/>
    </xf>
    <xf numFmtId="0" fontId="27" fillId="0" borderId="15" xfId="0" applyFont="1" applyFill="1" applyBorder="1" applyAlignment="1" applyProtection="1">
      <alignment horizontal="center" vertical="center"/>
      <protection locked="0"/>
    </xf>
    <xf numFmtId="9" fontId="27" fillId="0" borderId="1" xfId="0" applyNumberFormat="1" applyFont="1" applyFill="1" applyBorder="1" applyAlignment="1" applyProtection="1">
      <alignment horizontal="center" vertical="center" wrapText="1"/>
      <protection locked="0"/>
    </xf>
    <xf numFmtId="9" fontId="27" fillId="0" borderId="1" xfId="0" applyNumberFormat="1" applyFont="1" applyFill="1" applyBorder="1" applyAlignment="1" applyProtection="1">
      <alignment horizontal="center" vertical="center" wrapText="1"/>
      <protection locked="0"/>
    </xf>
    <xf numFmtId="0" fontId="0" fillId="0" borderId="15" xfId="0" applyFill="1" applyBorder="1" applyAlignment="1">
      <alignment horizontal="center" vertical="center" wrapText="1"/>
    </xf>
    <xf numFmtId="10" fontId="17" fillId="0" borderId="1" xfId="21" applyNumberFormat="1" applyFont="1" applyFill="1" applyBorder="1" applyAlignment="1" applyProtection="1">
      <alignment horizontal="center" vertical="center"/>
      <protection locked="0"/>
    </xf>
    <xf numFmtId="42" fontId="66" fillId="0" borderId="1" xfId="2865" applyFont="1" applyFill="1" applyBorder="1" applyAlignment="1" applyProtection="1">
      <alignment horizontal="center" vertical="center"/>
      <protection locked="0"/>
    </xf>
    <xf numFmtId="0" fontId="0" fillId="0" borderId="2" xfId="0" applyFill="1" applyBorder="1" applyAlignment="1">
      <alignment horizontal="center" vertical="center" wrapText="1"/>
    </xf>
    <xf numFmtId="3" fontId="14"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 fontId="3" fillId="0" borderId="1" xfId="0" applyNumberFormat="1"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protection locked="0"/>
    </xf>
    <xf numFmtId="180" fontId="15" fillId="0" borderId="1" xfId="0" applyNumberFormat="1" applyFont="1" applyFill="1" applyBorder="1" applyAlignment="1" applyProtection="1">
      <alignment horizontal="center" vertical="center"/>
      <protection locked="0"/>
    </xf>
    <xf numFmtId="180" fontId="15" fillId="0" borderId="1" xfId="0" applyNumberFormat="1" applyFont="1" applyFill="1" applyBorder="1" applyAlignment="1">
      <alignment horizontal="center" vertical="center"/>
    </xf>
    <xf numFmtId="1" fontId="4" fillId="0" borderId="5" xfId="0" applyNumberFormat="1" applyFont="1" applyFill="1" applyBorder="1" applyAlignment="1" applyProtection="1">
      <alignment horizontal="center" vertical="center" wrapText="1"/>
      <protection locked="0"/>
    </xf>
    <xf numFmtId="0" fontId="21" fillId="0" borderId="5" xfId="0" applyFont="1" applyFill="1" applyBorder="1" applyAlignment="1" applyProtection="1">
      <alignment horizontal="center" vertical="center"/>
      <protection locked="0"/>
    </xf>
    <xf numFmtId="2" fontId="4" fillId="0" borderId="2" xfId="0" applyNumberFormat="1" applyFont="1" applyFill="1" applyBorder="1" applyAlignment="1">
      <alignment horizontal="center" vertical="center" wrapText="1"/>
    </xf>
    <xf numFmtId="4" fontId="4" fillId="0" borderId="1" xfId="2865" applyNumberFormat="1" applyFont="1" applyFill="1" applyBorder="1" applyAlignment="1" applyProtection="1">
      <alignment horizontal="center" vertical="center" wrapText="1"/>
    </xf>
    <xf numFmtId="3" fontId="42" fillId="0" borderId="5" xfId="0" applyNumberFormat="1" applyFont="1" applyFill="1" applyBorder="1" applyAlignment="1" applyProtection="1">
      <alignment horizontal="center" vertical="center" wrapText="1"/>
      <protection locked="0"/>
    </xf>
    <xf numFmtId="44" fontId="4" fillId="0" borderId="5" xfId="0" applyNumberFormat="1" applyFont="1" applyFill="1" applyBorder="1" applyAlignment="1">
      <alignment horizontal="center" vertical="center" wrapText="1"/>
    </xf>
    <xf numFmtId="4" fontId="4" fillId="0" borderId="5" xfId="2865" applyNumberFormat="1" applyFont="1" applyFill="1" applyBorder="1" applyAlignment="1">
      <alignment horizontal="center" vertical="center" wrapText="1"/>
    </xf>
    <xf numFmtId="2" fontId="4" fillId="0" borderId="5" xfId="0" applyNumberFormat="1" applyFont="1" applyFill="1" applyBorder="1" applyAlignment="1" applyProtection="1">
      <alignment horizontal="center" vertical="center" wrapText="1"/>
      <protection locked="0"/>
    </xf>
    <xf numFmtId="2" fontId="4" fillId="0" borderId="5" xfId="0" applyNumberFormat="1" applyFont="1" applyFill="1" applyBorder="1" applyAlignment="1">
      <alignment horizontal="center" vertical="center" wrapText="1"/>
    </xf>
    <xf numFmtId="0" fontId="21" fillId="0" borderId="1" xfId="0" applyFont="1" applyFill="1" applyBorder="1" applyAlignment="1" applyProtection="1">
      <alignment horizontal="center" vertical="center"/>
      <protection locked="0"/>
    </xf>
    <xf numFmtId="0" fontId="21" fillId="0" borderId="1" xfId="0" applyFont="1" applyFill="1" applyBorder="1" applyAlignment="1">
      <alignment horizontal="center" vertical="center"/>
    </xf>
    <xf numFmtId="3" fontId="4" fillId="0" borderId="1" xfId="0" applyNumberFormat="1" applyFont="1" applyFill="1" applyBorder="1" applyAlignment="1" applyProtection="1">
      <alignment horizontal="center" vertical="center" wrapText="1"/>
      <protection locked="0"/>
    </xf>
    <xf numFmtId="178"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42" fontId="28" fillId="0" borderId="1" xfId="0" applyNumberFormat="1" applyFont="1" applyFill="1" applyBorder="1" applyAlignment="1" applyProtection="1">
      <alignment horizontal="center" vertical="center"/>
      <protection locked="0"/>
    </xf>
    <xf numFmtId="3" fontId="4" fillId="0" borderId="5" xfId="0" applyNumberFormat="1" applyFont="1" applyFill="1" applyBorder="1" applyAlignment="1" applyProtection="1">
      <alignment horizontal="center" vertical="center" wrapText="1"/>
      <protection locked="0"/>
    </xf>
    <xf numFmtId="9"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28" fillId="0" borderId="12" xfId="0" applyFont="1" applyFill="1" applyBorder="1" applyAlignment="1" applyProtection="1">
      <alignment horizontal="center" vertical="center" wrapText="1"/>
      <protection locked="0"/>
    </xf>
    <xf numFmtId="0" fontId="4" fillId="0" borderId="4" xfId="0" applyFont="1" applyFill="1" applyBorder="1" applyAlignment="1">
      <alignment horizontal="center" vertical="center" wrapText="1"/>
    </xf>
    <xf numFmtId="0" fontId="4" fillId="0" borderId="2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top" wrapText="1"/>
      <protection locked="0"/>
    </xf>
    <xf numFmtId="0" fontId="4" fillId="0" borderId="1" xfId="0" applyFont="1" applyFill="1" applyBorder="1" applyAlignment="1">
      <alignment horizontal="center"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center" vertical="center" wrapText="1"/>
    </xf>
    <xf numFmtId="0" fontId="52" fillId="0" borderId="11" xfId="2867"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left" vertical="top" wrapText="1"/>
      <protection locked="0"/>
    </xf>
    <xf numFmtId="0" fontId="28" fillId="0" borderId="11" xfId="0"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left" vertical="top" wrapText="1"/>
      <protection locked="0"/>
    </xf>
    <xf numFmtId="0" fontId="52" fillId="0" borderId="10" xfId="2867" applyFill="1" applyBorder="1" applyAlignment="1" applyProtection="1">
      <alignment horizontal="center" vertical="center" wrapText="1"/>
      <protection locked="0"/>
    </xf>
    <xf numFmtId="0" fontId="28"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left" vertical="top" wrapText="1"/>
      <protection locked="0"/>
    </xf>
    <xf numFmtId="0" fontId="52" fillId="0" borderId="12" xfId="2867"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58" fillId="0" borderId="4" xfId="0" applyFont="1" applyFill="1" applyBorder="1" applyAlignment="1" applyProtection="1">
      <alignment horizontal="left" vertical="top" wrapText="1"/>
      <protection locked="0"/>
    </xf>
    <xf numFmtId="2" fontId="3" fillId="0" borderId="4" xfId="21" applyNumberFormat="1" applyFont="1" applyFill="1" applyBorder="1" applyAlignment="1">
      <alignment horizontal="center" vertical="center" wrapText="1"/>
    </xf>
    <xf numFmtId="39" fontId="57" fillId="0" borderId="4" xfId="10" applyNumberFormat="1" applyFont="1" applyFill="1" applyBorder="1" applyAlignment="1">
      <alignment horizontal="center" vertical="center"/>
    </xf>
    <xf numFmtId="0" fontId="57" fillId="0" borderId="4" xfId="0" applyFont="1" applyFill="1" applyBorder="1" applyAlignment="1" applyProtection="1">
      <alignment horizontal="center" vertical="center"/>
      <protection locked="0"/>
    </xf>
    <xf numFmtId="189" fontId="57" fillId="0" borderId="4" xfId="0" applyNumberFormat="1" applyFont="1" applyFill="1" applyBorder="1" applyAlignment="1" applyProtection="1">
      <alignment horizontal="center" vertical="center"/>
      <protection locked="0"/>
    </xf>
    <xf numFmtId="183" fontId="57" fillId="0" borderId="4" xfId="0" applyNumberFormat="1" applyFont="1" applyFill="1" applyBorder="1" applyAlignment="1">
      <alignment horizontal="center" vertical="center"/>
    </xf>
    <xf numFmtId="0" fontId="3" fillId="0" borderId="4" xfId="0" applyFont="1" applyFill="1" applyBorder="1" applyAlignment="1">
      <alignment horizontal="center" vertical="top" wrapText="1"/>
    </xf>
    <xf numFmtId="0" fontId="3" fillId="0" borderId="4" xfId="0" applyFont="1" applyFill="1" applyBorder="1" applyAlignment="1">
      <alignment horizontal="center" vertical="center"/>
    </xf>
    <xf numFmtId="0" fontId="3" fillId="0" borderId="38" xfId="0" applyFont="1" applyFill="1" applyBorder="1" applyAlignment="1">
      <alignment horizontal="center" vertical="center"/>
    </xf>
    <xf numFmtId="0" fontId="52" fillId="0" borderId="11" xfId="2867" applyFill="1" applyBorder="1" applyAlignment="1" applyProtection="1">
      <alignment horizontal="center" vertical="center" wrapText="1"/>
      <protection locked="0"/>
    </xf>
    <xf numFmtId="39" fontId="57" fillId="0" borderId="1" xfId="10" applyNumberFormat="1" applyFont="1" applyFill="1" applyBorder="1" applyAlignment="1" applyProtection="1">
      <alignment horizontal="center" vertical="center"/>
    </xf>
    <xf numFmtId="4" fontId="3" fillId="0" borderId="1" xfId="0" applyNumberFormat="1" applyFont="1" applyFill="1" applyBorder="1" applyAlignment="1">
      <alignment horizontal="center" vertical="center" wrapText="1"/>
    </xf>
    <xf numFmtId="4" fontId="3" fillId="0" borderId="1" xfId="0" applyNumberFormat="1" applyFont="1" applyFill="1" applyBorder="1" applyAlignment="1" applyProtection="1">
      <alignment horizontal="center" vertical="center" wrapText="1"/>
      <protection locked="0"/>
    </xf>
    <xf numFmtId="9" fontId="3" fillId="0" borderId="1" xfId="21" applyFont="1" applyFill="1" applyBorder="1" applyAlignment="1" applyProtection="1">
      <alignment horizontal="center" vertical="center" wrapText="1"/>
    </xf>
    <xf numFmtId="9" fontId="57" fillId="0" borderId="1" xfId="0" applyNumberFormat="1" applyFont="1" applyFill="1" applyBorder="1" applyAlignment="1">
      <alignment horizontal="center" vertical="center"/>
    </xf>
    <xf numFmtId="0" fontId="62" fillId="0" borderId="11" xfId="2867" applyFont="1" applyFill="1" applyBorder="1" applyAlignment="1" applyProtection="1">
      <alignment horizontal="center" vertical="center" wrapText="1"/>
      <protection locked="0"/>
    </xf>
    <xf numFmtId="3" fontId="3" fillId="0" borderId="1"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protection locked="0"/>
    </xf>
    <xf numFmtId="0" fontId="57" fillId="0" borderId="1" xfId="0" applyFont="1" applyFill="1" applyBorder="1" applyAlignment="1">
      <alignment horizontal="center" vertical="center"/>
    </xf>
    <xf numFmtId="1" fontId="57" fillId="0" borderId="1" xfId="0" applyNumberFormat="1"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62" fillId="0" borderId="10" xfId="2867"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top" wrapText="1"/>
      <protection locked="0"/>
    </xf>
    <xf numFmtId="3" fontId="3" fillId="0" borderId="3" xfId="0" applyNumberFormat="1" applyFont="1" applyFill="1" applyBorder="1" applyAlignment="1" applyProtection="1">
      <alignment horizontal="center" vertical="center" wrapText="1"/>
      <protection locked="0"/>
    </xf>
    <xf numFmtId="0" fontId="21" fillId="0" borderId="3" xfId="0" applyFont="1" applyFill="1" applyBorder="1" applyAlignment="1">
      <alignment horizontal="center" vertical="center"/>
    </xf>
    <xf numFmtId="3" fontId="3" fillId="0" borderId="3"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top" wrapText="1"/>
    </xf>
    <xf numFmtId="0" fontId="3" fillId="0" borderId="13"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top" wrapText="1"/>
      <protection locked="0"/>
    </xf>
    <xf numFmtId="0" fontId="0" fillId="0" borderId="5" xfId="0" applyFill="1" applyBorder="1" applyAlignment="1">
      <alignment horizontal="center" vertical="center" wrapText="1"/>
    </xf>
    <xf numFmtId="9" fontId="21" fillId="0" borderId="5" xfId="21"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57" fillId="0" borderId="3" xfId="0" applyFont="1" applyFill="1" applyBorder="1" applyAlignment="1">
      <alignment horizontal="center" vertical="center"/>
    </xf>
    <xf numFmtId="3" fontId="3" fillId="0" borderId="1" xfId="0" applyNumberFormat="1" applyFont="1" applyFill="1" applyBorder="1" applyAlignment="1">
      <alignment horizontal="center" vertical="center" wrapText="1"/>
    </xf>
    <xf numFmtId="2" fontId="3" fillId="0" borderId="1" xfId="21" applyNumberFormat="1" applyFont="1" applyFill="1" applyBorder="1" applyAlignment="1">
      <alignment horizontal="center" vertical="center" wrapText="1"/>
    </xf>
    <xf numFmtId="0" fontId="58" fillId="0" borderId="1" xfId="0" applyFont="1" applyFill="1" applyBorder="1" applyAlignment="1" applyProtection="1">
      <alignment horizontal="left" vertical="top" wrapText="1"/>
      <protection locked="0"/>
    </xf>
    <xf numFmtId="0" fontId="57" fillId="0" borderId="4" xfId="0" applyFont="1" applyFill="1" applyBorder="1" applyAlignment="1">
      <alignment horizontal="center" vertical="center"/>
    </xf>
    <xf numFmtId="189" fontId="57" fillId="0" borderId="4" xfId="0" applyNumberFormat="1" applyFont="1" applyFill="1" applyBorder="1" applyAlignment="1">
      <alignment horizontal="center" vertical="center"/>
    </xf>
    <xf numFmtId="39" fontId="57" fillId="0" borderId="4" xfId="0" applyNumberFormat="1" applyFont="1" applyFill="1" applyBorder="1" applyAlignment="1">
      <alignment horizontal="center" vertical="center"/>
    </xf>
    <xf numFmtId="1" fontId="57" fillId="0" borderId="3" xfId="0" applyNumberFormat="1" applyFont="1" applyFill="1" applyBorder="1" applyAlignment="1">
      <alignment horizontal="center" vertical="center"/>
    </xf>
    <xf numFmtId="4" fontId="4" fillId="0" borderId="5" xfId="0" applyNumberFormat="1" applyFont="1" applyFill="1" applyBorder="1" applyAlignment="1" applyProtection="1">
      <alignment horizontal="center" vertical="center" wrapText="1"/>
      <protection locked="0"/>
    </xf>
    <xf numFmtId="3" fontId="4" fillId="0" borderId="2" xfId="0" applyNumberFormat="1" applyFont="1" applyFill="1" applyBorder="1" applyAlignment="1">
      <alignment horizontal="center" vertical="center" wrapText="1"/>
    </xf>
    <xf numFmtId="4" fontId="4" fillId="0" borderId="1" xfId="0" applyNumberFormat="1" applyFont="1" applyFill="1" applyBorder="1" applyAlignment="1" applyProtection="1">
      <alignment horizontal="center" vertical="center" wrapText="1"/>
      <protection locked="0"/>
    </xf>
    <xf numFmtId="182" fontId="4"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3" fontId="42" fillId="0" borderId="5" xfId="0" applyNumberFormat="1" applyFont="1" applyFill="1" applyBorder="1" applyAlignment="1">
      <alignment horizontal="center" vertical="center" wrapText="1"/>
    </xf>
    <xf numFmtId="3" fontId="56" fillId="0" borderId="5" xfId="0" applyNumberFormat="1" applyFont="1" applyFill="1" applyBorder="1" applyAlignment="1">
      <alignment horizontal="center" vertical="center" wrapText="1"/>
    </xf>
    <xf numFmtId="0" fontId="21" fillId="0" borderId="2" xfId="0" applyFont="1" applyFill="1" applyBorder="1" applyAlignment="1">
      <alignment horizontal="center" vertical="center"/>
    </xf>
    <xf numFmtId="180" fontId="0" fillId="0" borderId="1" xfId="0" applyNumberFormat="1" applyFill="1" applyBorder="1" applyAlignment="1">
      <alignment horizontal="center" vertical="center"/>
    </xf>
    <xf numFmtId="1" fontId="15" fillId="0" borderId="1" xfId="0" applyNumberFormat="1" applyFont="1" applyFill="1" applyBorder="1" applyAlignment="1">
      <alignment horizontal="center" vertical="center"/>
    </xf>
    <xf numFmtId="3" fontId="0" fillId="0" borderId="5" xfId="0" applyNumberFormat="1" applyFill="1" applyBorder="1" applyAlignment="1">
      <alignment horizontal="center" vertical="center"/>
    </xf>
    <xf numFmtId="0" fontId="27" fillId="0" borderId="5" xfId="0" applyFont="1" applyFill="1" applyBorder="1" applyAlignment="1">
      <alignment horizontal="center" vertical="center"/>
    </xf>
    <xf numFmtId="4" fontId="4" fillId="0" borderId="2" xfId="0" applyNumberFormat="1" applyFont="1" applyFill="1" applyBorder="1" applyAlignment="1">
      <alignment horizontal="center" vertical="center" wrapText="1"/>
    </xf>
    <xf numFmtId="0" fontId="43" fillId="0" borderId="1" xfId="0" applyFont="1" applyFill="1" applyBorder="1" applyAlignment="1" applyProtection="1">
      <alignment horizontal="center" vertical="center"/>
      <protection locked="0"/>
    </xf>
    <xf numFmtId="4" fontId="4" fillId="0" borderId="2" xfId="0" applyNumberFormat="1" applyFont="1" applyFill="1" applyBorder="1" applyAlignment="1" applyProtection="1">
      <alignment horizontal="center" vertical="center" wrapText="1"/>
      <protection locked="0"/>
    </xf>
    <xf numFmtId="181" fontId="4" fillId="0" borderId="1" xfId="0" applyNumberFormat="1" applyFont="1" applyFill="1" applyBorder="1" applyAlignment="1" applyProtection="1">
      <alignment horizontal="center" vertical="center" wrapText="1"/>
      <protection locked="0"/>
    </xf>
    <xf numFmtId="4" fontId="42" fillId="0" borderId="5" xfId="0" applyNumberFormat="1" applyFont="1" applyFill="1" applyBorder="1" applyAlignment="1" applyProtection="1">
      <alignment horizontal="center" vertical="center" wrapText="1"/>
      <protection locked="0"/>
    </xf>
    <xf numFmtId="179" fontId="0" fillId="0" borderId="1" xfId="0" applyNumberFormat="1" applyFill="1" applyBorder="1" applyAlignment="1">
      <alignment horizontal="center" vertical="center"/>
    </xf>
    <xf numFmtId="0" fontId="21" fillId="0" borderId="5" xfId="0" applyFont="1" applyFill="1" applyBorder="1" applyAlignment="1">
      <alignment horizontal="center" vertical="center"/>
    </xf>
    <xf numFmtId="180" fontId="21" fillId="0" borderId="1" xfId="0" applyNumberFormat="1"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3" fontId="58" fillId="0" borderId="5" xfId="0" applyNumberFormat="1" applyFont="1" applyFill="1" applyBorder="1" applyAlignment="1" applyProtection="1">
      <alignment horizontal="center" vertical="center"/>
      <protection locked="0"/>
    </xf>
    <xf numFmtId="3" fontId="27" fillId="0" borderId="5" xfId="0" applyNumberFormat="1" applyFont="1" applyFill="1" applyBorder="1" applyAlignment="1">
      <alignment horizontal="center" vertical="center"/>
    </xf>
    <xf numFmtId="179" fontId="21" fillId="22" borderId="11" xfId="9" applyNumberFormat="1" applyFont="1" applyFill="1" applyBorder="1" applyAlignment="1">
      <alignment horizontal="center" vertical="center"/>
    </xf>
    <xf numFmtId="4" fontId="67" fillId="0" borderId="1" xfId="0" applyNumberFormat="1" applyFont="1" applyFill="1" applyBorder="1" applyAlignment="1" applyProtection="1">
      <alignment horizontal="center" vertical="center"/>
      <protection locked="0"/>
    </xf>
    <xf numFmtId="0" fontId="43" fillId="0" borderId="1" xfId="0" applyFont="1" applyFill="1" applyBorder="1" applyAlignment="1">
      <alignment horizontal="center" vertical="center"/>
    </xf>
    <xf numFmtId="4" fontId="4" fillId="0" borderId="1" xfId="2865"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4" fontId="42" fillId="0" borderId="5" xfId="0" applyNumberFormat="1" applyFont="1" applyFill="1" applyBorder="1" applyAlignment="1">
      <alignment horizontal="center" vertical="center" wrapText="1"/>
    </xf>
    <xf numFmtId="4" fontId="4" fillId="0" borderId="5" xfId="2865" applyNumberFormat="1" applyFont="1" applyFill="1" applyBorder="1" applyAlignment="1" applyProtection="1">
      <alignment horizontal="center" vertical="center" wrapText="1"/>
    </xf>
    <xf numFmtId="1" fontId="4" fillId="0" borderId="5" xfId="0" applyNumberFormat="1" applyFont="1" applyFill="1" applyBorder="1" applyAlignment="1">
      <alignment horizontal="center" vertical="center" wrapText="1"/>
    </xf>
    <xf numFmtId="181" fontId="4" fillId="0" borderId="2" xfId="0" applyNumberFormat="1" applyFont="1" applyFill="1" applyBorder="1" applyAlignment="1">
      <alignment horizontal="center" vertical="center" wrapText="1"/>
    </xf>
    <xf numFmtId="180" fontId="0" fillId="0" borderId="1" xfId="0" applyNumberFormat="1" applyFill="1" applyBorder="1" applyAlignment="1" applyProtection="1">
      <alignment horizontal="center" vertical="center"/>
      <protection locked="0"/>
    </xf>
    <xf numFmtId="1" fontId="15" fillId="0" borderId="1" xfId="0" applyNumberFormat="1" applyFont="1" applyFill="1" applyBorder="1" applyAlignment="1" applyProtection="1">
      <alignment horizontal="center" vertical="center"/>
      <protection locked="0"/>
    </xf>
    <xf numFmtId="3" fontId="0" fillId="0" borderId="5" xfId="0" applyNumberFormat="1" applyFill="1" applyBorder="1" applyAlignment="1" applyProtection="1">
      <alignment horizontal="center" vertical="center"/>
      <protection locked="0"/>
    </xf>
    <xf numFmtId="179" fontId="21" fillId="22" borderId="10" xfId="9" applyNumberFormat="1" applyFont="1" applyFill="1" applyBorder="1" applyAlignment="1" applyProtection="1">
      <alignment horizontal="center" vertical="center"/>
    </xf>
    <xf numFmtId="3" fontId="2" fillId="0" borderId="5" xfId="0" applyNumberFormat="1" applyFont="1" applyFill="1" applyBorder="1" applyAlignment="1">
      <alignment horizontal="center" vertical="center" wrapText="1"/>
    </xf>
    <xf numFmtId="0" fontId="27" fillId="0" borderId="1" xfId="0" applyFont="1" applyFill="1" applyBorder="1" applyAlignment="1" applyProtection="1">
      <alignment horizontal="left" vertical="top" wrapText="1"/>
      <protection locked="0"/>
    </xf>
    <xf numFmtId="178" fontId="4" fillId="0" borderId="2" xfId="0" applyNumberFormat="1" applyFont="1" applyFill="1" applyBorder="1" applyAlignment="1">
      <alignment horizontal="center" vertical="center" wrapText="1"/>
    </xf>
    <xf numFmtId="9" fontId="4" fillId="0" borderId="1" xfId="24" applyFont="1" applyFill="1" applyBorder="1" applyAlignment="1">
      <alignment horizontal="center" vertical="center" wrapText="1"/>
    </xf>
    <xf numFmtId="3" fontId="3" fillId="0" borderId="1" xfId="24" applyNumberFormat="1" applyFont="1" applyFill="1" applyBorder="1" applyAlignment="1">
      <alignment horizontal="center" vertical="center"/>
    </xf>
    <xf numFmtId="1" fontId="3" fillId="0" borderId="1" xfId="5" applyNumberFormat="1" applyFont="1" applyFill="1" applyBorder="1" applyAlignment="1">
      <alignment horizontal="center" vertical="center"/>
    </xf>
    <xf numFmtId="9" fontId="3" fillId="0" borderId="1" xfId="24" applyFont="1" applyFill="1" applyBorder="1" applyAlignment="1">
      <alignment horizontal="center" vertical="center"/>
    </xf>
    <xf numFmtId="4" fontId="3" fillId="0" borderId="1" xfId="24" applyNumberFormat="1" applyFont="1" applyFill="1" applyBorder="1" applyAlignment="1">
      <alignment horizontal="center" vertical="center"/>
    </xf>
    <xf numFmtId="2" fontId="3" fillId="0" borderId="1" xfId="24" applyNumberFormat="1" applyFont="1" applyFill="1" applyBorder="1" applyAlignment="1">
      <alignment horizontal="center" vertical="center"/>
    </xf>
    <xf numFmtId="2" fontId="3" fillId="0" borderId="1" xfId="5" applyNumberFormat="1" applyFont="1" applyFill="1" applyBorder="1" applyAlignment="1">
      <alignment horizontal="center" vertical="center"/>
    </xf>
    <xf numFmtId="9" fontId="4" fillId="0" borderId="5" xfId="24" applyFont="1" applyFill="1" applyBorder="1" applyAlignment="1">
      <alignment horizontal="center" vertical="center" wrapText="1"/>
    </xf>
    <xf numFmtId="9" fontId="4" fillId="0" borderId="2" xfId="24" applyFont="1" applyFill="1" applyBorder="1" applyAlignment="1">
      <alignment horizontal="center" vertical="center" wrapText="1"/>
    </xf>
    <xf numFmtId="4" fontId="4" fillId="0" borderId="2" xfId="24"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182" fontId="4" fillId="0" borderId="2" xfId="24" applyNumberFormat="1" applyFont="1" applyFill="1" applyBorder="1" applyAlignment="1">
      <alignment horizontal="center" vertical="center" wrapText="1"/>
    </xf>
    <xf numFmtId="2" fontId="4" fillId="0" borderId="2" xfId="24" applyNumberFormat="1" applyFont="1" applyFill="1" applyBorder="1" applyAlignment="1">
      <alignment horizontal="center" vertical="center" wrapText="1"/>
    </xf>
    <xf numFmtId="4" fontId="42" fillId="0" borderId="2" xfId="10" applyNumberFormat="1" applyFont="1" applyFill="1" applyBorder="1" applyAlignment="1">
      <alignment horizontal="center" vertical="center" wrapText="1"/>
    </xf>
    <xf numFmtId="3" fontId="14" fillId="0" borderId="2" xfId="10" applyNumberFormat="1" applyFont="1" applyFill="1" applyBorder="1" applyAlignment="1">
      <alignment horizontal="center" vertical="center" wrapText="1"/>
    </xf>
    <xf numFmtId="179" fontId="4" fillId="22" borderId="13" xfId="10" applyNumberFormat="1" applyFont="1" applyFill="1" applyBorder="1" applyAlignment="1">
      <alignment horizontal="center" vertical="center" wrapText="1"/>
    </xf>
    <xf numFmtId="179" fontId="4" fillId="22" borderId="3" xfId="10" applyNumberFormat="1" applyFont="1" applyFill="1" applyBorder="1" applyAlignment="1">
      <alignment horizontal="center" vertical="center" wrapText="1"/>
    </xf>
    <xf numFmtId="179" fontId="21" fillId="22" borderId="14" xfId="10" applyNumberFormat="1" applyFont="1" applyFill="1" applyBorder="1" applyAlignment="1">
      <alignment horizontal="center" vertical="center"/>
    </xf>
    <xf numFmtId="179" fontId="4" fillId="22" borderId="38" xfId="0" applyNumberFormat="1" applyFont="1" applyFill="1" applyBorder="1" applyAlignment="1">
      <alignment horizontal="center" vertical="center" wrapText="1"/>
    </xf>
    <xf numFmtId="179" fontId="4" fillId="22" borderId="4" xfId="0" applyNumberFormat="1" applyFont="1" applyFill="1" applyBorder="1" applyAlignment="1">
      <alignment horizontal="center" vertical="center" wrapText="1"/>
    </xf>
    <xf numFmtId="179" fontId="4" fillId="22" borderId="12" xfId="0" applyNumberFormat="1" applyFont="1" applyFill="1" applyBorder="1" applyAlignment="1">
      <alignment horizontal="center" vertical="center" wrapText="1"/>
    </xf>
    <xf numFmtId="3" fontId="4" fillId="0" borderId="2" xfId="24" applyNumberFormat="1" applyFont="1" applyFill="1" applyBorder="1" applyAlignment="1">
      <alignment horizontal="center" vertical="center" wrapText="1"/>
    </xf>
    <xf numFmtId="9" fontId="4" fillId="0" borderId="1" xfId="24" applyFont="1" applyFill="1" applyBorder="1" applyAlignment="1" applyProtection="1">
      <alignment horizontal="center" vertical="center" wrapText="1"/>
      <protection locked="0"/>
    </xf>
    <xf numFmtId="9" fontId="4" fillId="0" borderId="2" xfId="24" applyFont="1" applyFill="1" applyBorder="1" applyAlignment="1" applyProtection="1">
      <alignment horizontal="center" vertical="center" wrapText="1"/>
    </xf>
    <xf numFmtId="2" fontId="4" fillId="0" borderId="2" xfId="24" applyNumberFormat="1" applyFont="1" applyFill="1" applyBorder="1" applyAlignment="1" applyProtection="1">
      <alignment horizontal="center" vertical="center" wrapText="1"/>
    </xf>
    <xf numFmtId="182" fontId="4" fillId="0" borderId="2" xfId="24" applyNumberFormat="1" applyFont="1" applyFill="1" applyBorder="1" applyAlignment="1" applyProtection="1">
      <alignment horizontal="center" vertical="center" wrapText="1"/>
    </xf>
    <xf numFmtId="9" fontId="4" fillId="0" borderId="1" xfId="24" applyFont="1" applyFill="1" applyBorder="1" applyAlignment="1" applyProtection="1">
      <alignment horizontal="center" vertical="center" wrapText="1"/>
    </xf>
    <xf numFmtId="179" fontId="4" fillId="22" borderId="3" xfId="10" applyNumberFormat="1" applyFont="1" applyFill="1" applyBorder="1" applyAlignment="1" applyProtection="1">
      <alignment horizontal="center" vertical="center" wrapText="1"/>
    </xf>
    <xf numFmtId="179" fontId="4" fillId="22" borderId="3" xfId="10" applyNumberFormat="1" applyFont="1" applyFill="1" applyBorder="1" applyAlignment="1" applyProtection="1">
      <alignment horizontal="center" vertical="center" wrapText="1"/>
      <protection locked="0"/>
    </xf>
    <xf numFmtId="179" fontId="4" fillId="22" borderId="4" xfId="0" applyNumberFormat="1" applyFont="1" applyFill="1" applyBorder="1" applyAlignment="1" applyProtection="1">
      <alignment horizontal="center" vertical="center" wrapText="1"/>
      <protection locked="0"/>
    </xf>
    <xf numFmtId="182" fontId="4" fillId="0" borderId="2" xfId="24" applyNumberFormat="1" applyFont="1" applyFill="1" applyBorder="1" applyAlignment="1" applyProtection="1">
      <alignment horizontal="center" vertical="center" wrapText="1"/>
      <protection locked="0"/>
    </xf>
    <xf numFmtId="10" fontId="27" fillId="4" borderId="33" xfId="24" applyNumberFormat="1" applyFont="1" applyFill="1" applyBorder="1" applyAlignment="1">
      <alignment horizontal="center" vertical="center" wrapText="1"/>
    </xf>
    <xf numFmtId="10" fontId="27" fillId="4" borderId="34" xfId="24" applyNumberFormat="1" applyFont="1" applyFill="1" applyBorder="1" applyAlignment="1">
      <alignment horizontal="center" vertical="center" wrapText="1"/>
    </xf>
    <xf numFmtId="10" fontId="27" fillId="0" borderId="5" xfId="24" applyNumberFormat="1" applyFont="1" applyFill="1" applyBorder="1" applyAlignment="1">
      <alignment horizontal="center" vertical="center" wrapText="1"/>
    </xf>
    <xf numFmtId="9" fontId="4" fillId="0" borderId="2" xfId="24" applyFont="1" applyFill="1" applyBorder="1" applyAlignment="1" applyProtection="1">
      <alignment horizontal="center" vertical="center" wrapText="1"/>
      <protection locked="0"/>
    </xf>
    <xf numFmtId="2" fontId="4" fillId="0" borderId="2" xfId="24" applyNumberFormat="1" applyFont="1" applyFill="1" applyBorder="1" applyAlignment="1" applyProtection="1">
      <alignment horizontal="center" vertical="center" wrapText="1"/>
      <protection locked="0"/>
    </xf>
    <xf numFmtId="10" fontId="3" fillId="0" borderId="1" xfId="24" applyNumberFormat="1" applyFont="1" applyFill="1" applyBorder="1" applyAlignment="1">
      <alignment horizontal="center" vertical="center"/>
    </xf>
    <xf numFmtId="10" fontId="3" fillId="0" borderId="1" xfId="24" applyNumberFormat="1" applyFont="1" applyFill="1" applyBorder="1" applyAlignment="1">
      <alignment horizontal="center" vertical="center" wrapText="1"/>
    </xf>
    <xf numFmtId="10" fontId="58" fillId="0" borderId="1" xfId="24" applyNumberFormat="1" applyFont="1" applyFill="1" applyBorder="1" applyAlignment="1">
      <alignment horizontal="center" vertical="center" wrapText="1"/>
    </xf>
    <xf numFmtId="9" fontId="3" fillId="0" borderId="1" xfId="24" applyFont="1" applyFill="1" applyBorder="1" applyAlignment="1" applyProtection="1">
      <alignment horizontal="center" vertical="center"/>
      <protection locked="0"/>
    </xf>
    <xf numFmtId="1" fontId="57" fillId="0" borderId="1" xfId="2920" applyNumberFormat="1" applyFont="1" applyFill="1" applyBorder="1" applyAlignment="1">
      <alignment horizontal="center" vertical="center"/>
    </xf>
    <xf numFmtId="9" fontId="57" fillId="0" borderId="1" xfId="24" applyFont="1" applyFill="1" applyBorder="1" applyAlignment="1">
      <alignment horizontal="center" vertical="center"/>
    </xf>
    <xf numFmtId="9" fontId="3" fillId="0" borderId="1" xfId="24" applyFont="1" applyFill="1" applyBorder="1" applyAlignment="1">
      <alignment horizontal="center" vertical="center" wrapText="1"/>
    </xf>
    <xf numFmtId="183" fontId="3" fillId="0" borderId="1" xfId="2920" applyNumberFormat="1" applyFont="1" applyFill="1" applyBorder="1" applyAlignment="1">
      <alignment horizontal="center" vertical="center"/>
    </xf>
    <xf numFmtId="183" fontId="57" fillId="0" borderId="1" xfId="2920" applyNumberFormat="1" applyFont="1" applyFill="1" applyBorder="1" applyAlignment="1">
      <alignment horizontal="center" vertical="center"/>
    </xf>
    <xf numFmtId="182" fontId="3" fillId="0" borderId="1" xfId="24" applyNumberFormat="1" applyFont="1" applyFill="1" applyBorder="1" applyAlignment="1">
      <alignment horizontal="center" vertical="center" wrapText="1"/>
    </xf>
    <xf numFmtId="37" fontId="57" fillId="0" borderId="1" xfId="10" applyNumberFormat="1" applyFont="1" applyFill="1" applyBorder="1" applyAlignment="1">
      <alignment horizontal="center" vertical="center"/>
    </xf>
    <xf numFmtId="9" fontId="2" fillId="0" borderId="2" xfId="24" applyFont="1" applyFill="1" applyBorder="1" applyAlignment="1" applyProtection="1">
      <alignment horizontal="center" vertical="center" wrapText="1"/>
      <protection locked="0"/>
    </xf>
    <xf numFmtId="2" fontId="3" fillId="0" borderId="1" xfId="24" applyNumberFormat="1" applyFont="1" applyFill="1" applyBorder="1" applyAlignment="1" applyProtection="1">
      <alignment horizontal="center" vertical="center"/>
      <protection locked="0"/>
    </xf>
    <xf numFmtId="9" fontId="4" fillId="0" borderId="5" xfId="24"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wrapText="1"/>
    </xf>
    <xf numFmtId="189" fontId="57" fillId="0" borderId="1" xfId="10" applyNumberFormat="1" applyFont="1" applyFill="1" applyBorder="1" applyAlignment="1" applyProtection="1">
      <alignment horizontal="center" vertical="center"/>
      <protection locked="0"/>
    </xf>
    <xf numFmtId="4" fontId="4" fillId="0" borderId="2" xfId="10" applyNumberFormat="1" applyFont="1" applyFill="1" applyBorder="1" applyAlignment="1" applyProtection="1">
      <alignment horizontal="center" vertical="center" wrapText="1"/>
      <protection locked="0"/>
    </xf>
    <xf numFmtId="4" fontId="42" fillId="0" borderId="2" xfId="10" applyNumberFormat="1" applyFont="1" applyFill="1" applyBorder="1" applyAlignment="1" applyProtection="1">
      <alignment horizontal="center" vertical="center" wrapText="1"/>
      <protection locked="0"/>
    </xf>
    <xf numFmtId="3" fontId="14" fillId="0" borderId="2" xfId="10" applyNumberFormat="1" applyFont="1" applyFill="1" applyBorder="1" applyAlignment="1" applyProtection="1">
      <alignment horizontal="center" vertical="center" wrapText="1"/>
      <protection locked="0"/>
    </xf>
    <xf numFmtId="189" fontId="57" fillId="0" borderId="1" xfId="10" applyNumberFormat="1" applyFont="1" applyFill="1" applyBorder="1" applyAlignment="1">
      <alignment horizontal="center" vertical="center"/>
    </xf>
    <xf numFmtId="10" fontId="27" fillId="0" borderId="15" xfId="24" applyNumberFormat="1" applyFont="1" applyFill="1" applyBorder="1" applyAlignment="1">
      <alignment horizontal="center" vertical="center" wrapText="1"/>
    </xf>
    <xf numFmtId="189" fontId="57" fillId="0" borderId="1" xfId="10" applyNumberFormat="1" applyFont="1" applyFill="1" applyBorder="1" applyAlignment="1" applyProtection="1">
      <alignment horizontal="center" vertical="center"/>
    </xf>
    <xf numFmtId="39" fontId="57" fillId="0" borderId="1" xfId="10" applyNumberFormat="1" applyFont="1" applyFill="1" applyBorder="1" applyAlignment="1">
      <alignment horizontal="center" vertical="center"/>
    </xf>
    <xf numFmtId="186" fontId="3" fillId="0" borderId="1" xfId="0" applyNumberFormat="1" applyFont="1" applyFill="1" applyBorder="1" applyAlignment="1" applyProtection="1">
      <alignment horizontal="center" vertical="center"/>
      <protection locked="0"/>
    </xf>
    <xf numFmtId="3" fontId="14" fillId="0" borderId="15" xfId="0" applyNumberFormat="1" applyFont="1" applyFill="1" applyBorder="1" applyAlignment="1">
      <alignment vertical="center" wrapText="1"/>
    </xf>
    <xf numFmtId="3" fontId="14" fillId="0" borderId="15" xfId="0" applyNumberFormat="1" applyFont="1" applyFill="1" applyBorder="1" applyAlignment="1">
      <alignment horizontal="center" vertical="center" wrapText="1"/>
    </xf>
    <xf numFmtId="3" fontId="14" fillId="0" borderId="2" xfId="0" applyNumberFormat="1" applyFont="1" applyFill="1" applyBorder="1" applyAlignment="1">
      <alignment vertical="center" wrapText="1"/>
    </xf>
    <xf numFmtId="3" fontId="14" fillId="0" borderId="2" xfId="0" applyNumberFormat="1" applyFont="1" applyFill="1" applyBorder="1" applyAlignment="1">
      <alignment horizontal="center" vertical="center" wrapText="1"/>
    </xf>
    <xf numFmtId="186" fontId="67" fillId="0" borderId="1" xfId="0" applyNumberFormat="1" applyFont="1" applyFill="1" applyBorder="1" applyAlignment="1" applyProtection="1">
      <alignment horizontal="center" vertical="center"/>
      <protection locked="0"/>
    </xf>
    <xf numFmtId="186" fontId="3"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lignment horizontal="center" vertical="center"/>
    </xf>
    <xf numFmtId="3" fontId="14" fillId="0" borderId="1" xfId="0" applyNumberFormat="1" applyFont="1" applyFill="1" applyBorder="1" applyAlignment="1">
      <alignment vertical="center" wrapText="1"/>
    </xf>
    <xf numFmtId="3" fontId="14" fillId="0" borderId="5" xfId="0" applyNumberFormat="1" applyFont="1" applyFill="1" applyBorder="1" applyAlignment="1">
      <alignment vertical="center" wrapText="1"/>
    </xf>
    <xf numFmtId="3" fontId="1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91" fontId="2" fillId="16" borderId="1" xfId="0" applyNumberFormat="1" applyFont="1" applyFill="1" applyBorder="1" applyAlignment="1" applyProtection="1">
      <alignment horizontal="center" vertical="center" wrapText="1"/>
      <protection locked="0"/>
    </xf>
    <xf numFmtId="0" fontId="0" fillId="0" borderId="0" xfId="0"/>
    <xf numFmtId="0" fontId="4" fillId="0" borderId="0" xfId="16"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37" fillId="15" borderId="0" xfId="0" applyFont="1" applyFill="1"/>
    <xf numFmtId="4" fontId="37" fillId="15" borderId="0" xfId="0" applyNumberFormat="1" applyFont="1" applyFill="1"/>
    <xf numFmtId="0" fontId="38" fillId="15" borderId="0" xfId="0" applyFont="1" applyFill="1"/>
    <xf numFmtId="0" fontId="4" fillId="2" borderId="0" xfId="16" applyFill="1" applyAlignment="1">
      <alignment vertical="top"/>
    </xf>
    <xf numFmtId="4" fontId="37" fillId="15" borderId="0" xfId="0" applyNumberFormat="1" applyFont="1" applyFill="1" applyAlignment="1">
      <alignment horizontal="center"/>
    </xf>
    <xf numFmtId="0" fontId="18" fillId="4" borderId="1" xfId="0" applyFont="1" applyFill="1" applyBorder="1" applyAlignment="1">
      <alignment horizontal="center" vertical="center"/>
    </xf>
    <xf numFmtId="0" fontId="0" fillId="0" borderId="1" xfId="0" applyBorder="1" applyAlignment="1">
      <alignment horizontal="center" vertical="center"/>
    </xf>
    <xf numFmtId="9" fontId="3" fillId="0" borderId="1" xfId="24" applyFont="1" applyFill="1" applyBorder="1" applyAlignment="1">
      <alignment horizontal="center" vertical="center"/>
    </xf>
    <xf numFmtId="2" fontId="3" fillId="0" borderId="1" xfId="24" applyNumberFormat="1" applyFont="1" applyFill="1" applyBorder="1" applyAlignment="1">
      <alignment horizontal="center" vertical="center"/>
    </xf>
    <xf numFmtId="0" fontId="19" fillId="15" borderId="0" xfId="0" applyFont="1" applyFill="1" applyProtection="1">
      <protection locked="0"/>
    </xf>
    <xf numFmtId="0" fontId="37" fillId="15" borderId="0" xfId="0" applyFont="1" applyFill="1" applyAlignment="1">
      <alignment horizontal="center"/>
    </xf>
    <xf numFmtId="0" fontId="19" fillId="15" borderId="0" xfId="0" applyFont="1" applyFill="1" applyAlignment="1" applyProtection="1">
      <alignment horizontal="center"/>
      <protection locked="0"/>
    </xf>
    <xf numFmtId="9" fontId="27" fillId="0" borderId="1" xfId="24" applyFont="1" applyFill="1" applyBorder="1" applyAlignment="1" applyProtection="1">
      <alignment horizontal="center" vertical="center"/>
      <protection locked="0"/>
    </xf>
    <xf numFmtId="0" fontId="20" fillId="15" borderId="0" xfId="0" applyFont="1" applyFill="1" applyAlignment="1" applyProtection="1">
      <alignment horizontal="center"/>
      <protection locked="0"/>
    </xf>
    <xf numFmtId="0" fontId="37" fillId="15" borderId="0" xfId="0" applyFont="1" applyFill="1" applyAlignment="1">
      <alignment horizontal="center" vertical="center"/>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0" fontId="13" fillId="16" borderId="1" xfId="0" applyFont="1" applyFill="1" applyBorder="1" applyAlignment="1">
      <alignment horizontal="left" vertical="center" wrapText="1"/>
    </xf>
    <xf numFmtId="191" fontId="2" fillId="16" borderId="1" xfId="0" applyNumberFormat="1" applyFont="1" applyFill="1" applyBorder="1" applyAlignment="1">
      <alignment horizontal="center" vertical="center" wrapText="1"/>
    </xf>
    <xf numFmtId="9" fontId="3" fillId="0" borderId="1" xfId="24" applyFont="1" applyFill="1" applyBorder="1" applyAlignment="1" applyProtection="1">
      <alignment horizontal="center" vertical="center"/>
      <protection locked="0"/>
    </xf>
    <xf numFmtId="191" fontId="2" fillId="16" borderId="1" xfId="3222" applyFont="1" applyFill="1" applyBorder="1" applyAlignment="1" applyProtection="1">
      <alignment horizontal="center" vertical="center"/>
      <protection locked="0"/>
    </xf>
    <xf numFmtId="9" fontId="3" fillId="0" borderId="5" xfId="24" applyFont="1" applyFill="1" applyBorder="1" applyAlignment="1" applyProtection="1">
      <alignment horizontal="center" vertical="center"/>
    </xf>
    <xf numFmtId="9" fontId="3" fillId="0" borderId="5" xfId="24" applyFont="1" applyFill="1" applyBorder="1" applyAlignment="1" applyProtection="1">
      <alignment horizontal="center" vertical="center"/>
      <protection locked="0"/>
    </xf>
    <xf numFmtId="9" fontId="67" fillId="0" borderId="5" xfId="24" applyFont="1" applyFill="1" applyBorder="1" applyAlignment="1" applyProtection="1">
      <alignment horizontal="center" vertical="center" wrapText="1"/>
      <protection locked="0"/>
    </xf>
    <xf numFmtId="191" fontId="3" fillId="0" borderId="5" xfId="3222" applyFont="1" applyFill="1" applyBorder="1" applyAlignment="1" applyProtection="1">
      <alignment horizontal="center" vertical="center"/>
    </xf>
    <xf numFmtId="191" fontId="3" fillId="0" borderId="5" xfId="3222" applyFont="1" applyFill="1" applyBorder="1" applyAlignment="1" applyProtection="1">
      <alignment horizontal="center" vertical="center"/>
      <protection locked="0"/>
    </xf>
    <xf numFmtId="191" fontId="3" fillId="0" borderId="1" xfId="3222" applyFont="1" applyFill="1" applyBorder="1" applyAlignment="1" applyProtection="1">
      <alignment horizontal="center" vertical="center"/>
      <protection locked="0"/>
    </xf>
    <xf numFmtId="9" fontId="67" fillId="0" borderId="1" xfId="24" applyFont="1" applyFill="1" applyBorder="1" applyAlignment="1" applyProtection="1">
      <alignment horizontal="center" vertical="center"/>
    </xf>
    <xf numFmtId="9" fontId="67" fillId="0" borderId="1" xfId="24" applyFont="1" applyFill="1" applyBorder="1" applyAlignment="1" applyProtection="1">
      <alignment horizontal="center" vertical="center"/>
      <protection locked="0"/>
    </xf>
    <xf numFmtId="191" fontId="67" fillId="0" borderId="1" xfId="3222" applyFont="1" applyFill="1" applyBorder="1" applyAlignment="1" applyProtection="1">
      <alignment horizontal="center" vertical="center"/>
    </xf>
    <xf numFmtId="191" fontId="67" fillId="0" borderId="1" xfId="3222" applyFont="1" applyFill="1" applyBorder="1" applyAlignment="1" applyProtection="1">
      <alignment horizontal="center" vertical="center"/>
      <protection locked="0"/>
    </xf>
    <xf numFmtId="2" fontId="3" fillId="0" borderId="5" xfId="24" applyNumberFormat="1" applyFont="1" applyFill="1" applyBorder="1" applyAlignment="1" applyProtection="1">
      <alignment horizontal="center" vertical="center"/>
    </xf>
    <xf numFmtId="191" fontId="3" fillId="0" borderId="1" xfId="3222" applyFont="1" applyFill="1" applyBorder="1" applyAlignment="1" applyProtection="1">
      <alignment horizontal="center" vertical="center" wrapText="1"/>
      <protection locked="0"/>
    </xf>
    <xf numFmtId="4" fontId="67" fillId="0" borderId="1" xfId="24" applyNumberFormat="1" applyFont="1" applyFill="1" applyBorder="1" applyAlignment="1" applyProtection="1">
      <alignment horizontal="center" vertical="center"/>
    </xf>
    <xf numFmtId="4" fontId="67" fillId="0" borderId="1" xfId="24" applyNumberFormat="1" applyFont="1" applyFill="1" applyBorder="1" applyAlignment="1" applyProtection="1">
      <alignment horizontal="center" vertical="center"/>
      <protection locked="0"/>
    </xf>
    <xf numFmtId="185" fontId="3" fillId="0" borderId="1" xfId="3222" applyNumberFormat="1" applyFont="1" applyFill="1" applyBorder="1" applyAlignment="1" applyProtection="1">
      <alignment horizontal="center" vertical="center"/>
      <protection locked="0"/>
    </xf>
    <xf numFmtId="1" fontId="3" fillId="0" borderId="5" xfId="24" applyNumberFormat="1" applyFont="1" applyFill="1" applyBorder="1" applyAlignment="1" applyProtection="1">
      <alignment horizontal="center" vertical="center"/>
    </xf>
    <xf numFmtId="186" fontId="67" fillId="0" borderId="1" xfId="24" applyNumberFormat="1" applyFont="1" applyFill="1" applyBorder="1" applyAlignment="1" applyProtection="1">
      <alignment horizontal="center" vertical="center"/>
    </xf>
    <xf numFmtId="186" fontId="67" fillId="0" borderId="1" xfId="24" applyNumberFormat="1" applyFont="1" applyFill="1" applyBorder="1" applyAlignment="1" applyProtection="1">
      <alignment horizontal="center" vertical="center"/>
      <protection locked="0"/>
    </xf>
    <xf numFmtId="9" fontId="3" fillId="0" borderId="1" xfId="24" applyFont="1" applyFill="1" applyBorder="1" applyAlignment="1" applyProtection="1">
      <alignment horizontal="center" vertical="center" wrapText="1"/>
      <protection locked="0"/>
    </xf>
    <xf numFmtId="191" fontId="67" fillId="0" borderId="1" xfId="3222" applyFont="1" applyFill="1" applyBorder="1" applyAlignment="1" applyProtection="1">
      <alignment horizontal="center" vertical="center" wrapText="1"/>
      <protection locked="0"/>
    </xf>
    <xf numFmtId="9" fontId="11" fillId="16" borderId="5" xfId="24" applyFont="1" applyFill="1" applyBorder="1" applyAlignment="1" applyProtection="1">
      <alignment horizontal="left" vertical="center" wrapText="1"/>
      <protection locked="0"/>
    </xf>
    <xf numFmtId="191" fontId="11" fillId="17" borderId="1" xfId="3222" applyFont="1" applyFill="1" applyBorder="1" applyAlignment="1" applyProtection="1">
      <alignment horizontal="left" vertical="center" wrapText="1"/>
      <protection locked="0"/>
    </xf>
    <xf numFmtId="9" fontId="11" fillId="16" borderId="1" xfId="24" applyFont="1" applyFill="1" applyBorder="1" applyAlignment="1" applyProtection="1">
      <alignment horizontal="left" vertical="center" wrapText="1"/>
      <protection locked="0"/>
    </xf>
    <xf numFmtId="4" fontId="11" fillId="16" borderId="1" xfId="0" applyNumberFormat="1" applyFont="1" applyFill="1" applyBorder="1" applyAlignment="1" applyProtection="1">
      <alignment horizontal="left" vertical="center" wrapText="1"/>
      <protection locked="0"/>
    </xf>
    <xf numFmtId="186" fontId="11" fillId="16" borderId="1" xfId="0" applyNumberFormat="1" applyFont="1" applyFill="1" applyBorder="1" applyAlignment="1" applyProtection="1">
      <alignment horizontal="left" vertical="center" wrapText="1"/>
      <protection locked="0"/>
    </xf>
    <xf numFmtId="9" fontId="13" fillId="16" borderId="1" xfId="24" applyFont="1" applyFill="1" applyBorder="1" applyAlignment="1" applyProtection="1">
      <alignment horizontal="left" vertical="center" wrapText="1"/>
      <protection locked="0"/>
    </xf>
    <xf numFmtId="191" fontId="13" fillId="17" borderId="1" xfId="3222" applyFont="1" applyFill="1" applyBorder="1" applyAlignment="1" applyProtection="1">
      <alignment horizontal="left" vertical="center" wrapText="1"/>
      <protection locked="0"/>
    </xf>
    <xf numFmtId="0" fontId="2" fillId="16" borderId="1" xfId="0" applyFont="1" applyFill="1" applyBorder="1" applyAlignment="1">
      <alignment horizontal="center" vertical="center" wrapText="1"/>
    </xf>
    <xf numFmtId="2" fontId="3" fillId="0" borderId="1" xfId="24" applyNumberFormat="1" applyFont="1" applyFill="1" applyBorder="1" applyAlignment="1" applyProtection="1">
      <alignment horizontal="center" vertical="center"/>
      <protection locked="0"/>
    </xf>
    <xf numFmtId="191" fontId="3" fillId="0" borderId="1" xfId="3222" applyFont="1" applyFill="1" applyBorder="1" applyAlignment="1">
      <alignment horizontal="center" vertical="center"/>
    </xf>
    <xf numFmtId="1" fontId="3" fillId="0" borderId="1" xfId="24" applyNumberFormat="1" applyFont="1" applyFill="1" applyBorder="1" applyAlignment="1">
      <alignment horizontal="center" vertical="center"/>
    </xf>
    <xf numFmtId="191" fontId="2" fillId="16" borderId="1" xfId="0" applyNumberFormat="1" applyFont="1" applyFill="1" applyBorder="1" applyAlignment="1" applyProtection="1">
      <alignment horizontal="center" vertical="center" wrapText="1"/>
      <protection locked="0"/>
    </xf>
    <xf numFmtId="1" fontId="3" fillId="0" borderId="1" xfId="24" applyNumberFormat="1" applyFont="1" applyFill="1" applyBorder="1" applyAlignment="1" applyProtection="1">
      <alignment horizontal="center" vertical="center"/>
      <protection locked="0"/>
    </xf>
  </cellXfs>
  <cellStyles count="323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00000000-0005-0000-0000-000030000000}"/>
    <cellStyle name="Comma [0] 2 2 2 2 2" xfId="2975" xr:uid="{00000000-0005-0000-0000-000031000000}"/>
    <cellStyle name="Comma [0] 2 2 2 2 2 2" xfId="3179" xr:uid="{3EEFC74C-30E7-44E4-9FB9-2C84BEE5494F}"/>
    <cellStyle name="Comma [0] 2 2 2 2 3" xfId="3081" xr:uid="{39E33BA1-D203-4896-85F5-F0E162E58EA3}"/>
    <cellStyle name="Comma [0] 2 2 2 3" xfId="2926" xr:uid="{00000000-0005-0000-0000-000032000000}"/>
    <cellStyle name="Comma [0] 2 2 2 3 2" xfId="3130" xr:uid="{C8D8BC28-2A20-4931-807F-30BE1AAC51C8}"/>
    <cellStyle name="Comma [0] 2 2 2 4" xfId="3027" xr:uid="{D8F8E907-D13F-455D-B8BA-42EED510ED20}"/>
    <cellStyle name="Comma [0] 2 2 3" xfId="2874" xr:uid="{00000000-0005-0000-0000-000033000000}"/>
    <cellStyle name="Comma [0] 2 2 3 2" xfId="2974" xr:uid="{00000000-0005-0000-0000-000034000000}"/>
    <cellStyle name="Comma [0] 2 2 3 2 2" xfId="3178" xr:uid="{847277DA-9C6A-4512-AB90-E27A623AA304}"/>
    <cellStyle name="Comma [0] 2 2 3 3" xfId="3080" xr:uid="{6EB2B930-1B43-4B15-8FA8-7E8F6AFF1F83}"/>
    <cellStyle name="Comma [0] 2 2 4" xfId="2925" xr:uid="{00000000-0005-0000-0000-000035000000}"/>
    <cellStyle name="Comma [0] 2 2 4 2" xfId="3129" xr:uid="{9A03F098-5D27-4FE0-A3A1-9183291A6DB3}"/>
    <cellStyle name="Comma [0] 2 2 5" xfId="3026" xr:uid="{CC9AD720-F0B8-448B-99EC-F48F4A46A70F}"/>
    <cellStyle name="Comma [0] 2 3" xfId="74" xr:uid="{00000000-0005-0000-0000-000036000000}"/>
    <cellStyle name="Comma [0] 2 3 2" xfId="2876" xr:uid="{00000000-0005-0000-0000-000037000000}"/>
    <cellStyle name="Comma [0] 2 3 2 2" xfId="2976" xr:uid="{00000000-0005-0000-0000-000038000000}"/>
    <cellStyle name="Comma [0] 2 3 2 2 2" xfId="3180" xr:uid="{1392C8E2-41AB-49A7-9DB7-186D205C1772}"/>
    <cellStyle name="Comma [0] 2 3 2 3" xfId="3082" xr:uid="{27052ACE-4AB9-474E-9876-E766C4368B36}"/>
    <cellStyle name="Comma [0] 2 3 3" xfId="2927" xr:uid="{00000000-0005-0000-0000-000039000000}"/>
    <cellStyle name="Comma [0] 2 3 3 2" xfId="3131" xr:uid="{4114D5AA-28CC-4BEF-8875-9EA6270EF409}"/>
    <cellStyle name="Comma [0] 2 3 4" xfId="3028" xr:uid="{C94173B4-3300-47AF-9932-C9F6FCCA3C2D}"/>
    <cellStyle name="Comma [0] 2 4" xfId="2873" xr:uid="{00000000-0005-0000-0000-00003A000000}"/>
    <cellStyle name="Comma [0] 2 4 2" xfId="2973" xr:uid="{00000000-0005-0000-0000-00003B000000}"/>
    <cellStyle name="Comma [0] 2 4 2 2" xfId="3177" xr:uid="{D4583028-1CAA-4324-9AF4-57F0F9DB070D}"/>
    <cellStyle name="Comma [0] 2 4 3" xfId="3079" xr:uid="{D3243DB7-70E7-4728-8BF4-83F8EF081393}"/>
    <cellStyle name="Comma [0] 2 5" xfId="2924" xr:uid="{00000000-0005-0000-0000-00003C000000}"/>
    <cellStyle name="Comma [0] 2 5 2" xfId="3128" xr:uid="{1F1AA77F-9513-4F50-9FFD-8C6077F6C9FC}"/>
    <cellStyle name="Comma [0] 2 6" xfId="3025" xr:uid="{94DA33AE-66C9-4DF2-9628-583420DA6604}"/>
    <cellStyle name="Comma [0] 3" xfId="75" xr:uid="{00000000-0005-0000-0000-00003D000000}"/>
    <cellStyle name="Comma [0] 3 2" xfId="2877" xr:uid="{00000000-0005-0000-0000-00003E000000}"/>
    <cellStyle name="Comma [0] 3 2 2" xfId="2977" xr:uid="{00000000-0005-0000-0000-00003F000000}"/>
    <cellStyle name="Comma [0] 3 2 2 2" xfId="3181" xr:uid="{18414E99-3392-4C45-8D59-8A89036A2228}"/>
    <cellStyle name="Comma [0] 3 2 3" xfId="3083" xr:uid="{5974259F-06C4-47AD-ABAC-59FC6A948707}"/>
    <cellStyle name="Comma [0] 3 3" xfId="2928" xr:uid="{00000000-0005-0000-0000-000040000000}"/>
    <cellStyle name="Comma [0] 3 3 2" xfId="3132" xr:uid="{72DAEA21-24D6-4FB1-8A21-6FFB48900887}"/>
    <cellStyle name="Comma [0] 3 4" xfId="3029" xr:uid="{CD40E4EB-F2CD-445B-80E2-FE4F3DDD970A}"/>
    <cellStyle name="Comma [0] 4" xfId="2872" xr:uid="{00000000-0005-0000-0000-000041000000}"/>
    <cellStyle name="Comma [0] 4 2" xfId="2972" xr:uid="{00000000-0005-0000-0000-000042000000}"/>
    <cellStyle name="Comma [0] 4 2 2" xfId="3176" xr:uid="{6FB2DA7F-7EAC-4065-BCB6-BAE3AAEA43DB}"/>
    <cellStyle name="Comma [0] 4 3" xfId="3078" xr:uid="{BFF30502-94D1-4989-85FC-4B686C3C2D67}"/>
    <cellStyle name="Comma [0] 5" xfId="2923" xr:uid="{00000000-0005-0000-0000-000043000000}"/>
    <cellStyle name="Comma [0] 5 2" xfId="3127" xr:uid="{5ACA5AC3-01E2-402A-8EFE-A0DC8F14688B}"/>
    <cellStyle name="Comma [0] 6" xfId="3024" xr:uid="{F1FD1F70-17E0-4674-A6FC-B7D359FC9046}"/>
    <cellStyle name="Comma 10" xfId="3022" xr:uid="{F0551AB3-D498-4BF5-BEFF-62D2BF8C092B}"/>
    <cellStyle name="Comma 11" xfId="3070" xr:uid="{E4F58649-E9EE-406C-B6D5-BC0A59601073}"/>
    <cellStyle name="Comma 12" xfId="3072" xr:uid="{4DA92EC0-7F5E-4D4E-BED9-8193D678AA86}"/>
    <cellStyle name="Comma 2" xfId="76" xr:uid="{00000000-0005-0000-0000-000044000000}"/>
    <cellStyle name="Comma 2 2" xfId="77" xr:uid="{00000000-0005-0000-0000-000045000000}"/>
    <cellStyle name="Comma 2 2 2" xfId="78" xr:uid="{00000000-0005-0000-0000-000046000000}"/>
    <cellStyle name="Comma 2 2 2 2" xfId="2880" xr:uid="{00000000-0005-0000-0000-000047000000}"/>
    <cellStyle name="Comma 2 2 2 2 2" xfId="2980" xr:uid="{00000000-0005-0000-0000-000048000000}"/>
    <cellStyle name="Comma 2 2 2 2 2 2" xfId="3184" xr:uid="{4B5C6C89-CC41-4D35-B345-0651F65D3499}"/>
    <cellStyle name="Comma 2 2 2 2 3" xfId="3086" xr:uid="{0AA78F45-B0F3-4664-A560-91BC9E623D21}"/>
    <cellStyle name="Comma 2 2 2 3" xfId="2931" xr:uid="{00000000-0005-0000-0000-000049000000}"/>
    <cellStyle name="Comma 2 2 2 3 2" xfId="3135" xr:uid="{F0822E1E-C417-4882-A007-12DD16F53226}"/>
    <cellStyle name="Comma 2 2 2 4" xfId="3032" xr:uid="{4B28890D-3F84-41F2-A5FF-DCA2E441B267}"/>
    <cellStyle name="Comma 2 2 3" xfId="2879" xr:uid="{00000000-0005-0000-0000-00004A000000}"/>
    <cellStyle name="Comma 2 2 3 2" xfId="2979" xr:uid="{00000000-0005-0000-0000-00004B000000}"/>
    <cellStyle name="Comma 2 2 3 2 2" xfId="3183" xr:uid="{17F576D9-4CBD-4BC3-A604-E5D0F8C53F2D}"/>
    <cellStyle name="Comma 2 2 3 3" xfId="3085" xr:uid="{7D71868A-7137-4013-9567-34FA67FE50EA}"/>
    <cellStyle name="Comma 2 2 4" xfId="2930" xr:uid="{00000000-0005-0000-0000-00004C000000}"/>
    <cellStyle name="Comma 2 2 4 2" xfId="3134" xr:uid="{77B2D783-D1DB-470A-A462-101D01C714FB}"/>
    <cellStyle name="Comma 2 2 5" xfId="3031" xr:uid="{E4C221F5-EDD0-45C1-B2DC-645EA0630F5D}"/>
    <cellStyle name="Comma 2 3" xfId="79" xr:uid="{00000000-0005-0000-0000-00004D000000}"/>
    <cellStyle name="Comma 2 3 2" xfId="2881" xr:uid="{00000000-0005-0000-0000-00004E000000}"/>
    <cellStyle name="Comma 2 3 2 2" xfId="2981" xr:uid="{00000000-0005-0000-0000-00004F000000}"/>
    <cellStyle name="Comma 2 3 2 2 2" xfId="3185" xr:uid="{6EB9CB3F-2C7A-4B38-955E-B41BC0AFCDB0}"/>
    <cellStyle name="Comma 2 3 2 3" xfId="3087" xr:uid="{63555668-491A-4C6A-BABB-8255C4CF8F01}"/>
    <cellStyle name="Comma 2 3 3" xfId="2932" xr:uid="{00000000-0005-0000-0000-000050000000}"/>
    <cellStyle name="Comma 2 3 3 2" xfId="3136" xr:uid="{36B9BF6F-B1D9-433A-9CB9-C72DCE707EF5}"/>
    <cellStyle name="Comma 2 3 4" xfId="3033" xr:uid="{B6C877AF-1E16-457D-B388-0184DE0AD954}"/>
    <cellStyle name="Comma 2 4" xfId="2878" xr:uid="{00000000-0005-0000-0000-000051000000}"/>
    <cellStyle name="Comma 2 4 2" xfId="2978" xr:uid="{00000000-0005-0000-0000-000052000000}"/>
    <cellStyle name="Comma 2 4 2 2" xfId="3182" xr:uid="{8564C6D4-8A7B-45BD-BF13-12E27F100BBD}"/>
    <cellStyle name="Comma 2 4 3" xfId="3084" xr:uid="{CEF2B828-2C11-4E9D-867D-E80C41FAB389}"/>
    <cellStyle name="Comma 2 5" xfId="2929" xr:uid="{00000000-0005-0000-0000-000053000000}"/>
    <cellStyle name="Comma 2 5 2" xfId="3133" xr:uid="{83C6FEA0-46D2-4F2C-8B10-BF1CEC92D15A}"/>
    <cellStyle name="Comma 2 6" xfId="3030" xr:uid="{E93A4466-59E8-4EE5-BA90-B94C102EE0B1}"/>
    <cellStyle name="Comma 3" xfId="80" xr:uid="{00000000-0005-0000-0000-000054000000}"/>
    <cellStyle name="Comma 3 2" xfId="2882" xr:uid="{00000000-0005-0000-0000-000055000000}"/>
    <cellStyle name="Comma 3 2 2" xfId="2982" xr:uid="{00000000-0005-0000-0000-000056000000}"/>
    <cellStyle name="Comma 3 2 2 2" xfId="3186" xr:uid="{D327CF2C-251F-4504-B299-ABEA83B936EB}"/>
    <cellStyle name="Comma 3 2 3" xfId="3088" xr:uid="{3F8B076B-2EDF-48A0-9A25-D6D991D0C090}"/>
    <cellStyle name="Comma 3 3" xfId="2933" xr:uid="{00000000-0005-0000-0000-000057000000}"/>
    <cellStyle name="Comma 3 3 2" xfId="3137" xr:uid="{0D648464-C84E-462C-A17C-DC17F554F750}"/>
    <cellStyle name="Comma 3 4" xfId="3034" xr:uid="{4A1623ED-2A81-4F78-A371-1EDFD689DE83}"/>
    <cellStyle name="Comma 4" xfId="81" xr:uid="{00000000-0005-0000-0000-000058000000}"/>
    <cellStyle name="Comma 4 2" xfId="2883" xr:uid="{00000000-0005-0000-0000-000059000000}"/>
    <cellStyle name="Comma 4 2 2" xfId="2983" xr:uid="{00000000-0005-0000-0000-00005A000000}"/>
    <cellStyle name="Comma 4 2 2 2" xfId="3187" xr:uid="{9F3AA6FA-B08D-40C5-B255-139949FF8AFC}"/>
    <cellStyle name="Comma 4 2 3" xfId="3089" xr:uid="{D715FEE0-B068-4979-8708-C84C71CD8C7F}"/>
    <cellStyle name="Comma 4 3" xfId="2934" xr:uid="{00000000-0005-0000-0000-00005B000000}"/>
    <cellStyle name="Comma 4 3 2" xfId="3138" xr:uid="{8091FB20-3D8B-452F-8D03-8FE30773BBA0}"/>
    <cellStyle name="Comma 4 4" xfId="3035" xr:uid="{CDBED83A-F4BD-42A6-8B69-842AE6EA4EF1}"/>
    <cellStyle name="Comma 5" xfId="82" xr:uid="{00000000-0005-0000-0000-00005C000000}"/>
    <cellStyle name="Comma 5 2" xfId="2884" xr:uid="{00000000-0005-0000-0000-00005D000000}"/>
    <cellStyle name="Comma 5 2 2" xfId="2984" xr:uid="{00000000-0005-0000-0000-00005E000000}"/>
    <cellStyle name="Comma 5 2 2 2" xfId="3188" xr:uid="{C4FF5743-5D4A-435C-A9AF-BEF1F5C7B5B1}"/>
    <cellStyle name="Comma 5 2 3" xfId="3090" xr:uid="{9CD4CDC2-02B4-4B27-93F8-B5A711BED30F}"/>
    <cellStyle name="Comma 5 3" xfId="2935" xr:uid="{00000000-0005-0000-0000-00005F000000}"/>
    <cellStyle name="Comma 5 3 2" xfId="3139" xr:uid="{FBD147E5-07D7-479F-ADA8-72DFE3BB160E}"/>
    <cellStyle name="Comma 5 4" xfId="3036" xr:uid="{9F2330BA-323C-4FF7-86A4-3D22130F1F51}"/>
    <cellStyle name="Comma 6" xfId="2871" xr:uid="{00000000-0005-0000-0000-000060000000}"/>
    <cellStyle name="Comma 6 2" xfId="2971" xr:uid="{00000000-0005-0000-0000-000061000000}"/>
    <cellStyle name="Comma 6 2 2" xfId="3175" xr:uid="{8E1C692E-7544-4F13-9B97-3A3DB94BFA0E}"/>
    <cellStyle name="Comma 6 3" xfId="3077" xr:uid="{96E4A3B4-533A-45B1-99C0-00DED6E46B84}"/>
    <cellStyle name="Comma 7" xfId="2922" xr:uid="{00000000-0005-0000-0000-000062000000}"/>
    <cellStyle name="Comma 7 2" xfId="3126" xr:uid="{7D7E1944-6D90-4484-8F49-9CEE3BE0B164}"/>
    <cellStyle name="Comma 8" xfId="3023" xr:uid="{914AFFE0-8A23-43D2-9CD7-B24D2095ADD3}"/>
    <cellStyle name="Comma 9" xfId="3071" xr:uid="{4801A349-30F5-4958-8BC5-440290FB20E9}"/>
    <cellStyle name="Currency" xfId="83" xr:uid="{00000000-0005-0000-0000-000063000000}"/>
    <cellStyle name="Currency [0]" xfId="84" xr:uid="{00000000-0005-0000-0000-000064000000}"/>
    <cellStyle name="Currency [0] 2" xfId="85" xr:uid="{00000000-0005-0000-0000-000065000000}"/>
    <cellStyle name="Currency [0] 2 2" xfId="86" xr:uid="{00000000-0005-0000-0000-000066000000}"/>
    <cellStyle name="Currency [0] 2 2 2" xfId="87" xr:uid="{00000000-0005-0000-0000-000067000000}"/>
    <cellStyle name="Currency [0] 2 2 2 2" xfId="88" xr:uid="{00000000-0005-0000-0000-000068000000}"/>
    <cellStyle name="Currency [0] 2 2 3" xfId="89" xr:uid="{00000000-0005-0000-0000-000069000000}"/>
    <cellStyle name="Currency [0] 2 2 3 2" xfId="90" xr:uid="{00000000-0005-0000-0000-00006A000000}"/>
    <cellStyle name="Currency [0] 2 2 4" xfId="91" xr:uid="{00000000-0005-0000-0000-00006B000000}"/>
    <cellStyle name="Currency [0] 2 2 4 2" xfId="92" xr:uid="{00000000-0005-0000-0000-00006C000000}"/>
    <cellStyle name="Currency [0] 2 2 5" xfId="93" xr:uid="{00000000-0005-0000-0000-00006D000000}"/>
    <cellStyle name="Currency [0] 2 3" xfId="94" xr:uid="{00000000-0005-0000-0000-00006E000000}"/>
    <cellStyle name="Currency [0] 2 3 2" xfId="95" xr:uid="{00000000-0005-0000-0000-00006F000000}"/>
    <cellStyle name="Currency [0] 2 4" xfId="96" xr:uid="{00000000-0005-0000-0000-000070000000}"/>
    <cellStyle name="Currency [0] 2 4 2" xfId="97" xr:uid="{00000000-0005-0000-0000-000071000000}"/>
    <cellStyle name="Currency [0] 2 5" xfId="98" xr:uid="{00000000-0005-0000-0000-000072000000}"/>
    <cellStyle name="Currency [0] 2 5 2" xfId="99" xr:uid="{00000000-0005-0000-0000-000073000000}"/>
    <cellStyle name="Currency [0] 2 6" xfId="100" xr:uid="{00000000-0005-0000-0000-000074000000}"/>
    <cellStyle name="Currency [0] 3" xfId="101" xr:uid="{00000000-0005-0000-0000-000075000000}"/>
    <cellStyle name="Currency [0] 3 2" xfId="102" xr:uid="{00000000-0005-0000-0000-000076000000}"/>
    <cellStyle name="Currency [0] 3 2 2" xfId="103" xr:uid="{00000000-0005-0000-0000-000077000000}"/>
    <cellStyle name="Currency [0] 3 3" xfId="104" xr:uid="{00000000-0005-0000-0000-000078000000}"/>
    <cellStyle name="Currency [0] 3 3 2" xfId="105" xr:uid="{00000000-0005-0000-0000-000079000000}"/>
    <cellStyle name="Currency [0] 3 4" xfId="106" xr:uid="{00000000-0005-0000-0000-00007A000000}"/>
    <cellStyle name="Currency [0] 3 4 2" xfId="107" xr:uid="{00000000-0005-0000-0000-00007B000000}"/>
    <cellStyle name="Currency [0] 3 5" xfId="108" xr:uid="{00000000-0005-0000-0000-00007C000000}"/>
    <cellStyle name="Currency [0] 4" xfId="109" xr:uid="{00000000-0005-0000-0000-00007D000000}"/>
    <cellStyle name="Currency [0] 4 2" xfId="110" xr:uid="{00000000-0005-0000-0000-00007E000000}"/>
    <cellStyle name="Currency [0] 5" xfId="111" xr:uid="{00000000-0005-0000-0000-00007F000000}"/>
    <cellStyle name="Currency [0] 5 2" xfId="112" xr:uid="{00000000-0005-0000-0000-000080000000}"/>
    <cellStyle name="Currency [0] 6" xfId="113" xr:uid="{00000000-0005-0000-0000-000081000000}"/>
    <cellStyle name="Currency [0] 6 2" xfId="114" xr:uid="{00000000-0005-0000-0000-000082000000}"/>
    <cellStyle name="Currency [0] 7" xfId="115" xr:uid="{00000000-0005-0000-0000-000083000000}"/>
    <cellStyle name="Currency 10" xfId="116" xr:uid="{00000000-0005-0000-0000-000084000000}"/>
    <cellStyle name="Currency 10 2" xfId="117" xr:uid="{00000000-0005-0000-0000-000085000000}"/>
    <cellStyle name="Currency 11" xfId="118" xr:uid="{00000000-0005-0000-0000-000086000000}"/>
    <cellStyle name="Currency 11 2" xfId="119" xr:uid="{00000000-0005-0000-0000-000087000000}"/>
    <cellStyle name="Currency 12" xfId="120" xr:uid="{00000000-0005-0000-0000-000088000000}"/>
    <cellStyle name="Currency 12 2" xfId="121" xr:uid="{00000000-0005-0000-0000-000089000000}"/>
    <cellStyle name="Currency 13" xfId="122" xr:uid="{00000000-0005-0000-0000-00008A000000}"/>
    <cellStyle name="Currency 13 2" xfId="123" xr:uid="{00000000-0005-0000-0000-00008B000000}"/>
    <cellStyle name="Currency 14" xfId="124" xr:uid="{00000000-0005-0000-0000-00008C000000}"/>
    <cellStyle name="Currency 15" xfId="125" xr:uid="{00000000-0005-0000-0000-00008D000000}"/>
    <cellStyle name="Currency 2" xfId="126" xr:uid="{00000000-0005-0000-0000-00008E000000}"/>
    <cellStyle name="Currency 2 2" xfId="127" xr:uid="{00000000-0005-0000-0000-00008F000000}"/>
    <cellStyle name="Currency 2 2 2" xfId="128" xr:uid="{00000000-0005-0000-0000-000090000000}"/>
    <cellStyle name="Currency 2 2 2 2" xfId="129" xr:uid="{00000000-0005-0000-0000-000091000000}"/>
    <cellStyle name="Currency 2 2 3" xfId="130" xr:uid="{00000000-0005-0000-0000-000092000000}"/>
    <cellStyle name="Currency 2 2 3 2" xfId="131" xr:uid="{00000000-0005-0000-0000-000093000000}"/>
    <cellStyle name="Currency 2 2 4" xfId="132" xr:uid="{00000000-0005-0000-0000-000094000000}"/>
    <cellStyle name="Currency 2 2 4 2" xfId="133" xr:uid="{00000000-0005-0000-0000-000095000000}"/>
    <cellStyle name="Currency 2 2 5" xfId="134" xr:uid="{00000000-0005-0000-0000-000096000000}"/>
    <cellStyle name="Currency 2 3" xfId="135" xr:uid="{00000000-0005-0000-0000-000097000000}"/>
    <cellStyle name="Currency 2 3 2" xfId="136" xr:uid="{00000000-0005-0000-0000-000098000000}"/>
    <cellStyle name="Currency 2 4" xfId="137" xr:uid="{00000000-0005-0000-0000-000099000000}"/>
    <cellStyle name="Currency 2 4 2" xfId="138" xr:uid="{00000000-0005-0000-0000-00009A000000}"/>
    <cellStyle name="Currency 2 5" xfId="139" xr:uid="{00000000-0005-0000-0000-00009B000000}"/>
    <cellStyle name="Currency 2 5 2" xfId="140" xr:uid="{00000000-0005-0000-0000-00009C000000}"/>
    <cellStyle name="Currency 2 6" xfId="141" xr:uid="{00000000-0005-0000-0000-00009D000000}"/>
    <cellStyle name="Currency 3" xfId="142" xr:uid="{00000000-0005-0000-0000-00009E000000}"/>
    <cellStyle name="Currency 3 2" xfId="143" xr:uid="{00000000-0005-0000-0000-00009F000000}"/>
    <cellStyle name="Currency 3 2 2" xfId="144" xr:uid="{00000000-0005-0000-0000-0000A0000000}"/>
    <cellStyle name="Currency 3 3" xfId="145" xr:uid="{00000000-0005-0000-0000-0000A1000000}"/>
    <cellStyle name="Currency 3 3 2" xfId="146" xr:uid="{00000000-0005-0000-0000-0000A2000000}"/>
    <cellStyle name="Currency 3 4" xfId="147" xr:uid="{00000000-0005-0000-0000-0000A3000000}"/>
    <cellStyle name="Currency 3 4 2" xfId="148" xr:uid="{00000000-0005-0000-0000-0000A4000000}"/>
    <cellStyle name="Currency 3 5" xfId="149" xr:uid="{00000000-0005-0000-0000-0000A5000000}"/>
    <cellStyle name="Currency 4" xfId="150" xr:uid="{00000000-0005-0000-0000-0000A6000000}"/>
    <cellStyle name="Currency 4 2" xfId="151" xr:uid="{00000000-0005-0000-0000-0000A7000000}"/>
    <cellStyle name="Currency 4 2 2" xfId="152" xr:uid="{00000000-0005-0000-0000-0000A8000000}"/>
    <cellStyle name="Currency 4 3" xfId="153" xr:uid="{00000000-0005-0000-0000-0000A9000000}"/>
    <cellStyle name="Currency 4 3 2" xfId="154" xr:uid="{00000000-0005-0000-0000-0000AA000000}"/>
    <cellStyle name="Currency 4 4" xfId="155" xr:uid="{00000000-0005-0000-0000-0000AB000000}"/>
    <cellStyle name="Currency 4 4 2" xfId="156" xr:uid="{00000000-0005-0000-0000-0000AC000000}"/>
    <cellStyle name="Currency 4 5" xfId="157" xr:uid="{00000000-0005-0000-0000-0000AD000000}"/>
    <cellStyle name="Currency 5" xfId="158" xr:uid="{00000000-0005-0000-0000-0000AE000000}"/>
    <cellStyle name="Currency 5 2" xfId="159" xr:uid="{00000000-0005-0000-0000-0000AF000000}"/>
    <cellStyle name="Currency 5 2 2" xfId="160" xr:uid="{00000000-0005-0000-0000-0000B0000000}"/>
    <cellStyle name="Currency 5 3" xfId="161" xr:uid="{00000000-0005-0000-0000-0000B1000000}"/>
    <cellStyle name="Currency 5 3 2" xfId="162" xr:uid="{00000000-0005-0000-0000-0000B2000000}"/>
    <cellStyle name="Currency 5 4" xfId="163" xr:uid="{00000000-0005-0000-0000-0000B3000000}"/>
    <cellStyle name="Currency 5 4 2" xfId="164" xr:uid="{00000000-0005-0000-0000-0000B4000000}"/>
    <cellStyle name="Currency 5 5" xfId="165" xr:uid="{00000000-0005-0000-0000-0000B5000000}"/>
    <cellStyle name="Currency 6" xfId="166" xr:uid="{00000000-0005-0000-0000-0000B6000000}"/>
    <cellStyle name="Currency 6 2" xfId="167" xr:uid="{00000000-0005-0000-0000-0000B7000000}"/>
    <cellStyle name="Currency 7" xfId="168" xr:uid="{00000000-0005-0000-0000-0000B8000000}"/>
    <cellStyle name="Currency 7 2" xfId="169" xr:uid="{00000000-0005-0000-0000-0000B9000000}"/>
    <cellStyle name="Currency 8" xfId="170" xr:uid="{00000000-0005-0000-0000-0000BA000000}"/>
    <cellStyle name="Currency 8 2" xfId="171" xr:uid="{00000000-0005-0000-0000-0000BB000000}"/>
    <cellStyle name="Currency 9" xfId="172" xr:uid="{00000000-0005-0000-0000-0000BC000000}"/>
    <cellStyle name="Currency 9 2" xfId="173" xr:uid="{00000000-0005-0000-0000-0000BD000000}"/>
    <cellStyle name="DateStyle" xfId="174" xr:uid="{00000000-0005-0000-0000-0000BE000000}"/>
    <cellStyle name="DateTimeStyle" xfId="175" xr:uid="{00000000-0005-0000-0000-0000BF000000}"/>
    <cellStyle name="Decimal" xfId="176" xr:uid="{00000000-0005-0000-0000-0000C0000000}"/>
    <cellStyle name="DecimalWithBorder" xfId="177" xr:uid="{00000000-0005-0000-0000-0000C1000000}"/>
    <cellStyle name="DecimalWithBorder 2" xfId="178" xr:uid="{00000000-0005-0000-0000-0000C2000000}"/>
    <cellStyle name="DecimalWithBorder 2 2" xfId="179" xr:uid="{00000000-0005-0000-0000-0000C3000000}"/>
    <cellStyle name="DecimalWithBorder 2 3" xfId="180" xr:uid="{00000000-0005-0000-0000-0000C4000000}"/>
    <cellStyle name="DecimalWithBorder 2 4" xfId="181" xr:uid="{00000000-0005-0000-0000-0000C5000000}"/>
    <cellStyle name="DecimalWithBorder 3" xfId="182" xr:uid="{00000000-0005-0000-0000-0000C6000000}"/>
    <cellStyle name="DecimalWithBorder 4" xfId="183" xr:uid="{00000000-0005-0000-0000-0000C7000000}"/>
    <cellStyle name="DecimalWithBorder 5" xfId="184" xr:uid="{00000000-0005-0000-0000-0000C8000000}"/>
    <cellStyle name="Énfasis1 2" xfId="185" xr:uid="{00000000-0005-0000-0000-0000C9000000}"/>
    <cellStyle name="Énfasis1 2 2" xfId="186" xr:uid="{00000000-0005-0000-0000-0000CA000000}"/>
    <cellStyle name="EuroCurrency" xfId="187" xr:uid="{00000000-0005-0000-0000-0000CB000000}"/>
    <cellStyle name="EuroCurrencyWithBorder" xfId="188" xr:uid="{00000000-0005-0000-0000-0000CC000000}"/>
    <cellStyle name="EuroCurrencyWithBorder 2" xfId="189" xr:uid="{00000000-0005-0000-0000-0000CD000000}"/>
    <cellStyle name="EuroCurrencyWithBorder 2 2" xfId="190" xr:uid="{00000000-0005-0000-0000-0000CE000000}"/>
    <cellStyle name="EuroCurrencyWithBorder 2 3" xfId="191" xr:uid="{00000000-0005-0000-0000-0000CF000000}"/>
    <cellStyle name="EuroCurrencyWithBorder 2 4" xfId="192" xr:uid="{00000000-0005-0000-0000-0000D0000000}"/>
    <cellStyle name="EuroCurrencyWithBorder 3" xfId="193" xr:uid="{00000000-0005-0000-0000-0000D1000000}"/>
    <cellStyle name="EuroCurrencyWithBorder 4" xfId="194" xr:uid="{00000000-0005-0000-0000-0000D2000000}"/>
    <cellStyle name="EuroCurrencyWithBorder 5" xfId="195" xr:uid="{00000000-0005-0000-0000-0000D3000000}"/>
    <cellStyle name="HeaderStyle" xfId="196" xr:uid="{00000000-0005-0000-0000-0000D4000000}"/>
    <cellStyle name="HeaderSubTop" xfId="197" xr:uid="{00000000-0005-0000-0000-0000D5000000}"/>
    <cellStyle name="HeaderSubTopNoBold" xfId="198" xr:uid="{00000000-0005-0000-0000-0000D6000000}"/>
    <cellStyle name="HeaderTopBuyer" xfId="199" xr:uid="{00000000-0005-0000-0000-0000D7000000}"/>
    <cellStyle name="HeaderTopStyle" xfId="200" xr:uid="{00000000-0005-0000-0000-0000D8000000}"/>
    <cellStyle name="HeaderTopStyleAlignRight" xfId="201" xr:uid="{00000000-0005-0000-0000-0000D9000000}"/>
    <cellStyle name="Hipervínculo" xfId="2867" builtinId="8"/>
    <cellStyle name="MainTitle" xfId="202" xr:uid="{00000000-0005-0000-0000-0000DB000000}"/>
    <cellStyle name="MainTitle 2" xfId="203" xr:uid="{00000000-0005-0000-0000-0000DC000000}"/>
    <cellStyle name="MainTitle 2 2" xfId="204" xr:uid="{00000000-0005-0000-0000-0000DD000000}"/>
    <cellStyle name="MainTitle 2 3" xfId="205" xr:uid="{00000000-0005-0000-0000-0000DE000000}"/>
    <cellStyle name="MainTitle 2 4" xfId="206" xr:uid="{00000000-0005-0000-0000-0000DF000000}"/>
    <cellStyle name="MainTitle 3" xfId="207" xr:uid="{00000000-0005-0000-0000-0000E0000000}"/>
    <cellStyle name="MainTitle 4" xfId="208" xr:uid="{00000000-0005-0000-0000-0000E1000000}"/>
    <cellStyle name="MainTitle 5" xfId="209" xr:uid="{00000000-0005-0000-0000-0000E2000000}"/>
    <cellStyle name="Millares" xfId="3" builtinId="3"/>
    <cellStyle name="Millares [0]" xfId="2869" builtinId="6"/>
    <cellStyle name="Millares [0] 2" xfId="2919" xr:uid="{00000000-0005-0000-0000-0000E5000000}"/>
    <cellStyle name="Millares [0] 2 2" xfId="3019" xr:uid="{00000000-0005-0000-0000-0000E6000000}"/>
    <cellStyle name="Millares [0] 2 2 2" xfId="3223" xr:uid="{057360A4-B1EF-46FE-B2E4-FD28C170E1E4}"/>
    <cellStyle name="Millares [0] 2 3" xfId="3125" xr:uid="{9E09235A-F3A4-4D42-AC69-2EBDBFFB29B7}"/>
    <cellStyle name="Millares [0] 3" xfId="2970" xr:uid="{00000000-0005-0000-0000-0000E7000000}"/>
    <cellStyle name="Millares [0] 3 2" xfId="3174" xr:uid="{FE2BE74C-DB39-4BE7-90A8-B009656B38CF}"/>
    <cellStyle name="Millares [0] 4" xfId="3076" xr:uid="{398EDE5B-FAC0-427B-9A43-1EFA2151EA7D}"/>
    <cellStyle name="Millares 10" xfId="210" xr:uid="{00000000-0005-0000-0000-0000E8000000}"/>
    <cellStyle name="Millares 10 2" xfId="211" xr:uid="{00000000-0005-0000-0000-0000E9000000}"/>
    <cellStyle name="Millares 10 2 2" xfId="2886" xr:uid="{00000000-0005-0000-0000-0000EA000000}"/>
    <cellStyle name="Millares 10 2 2 2" xfId="2986" xr:uid="{00000000-0005-0000-0000-0000EB000000}"/>
    <cellStyle name="Millares 10 2 2 2 2" xfId="3190" xr:uid="{C5DE69E9-A347-4663-9CF2-2989013CF6D8}"/>
    <cellStyle name="Millares 10 2 2 3" xfId="3092" xr:uid="{D21B2EF4-C4F9-48A7-8D2B-CAEF76706561}"/>
    <cellStyle name="Millares 10 2 3" xfId="2937" xr:uid="{00000000-0005-0000-0000-0000EC000000}"/>
    <cellStyle name="Millares 10 2 3 2" xfId="3141" xr:uid="{4A227A1F-886D-4523-A31A-21D8056971AE}"/>
    <cellStyle name="Millares 10 2 4" xfId="3038" xr:uid="{DD57FF95-082C-4C00-9CD9-6952C261A64D}"/>
    <cellStyle name="Millares 10 3" xfId="2885" xr:uid="{00000000-0005-0000-0000-0000ED000000}"/>
    <cellStyle name="Millares 10 3 2" xfId="2985" xr:uid="{00000000-0005-0000-0000-0000EE000000}"/>
    <cellStyle name="Millares 10 3 2 2" xfId="3189" xr:uid="{67F464DC-D17E-48D7-A2E8-C77B32FCE8A9}"/>
    <cellStyle name="Millares 10 3 3" xfId="3091" xr:uid="{77ABC5CC-1EB6-45A3-B519-DC320A38FF26}"/>
    <cellStyle name="Millares 10 4" xfId="2936" xr:uid="{00000000-0005-0000-0000-0000EF000000}"/>
    <cellStyle name="Millares 10 4 2" xfId="3140" xr:uid="{CE51267E-E360-469E-99BC-3B1F0BAA82CD}"/>
    <cellStyle name="Millares 10 5" xfId="3037" xr:uid="{5A550075-A85F-45DF-B26F-6D1149C5316B}"/>
    <cellStyle name="Millares 11" xfId="2920" xr:uid="{00000000-0005-0000-0000-0000F0000000}"/>
    <cellStyle name="Millares 12" xfId="3020" xr:uid="{FCAAC47D-5B0D-4BCC-8A9A-B8AAE4C918D2}"/>
    <cellStyle name="Millares 13" xfId="3074" xr:uid="{8EF38B94-3CAF-45A3-B8E9-3AE69E4EDC91}"/>
    <cellStyle name="Millares 14" xfId="3226" xr:uid="{E38F2BBD-61A0-4F00-9DBD-45AED1BD761D}"/>
    <cellStyle name="Millares 15" xfId="3227" xr:uid="{57E7CDA1-DCAB-4C07-A725-DACAE05CFB95}"/>
    <cellStyle name="Millares 16" xfId="3229" xr:uid="{74FE6220-C628-4D84-8E64-CEAF197445A3}"/>
    <cellStyle name="Millares 2" xfId="4" xr:uid="{00000000-0005-0000-0000-0000F1000000}"/>
    <cellStyle name="Millares 2 2" xfId="5" xr:uid="{00000000-0005-0000-0000-0000F2000000}"/>
    <cellStyle name="Millares 2 2 2" xfId="212" xr:uid="{00000000-0005-0000-0000-0000F3000000}"/>
    <cellStyle name="Millares 2 3" xfId="213" xr:uid="{00000000-0005-0000-0000-0000F4000000}"/>
    <cellStyle name="Millares 2 3 2" xfId="214" xr:uid="{00000000-0005-0000-0000-0000F5000000}"/>
    <cellStyle name="Millares 2 3 2 2" xfId="215" xr:uid="{00000000-0005-0000-0000-0000F6000000}"/>
    <cellStyle name="Millares 2 3 2 2 2" xfId="2889" xr:uid="{00000000-0005-0000-0000-0000F7000000}"/>
    <cellStyle name="Millares 2 3 2 2 2 2" xfId="2989" xr:uid="{00000000-0005-0000-0000-0000F8000000}"/>
    <cellStyle name="Millares 2 3 2 2 2 2 2" xfId="3193" xr:uid="{C7F3BD82-131C-41CC-A935-3D71B2155609}"/>
    <cellStyle name="Millares 2 3 2 2 2 3" xfId="3095" xr:uid="{5690DDAA-2299-4822-B883-740C32F3D086}"/>
    <cellStyle name="Millares 2 3 2 2 3" xfId="2940" xr:uid="{00000000-0005-0000-0000-0000F9000000}"/>
    <cellStyle name="Millares 2 3 2 2 3 2" xfId="3144" xr:uid="{9065E2C0-1C67-469A-AD90-24701ED160A2}"/>
    <cellStyle name="Millares 2 3 2 2 4" xfId="3041" xr:uid="{6CE798F2-2BE2-4B9D-B486-8C21CE93D056}"/>
    <cellStyle name="Millares 2 3 2 3" xfId="2888" xr:uid="{00000000-0005-0000-0000-0000FA000000}"/>
    <cellStyle name="Millares 2 3 2 3 2" xfId="2988" xr:uid="{00000000-0005-0000-0000-0000FB000000}"/>
    <cellStyle name="Millares 2 3 2 3 2 2" xfId="3192" xr:uid="{E6B6673C-EEB2-4A99-9951-85CCC1D85B45}"/>
    <cellStyle name="Millares 2 3 2 3 3" xfId="3094" xr:uid="{03852A6D-443A-4858-ACF4-9F1302725742}"/>
    <cellStyle name="Millares 2 3 2 4" xfId="2939" xr:uid="{00000000-0005-0000-0000-0000FC000000}"/>
    <cellStyle name="Millares 2 3 2 4 2" xfId="3143" xr:uid="{C20AA79B-5394-47E9-B2CB-5C1FDCBCF30F}"/>
    <cellStyle name="Millares 2 3 2 5" xfId="3040" xr:uid="{01DC909D-FD20-4C4B-8933-7DCCA73101CD}"/>
    <cellStyle name="Millares 2 3 3" xfId="216" xr:uid="{00000000-0005-0000-0000-0000FD000000}"/>
    <cellStyle name="Millares 2 3 3 2" xfId="2890" xr:uid="{00000000-0005-0000-0000-0000FE000000}"/>
    <cellStyle name="Millares 2 3 3 2 2" xfId="2990" xr:uid="{00000000-0005-0000-0000-0000FF000000}"/>
    <cellStyle name="Millares 2 3 3 2 2 2" xfId="3194" xr:uid="{C848E1D1-E894-4A01-B07F-D9E9505B898B}"/>
    <cellStyle name="Millares 2 3 3 2 3" xfId="3096" xr:uid="{B72EF05B-E3BA-45C7-AA28-D6D02B0DC138}"/>
    <cellStyle name="Millares 2 3 3 3" xfId="2941" xr:uid="{00000000-0005-0000-0000-000000010000}"/>
    <cellStyle name="Millares 2 3 3 3 2" xfId="3145" xr:uid="{5F890957-194E-494B-8605-020A52253192}"/>
    <cellStyle name="Millares 2 3 3 4" xfId="3042" xr:uid="{E8835BD9-18E7-4D28-A1CE-017086B3C431}"/>
    <cellStyle name="Millares 2 3 4" xfId="217" xr:uid="{00000000-0005-0000-0000-000001010000}"/>
    <cellStyle name="Millares 2 3 4 2" xfId="2891" xr:uid="{00000000-0005-0000-0000-000002010000}"/>
    <cellStyle name="Millares 2 3 4 2 2" xfId="2991" xr:uid="{00000000-0005-0000-0000-000003010000}"/>
    <cellStyle name="Millares 2 3 4 2 2 2" xfId="3195" xr:uid="{6A2314A8-8778-4CA5-907C-18D17C447F39}"/>
    <cellStyle name="Millares 2 3 4 2 3" xfId="3097" xr:uid="{01916830-DF15-4E5E-A63B-2572911E5BD6}"/>
    <cellStyle name="Millares 2 3 4 3" xfId="2942" xr:uid="{00000000-0005-0000-0000-000004010000}"/>
    <cellStyle name="Millares 2 3 4 3 2" xfId="3146" xr:uid="{35E6E6F3-1D9D-48D6-9FB9-32545F5B603C}"/>
    <cellStyle name="Millares 2 3 4 4" xfId="3043" xr:uid="{10269C23-BDE2-42C5-97C6-C41D40B3B1E9}"/>
    <cellStyle name="Millares 2 3 5" xfId="2887" xr:uid="{00000000-0005-0000-0000-000005010000}"/>
    <cellStyle name="Millares 2 3 5 2" xfId="2987" xr:uid="{00000000-0005-0000-0000-000006010000}"/>
    <cellStyle name="Millares 2 3 5 2 2" xfId="3191" xr:uid="{AAE049F6-A5D3-4FAE-86CB-48BA97C2E52B}"/>
    <cellStyle name="Millares 2 3 5 3" xfId="3093" xr:uid="{222A9A51-967B-460D-B94D-32CBFF35092A}"/>
    <cellStyle name="Millares 2 3 6" xfId="2938" xr:uid="{00000000-0005-0000-0000-000007010000}"/>
    <cellStyle name="Millares 2 3 6 2" xfId="3142" xr:uid="{7C2C480D-37E7-4759-AC5E-7924E54ED363}"/>
    <cellStyle name="Millares 2 3 7" xfId="3039" xr:uid="{D6D54AC8-9269-411A-9C3F-6B7B85EB44E5}"/>
    <cellStyle name="Millares 2 4" xfId="218" xr:uid="{00000000-0005-0000-0000-000008010000}"/>
    <cellStyle name="Millares 2 4 2" xfId="219" xr:uid="{00000000-0005-0000-0000-000009010000}"/>
    <cellStyle name="Millares 2 4 2 2" xfId="2893" xr:uid="{00000000-0005-0000-0000-00000A010000}"/>
    <cellStyle name="Millares 2 4 2 2 2" xfId="2993" xr:uid="{00000000-0005-0000-0000-00000B010000}"/>
    <cellStyle name="Millares 2 4 2 2 2 2" xfId="3197" xr:uid="{A3066B48-4018-4191-943C-347FFB023F39}"/>
    <cellStyle name="Millares 2 4 2 2 3" xfId="3099" xr:uid="{3D66A246-4C9F-4DB4-818B-A60D99B38813}"/>
    <cellStyle name="Millares 2 4 2 3" xfId="2944" xr:uid="{00000000-0005-0000-0000-00000C010000}"/>
    <cellStyle name="Millares 2 4 2 3 2" xfId="3148" xr:uid="{7F100C95-7F5A-4BAC-B6B2-B501A6ECB692}"/>
    <cellStyle name="Millares 2 4 2 4" xfId="3045" xr:uid="{851777AF-B80B-4FA1-BDB1-CDA32602F1F6}"/>
    <cellStyle name="Millares 2 4 3" xfId="220" xr:uid="{00000000-0005-0000-0000-00000D010000}"/>
    <cellStyle name="Millares 2 4 3 2" xfId="2894" xr:uid="{00000000-0005-0000-0000-00000E010000}"/>
    <cellStyle name="Millares 2 4 3 2 2" xfId="2994" xr:uid="{00000000-0005-0000-0000-00000F010000}"/>
    <cellStyle name="Millares 2 4 3 2 2 2" xfId="3198" xr:uid="{90A50FC2-B8B6-46A9-91F4-C6E1D064A945}"/>
    <cellStyle name="Millares 2 4 3 2 3" xfId="3100" xr:uid="{0B51E84D-C8E8-4625-AD09-670DF878FD45}"/>
    <cellStyle name="Millares 2 4 3 3" xfId="2945" xr:uid="{00000000-0005-0000-0000-000010010000}"/>
    <cellStyle name="Millares 2 4 3 3 2" xfId="3149" xr:uid="{980AA6A8-0A81-4AAD-BCB1-33960FDD7B04}"/>
    <cellStyle name="Millares 2 4 3 4" xfId="3046" xr:uid="{57A2427D-0E33-45A6-A2A0-29EC468315CA}"/>
    <cellStyle name="Millares 2 4 4" xfId="2892" xr:uid="{00000000-0005-0000-0000-000011010000}"/>
    <cellStyle name="Millares 2 4 4 2" xfId="2992" xr:uid="{00000000-0005-0000-0000-000012010000}"/>
    <cellStyle name="Millares 2 4 4 2 2" xfId="3196" xr:uid="{7756648E-E5B2-4205-BADD-775B0FEEC854}"/>
    <cellStyle name="Millares 2 4 4 3" xfId="3098" xr:uid="{27429160-821B-472F-9CAF-F8CB68FB3E0B}"/>
    <cellStyle name="Millares 2 4 5" xfId="2943" xr:uid="{00000000-0005-0000-0000-000013010000}"/>
    <cellStyle name="Millares 2 4 5 2" xfId="3147" xr:uid="{4183F655-D0EB-4B0F-9C67-0304A8429848}"/>
    <cellStyle name="Millares 2 4 6" xfId="3044" xr:uid="{2386E495-06CA-430E-BCDA-86E8640E4619}"/>
    <cellStyle name="Millares 2 5" xfId="221" xr:uid="{00000000-0005-0000-0000-000014010000}"/>
    <cellStyle name="Millares 2 5 2" xfId="222" xr:uid="{00000000-0005-0000-0000-000015010000}"/>
    <cellStyle name="Millares 2 5 2 2" xfId="2896" xr:uid="{00000000-0005-0000-0000-000016010000}"/>
    <cellStyle name="Millares 2 5 2 2 2" xfId="2996" xr:uid="{00000000-0005-0000-0000-000017010000}"/>
    <cellStyle name="Millares 2 5 2 2 2 2" xfId="3200" xr:uid="{1E477D82-E4BA-4991-B820-5C3EB0AD5B49}"/>
    <cellStyle name="Millares 2 5 2 2 3" xfId="3102" xr:uid="{7A12678B-AEC8-4248-B3FA-9FCF2AF8BAF4}"/>
    <cellStyle name="Millares 2 5 2 3" xfId="2947" xr:uid="{00000000-0005-0000-0000-000018010000}"/>
    <cellStyle name="Millares 2 5 2 3 2" xfId="3151" xr:uid="{C61B0EF5-7E8A-4C14-9773-60964E638FE1}"/>
    <cellStyle name="Millares 2 5 2 4" xfId="3048" xr:uid="{5F7DF831-D4BB-481B-971E-1A67782078A0}"/>
    <cellStyle name="Millares 2 5 3" xfId="2895" xr:uid="{00000000-0005-0000-0000-000019010000}"/>
    <cellStyle name="Millares 2 5 3 2" xfId="2995" xr:uid="{00000000-0005-0000-0000-00001A010000}"/>
    <cellStyle name="Millares 2 5 3 2 2" xfId="3199" xr:uid="{9B4ACE3C-F6F4-4101-993D-7782BE0A60BD}"/>
    <cellStyle name="Millares 2 5 3 3" xfId="3101" xr:uid="{71405F49-1118-42DF-81FB-3DDCB6DC1F22}"/>
    <cellStyle name="Millares 2 5 4" xfId="2946" xr:uid="{00000000-0005-0000-0000-00001B010000}"/>
    <cellStyle name="Millares 2 5 4 2" xfId="3150" xr:uid="{B21A688C-8401-4A6C-8131-1AF65978C403}"/>
    <cellStyle name="Millares 2 5 5" xfId="3047" xr:uid="{1352B2D3-C9AC-409F-8796-F615B18515F6}"/>
    <cellStyle name="Millares 2 6" xfId="223" xr:uid="{00000000-0005-0000-0000-00001C010000}"/>
    <cellStyle name="Millares 2 6 2" xfId="224" xr:uid="{00000000-0005-0000-0000-00001D010000}"/>
    <cellStyle name="Millares 2 6 2 2" xfId="2898" xr:uid="{00000000-0005-0000-0000-00001E010000}"/>
    <cellStyle name="Millares 2 6 2 2 2" xfId="2998" xr:uid="{00000000-0005-0000-0000-00001F010000}"/>
    <cellStyle name="Millares 2 6 2 2 2 2" xfId="3202" xr:uid="{C420CB72-905B-44C3-8F7E-763B26BA8344}"/>
    <cellStyle name="Millares 2 6 2 2 3" xfId="3104" xr:uid="{3010A48B-5710-4F65-A73F-A61903962904}"/>
    <cellStyle name="Millares 2 6 2 3" xfId="2949" xr:uid="{00000000-0005-0000-0000-000020010000}"/>
    <cellStyle name="Millares 2 6 2 3 2" xfId="3153" xr:uid="{5706521D-B6D2-4106-9D88-C7B561484C70}"/>
    <cellStyle name="Millares 2 6 2 4" xfId="3050" xr:uid="{F8BC5FD9-9B63-4740-A023-93E5B95647D1}"/>
    <cellStyle name="Millares 2 6 3" xfId="2897" xr:uid="{00000000-0005-0000-0000-000021010000}"/>
    <cellStyle name="Millares 2 6 3 2" xfId="2997" xr:uid="{00000000-0005-0000-0000-000022010000}"/>
    <cellStyle name="Millares 2 6 3 2 2" xfId="3201" xr:uid="{D3573335-AB42-43A6-9241-A9F9914AD53E}"/>
    <cellStyle name="Millares 2 6 3 3" xfId="3103" xr:uid="{E22661A2-5F54-411C-BBB3-E9136B378819}"/>
    <cellStyle name="Millares 2 6 4" xfId="2948" xr:uid="{00000000-0005-0000-0000-000023010000}"/>
    <cellStyle name="Millares 2 6 4 2" xfId="3152" xr:uid="{FCAB40FA-6F06-4555-8959-B018DB98EC47}"/>
    <cellStyle name="Millares 2 6 5" xfId="3049" xr:uid="{3E7BB2B2-13DB-4184-9164-F19A2EF38F01}"/>
    <cellStyle name="Millares 3" xfId="6" xr:uid="{00000000-0005-0000-0000-000024010000}"/>
    <cellStyle name="Millares 3 2" xfId="7" xr:uid="{00000000-0005-0000-0000-000025010000}"/>
    <cellStyle name="Millares 3 3" xfId="225" xr:uid="{00000000-0005-0000-0000-000026010000}"/>
    <cellStyle name="Millares 3 3 2" xfId="226" xr:uid="{00000000-0005-0000-0000-000027010000}"/>
    <cellStyle name="Millares 3 3 2 2" xfId="2900" xr:uid="{00000000-0005-0000-0000-000028010000}"/>
    <cellStyle name="Millares 3 3 2 2 2" xfId="3000" xr:uid="{00000000-0005-0000-0000-000029010000}"/>
    <cellStyle name="Millares 3 3 2 2 2 2" xfId="3204" xr:uid="{E5477768-EF72-4FBF-8E97-2E603ADF7930}"/>
    <cellStyle name="Millares 3 3 2 2 3" xfId="3106" xr:uid="{AD40BDB7-7A5A-4DAB-9929-6EF534794165}"/>
    <cellStyle name="Millares 3 3 2 3" xfId="2951" xr:uid="{00000000-0005-0000-0000-00002A010000}"/>
    <cellStyle name="Millares 3 3 2 3 2" xfId="3155" xr:uid="{8D6CFD1A-D0B0-4BF7-9963-8A9DA3CB1915}"/>
    <cellStyle name="Millares 3 3 2 4" xfId="3052" xr:uid="{15D0B092-565F-424C-A052-E047D9527D50}"/>
    <cellStyle name="Millares 3 3 3" xfId="2899" xr:uid="{00000000-0005-0000-0000-00002B010000}"/>
    <cellStyle name="Millares 3 3 3 2" xfId="2999" xr:uid="{00000000-0005-0000-0000-00002C010000}"/>
    <cellStyle name="Millares 3 3 3 2 2" xfId="3203" xr:uid="{3669BD94-72E3-4887-A508-7F4251EB58C3}"/>
    <cellStyle name="Millares 3 3 3 3" xfId="3105" xr:uid="{B5462D9F-E750-4A54-B658-52CC1708A61E}"/>
    <cellStyle name="Millares 3 3 4" xfId="2950" xr:uid="{00000000-0005-0000-0000-00002D010000}"/>
    <cellStyle name="Millares 3 3 4 2" xfId="3154" xr:uid="{1114DE89-51FB-4DE0-AA84-81CFAC0A3824}"/>
    <cellStyle name="Millares 3 3 5" xfId="3051" xr:uid="{7AFEDCE4-A8E4-44A4-96EB-8C1FE0F12A9C}"/>
    <cellStyle name="Millares 3 4" xfId="227" xr:uid="{00000000-0005-0000-0000-00002E010000}"/>
    <cellStyle name="Millares 3 4 2" xfId="2901" xr:uid="{00000000-0005-0000-0000-00002F010000}"/>
    <cellStyle name="Millares 3 4 2 2" xfId="3001" xr:uid="{00000000-0005-0000-0000-000030010000}"/>
    <cellStyle name="Millares 3 4 2 2 2" xfId="3205" xr:uid="{E484E1FD-F7AC-497E-A8F6-647EEC9E1BBF}"/>
    <cellStyle name="Millares 3 4 2 3" xfId="3107" xr:uid="{7536A8E3-FBAE-413F-9EEC-C07DB7EB5ED2}"/>
    <cellStyle name="Millares 3 4 3" xfId="2952" xr:uid="{00000000-0005-0000-0000-000031010000}"/>
    <cellStyle name="Millares 3 4 3 2" xfId="3156" xr:uid="{5BB10907-EDED-4ABC-B278-5854F2907173}"/>
    <cellStyle name="Millares 3 4 4" xfId="3053" xr:uid="{B1BE2D7A-10AA-48E9-BE34-07610F5568AD}"/>
    <cellStyle name="Millares 4" xfId="8" xr:uid="{00000000-0005-0000-0000-000032010000}"/>
    <cellStyle name="Millares 4 2" xfId="228" xr:uid="{00000000-0005-0000-0000-000033010000}"/>
    <cellStyle name="Millares 5" xfId="229" xr:uid="{00000000-0005-0000-0000-000034010000}"/>
    <cellStyle name="Millares 5 2" xfId="230" xr:uid="{00000000-0005-0000-0000-000035010000}"/>
    <cellStyle name="Millares 5 3" xfId="231" xr:uid="{00000000-0005-0000-0000-000036010000}"/>
    <cellStyle name="Millares 5 4" xfId="232" xr:uid="{00000000-0005-0000-0000-000037010000}"/>
    <cellStyle name="Millares 5 4 2" xfId="2902" xr:uid="{00000000-0005-0000-0000-000038010000}"/>
    <cellStyle name="Millares 5 4 2 2" xfId="3002" xr:uid="{00000000-0005-0000-0000-000039010000}"/>
    <cellStyle name="Millares 5 4 2 2 2" xfId="3206" xr:uid="{424FD177-BCF1-4739-B168-8669F1471A84}"/>
    <cellStyle name="Millares 5 4 2 3" xfId="3108" xr:uid="{C1BBCE24-1D0C-4CE1-B48B-8D9A9CC6596F}"/>
    <cellStyle name="Millares 5 4 3" xfId="2953" xr:uid="{00000000-0005-0000-0000-00003A010000}"/>
    <cellStyle name="Millares 5 4 3 2" xfId="3157" xr:uid="{00C0D9EB-2C58-46C5-93C0-4F1FB98BCE42}"/>
    <cellStyle name="Millares 5 4 4" xfId="3054" xr:uid="{F51C9953-ADB6-4B84-90E4-839C99F827F5}"/>
    <cellStyle name="Millares 5 5" xfId="233" xr:uid="{00000000-0005-0000-0000-00003B010000}"/>
    <cellStyle name="Millares 5 5 2" xfId="2903" xr:uid="{00000000-0005-0000-0000-00003C010000}"/>
    <cellStyle name="Millares 5 5 2 2" xfId="3003" xr:uid="{00000000-0005-0000-0000-00003D010000}"/>
    <cellStyle name="Millares 5 5 2 2 2" xfId="3207" xr:uid="{EACC10FE-B7DF-438D-A3CA-74E91AC96F02}"/>
    <cellStyle name="Millares 5 5 2 3" xfId="3109" xr:uid="{FBC8CCA0-5702-4BC8-B218-6B763447D4D1}"/>
    <cellStyle name="Millares 5 5 3" xfId="2954" xr:uid="{00000000-0005-0000-0000-00003E010000}"/>
    <cellStyle name="Millares 5 5 3 2" xfId="3158" xr:uid="{5579DFE0-15A1-4A3B-A80A-D489C0BBA2B7}"/>
    <cellStyle name="Millares 5 5 4" xfId="3055" xr:uid="{6E863237-0E84-48B7-B6B1-7E5F607304FF}"/>
    <cellStyle name="Millares 6" xfId="234" xr:uid="{00000000-0005-0000-0000-00003F010000}"/>
    <cellStyle name="Millares 6 2" xfId="235" xr:uid="{00000000-0005-0000-0000-000040010000}"/>
    <cellStyle name="Millares 6 2 2" xfId="236" xr:uid="{00000000-0005-0000-0000-000041010000}"/>
    <cellStyle name="Millares 6 2 2 2" xfId="2906" xr:uid="{00000000-0005-0000-0000-000042010000}"/>
    <cellStyle name="Millares 6 2 2 2 2" xfId="3006" xr:uid="{00000000-0005-0000-0000-000043010000}"/>
    <cellStyle name="Millares 6 2 2 2 2 2" xfId="3210" xr:uid="{428DF16B-E6B9-4EB6-BC51-77CDE4F562D9}"/>
    <cellStyle name="Millares 6 2 2 2 3" xfId="3112" xr:uid="{9C889117-00E6-470B-805C-C2BFAB466123}"/>
    <cellStyle name="Millares 6 2 2 3" xfId="2957" xr:uid="{00000000-0005-0000-0000-000044010000}"/>
    <cellStyle name="Millares 6 2 2 3 2" xfId="3161" xr:uid="{8A50D63C-6404-474F-A18B-B7CD2192A25A}"/>
    <cellStyle name="Millares 6 2 2 4" xfId="3058" xr:uid="{1E275B4B-6E05-434F-ABFE-E771F61F1D2A}"/>
    <cellStyle name="Millares 6 2 3" xfId="2905" xr:uid="{00000000-0005-0000-0000-000045010000}"/>
    <cellStyle name="Millares 6 2 3 2" xfId="3005" xr:uid="{00000000-0005-0000-0000-000046010000}"/>
    <cellStyle name="Millares 6 2 3 2 2" xfId="3209" xr:uid="{8C62985D-98BD-4594-A337-DDB28C5603E6}"/>
    <cellStyle name="Millares 6 2 3 3" xfId="3111" xr:uid="{74AADEA8-6A23-4375-85A4-9E7FEDA78FD4}"/>
    <cellStyle name="Millares 6 2 4" xfId="2956" xr:uid="{00000000-0005-0000-0000-000047010000}"/>
    <cellStyle name="Millares 6 2 4 2" xfId="3160" xr:uid="{2F530395-5F9C-432A-BA9E-9CCE5CA2E3A1}"/>
    <cellStyle name="Millares 6 2 5" xfId="3057" xr:uid="{781FFAF8-772B-4C00-9DDB-DDAE3A6CAC42}"/>
    <cellStyle name="Millares 6 3" xfId="237" xr:uid="{00000000-0005-0000-0000-000048010000}"/>
    <cellStyle name="Millares 6 3 2" xfId="238" xr:uid="{00000000-0005-0000-0000-000049010000}"/>
    <cellStyle name="Millares 6 3 2 2" xfId="2908" xr:uid="{00000000-0005-0000-0000-00004A010000}"/>
    <cellStyle name="Millares 6 3 2 2 2" xfId="3008" xr:uid="{00000000-0005-0000-0000-00004B010000}"/>
    <cellStyle name="Millares 6 3 2 2 2 2" xfId="3212" xr:uid="{702141F6-EB39-4716-B432-22C19E69AD5A}"/>
    <cellStyle name="Millares 6 3 2 2 3" xfId="3114" xr:uid="{C0ADA5D3-E7C4-47EC-9BFA-5A147E3509F1}"/>
    <cellStyle name="Millares 6 3 2 3" xfId="2959" xr:uid="{00000000-0005-0000-0000-00004C010000}"/>
    <cellStyle name="Millares 6 3 2 3 2" xfId="3163" xr:uid="{FFDC8375-1B6C-4165-A940-A4607C59BE60}"/>
    <cellStyle name="Millares 6 3 2 4" xfId="3060" xr:uid="{AF95E7D2-F3B9-4A53-8182-96CDD54346AB}"/>
    <cellStyle name="Millares 6 3 3" xfId="2907" xr:uid="{00000000-0005-0000-0000-00004D010000}"/>
    <cellStyle name="Millares 6 3 3 2" xfId="3007" xr:uid="{00000000-0005-0000-0000-00004E010000}"/>
    <cellStyle name="Millares 6 3 3 2 2" xfId="3211" xr:uid="{9B6FCF7F-80E9-4EA0-B799-4DA87B4E4315}"/>
    <cellStyle name="Millares 6 3 3 3" xfId="3113" xr:uid="{83B6C86F-3348-43D1-B77D-6AF0B0788AA9}"/>
    <cellStyle name="Millares 6 3 4" xfId="2958" xr:uid="{00000000-0005-0000-0000-00004F010000}"/>
    <cellStyle name="Millares 6 3 4 2" xfId="3162" xr:uid="{B09B84D9-32D9-4985-A3EB-91887768C197}"/>
    <cellStyle name="Millares 6 3 5" xfId="3059" xr:uid="{FCAAF50B-1305-497A-944A-210A30118F70}"/>
    <cellStyle name="Millares 6 4" xfId="239" xr:uid="{00000000-0005-0000-0000-000050010000}"/>
    <cellStyle name="Millares 6 5" xfId="2904" xr:uid="{00000000-0005-0000-0000-000051010000}"/>
    <cellStyle name="Millares 6 5 2" xfId="3004" xr:uid="{00000000-0005-0000-0000-000052010000}"/>
    <cellStyle name="Millares 6 5 2 2" xfId="3208" xr:uid="{36BB1568-4809-4F5F-B6B9-AC8E12880850}"/>
    <cellStyle name="Millares 6 5 3" xfId="3110" xr:uid="{2F9A31EF-8632-4FFF-8018-51BCFB0F60FD}"/>
    <cellStyle name="Millares 6 6" xfId="2955" xr:uid="{00000000-0005-0000-0000-000053010000}"/>
    <cellStyle name="Millares 6 6 2" xfId="3159" xr:uid="{E1016E00-688C-4CDE-A307-097F49CD4B9A}"/>
    <cellStyle name="Millares 6 7" xfId="3056" xr:uid="{175BAA99-A42B-4F97-BBD2-BBD3D805F7C5}"/>
    <cellStyle name="Millares 7" xfId="240" xr:uid="{00000000-0005-0000-0000-000054010000}"/>
    <cellStyle name="Millares 7 2" xfId="241" xr:uid="{00000000-0005-0000-0000-000055010000}"/>
    <cellStyle name="Millares 7 2 2" xfId="2910" xr:uid="{00000000-0005-0000-0000-000056010000}"/>
    <cellStyle name="Millares 7 2 2 2" xfId="3010" xr:uid="{00000000-0005-0000-0000-000057010000}"/>
    <cellStyle name="Millares 7 2 2 2 2" xfId="3214" xr:uid="{88F93C0C-4A4E-4ED3-B9A1-38C8AED46EB7}"/>
    <cellStyle name="Millares 7 2 2 3" xfId="3116" xr:uid="{F992CBAB-3CEF-49CD-8E5B-CC44ED99D682}"/>
    <cellStyle name="Millares 7 2 3" xfId="2961" xr:uid="{00000000-0005-0000-0000-000058010000}"/>
    <cellStyle name="Millares 7 2 3 2" xfId="3165" xr:uid="{28AEC360-B294-4BC5-AF24-FD785D1F3053}"/>
    <cellStyle name="Millares 7 2 4" xfId="3062" xr:uid="{12FD7F55-3952-43B7-9C54-DD03686B4D74}"/>
    <cellStyle name="Millares 7 3" xfId="2909" xr:uid="{00000000-0005-0000-0000-000059010000}"/>
    <cellStyle name="Millares 7 3 2" xfId="3009" xr:uid="{00000000-0005-0000-0000-00005A010000}"/>
    <cellStyle name="Millares 7 3 2 2" xfId="3213" xr:uid="{C7CB219F-A772-479B-8A89-563BAD3EC09A}"/>
    <cellStyle name="Millares 7 3 3" xfId="3115" xr:uid="{084F3A2C-6B87-4E5B-A855-3995CBFC891D}"/>
    <cellStyle name="Millares 7 4" xfId="2960" xr:uid="{00000000-0005-0000-0000-00005B010000}"/>
    <cellStyle name="Millares 7 4 2" xfId="3164" xr:uid="{C9E34359-9B8F-4314-8FFA-50953511F492}"/>
    <cellStyle name="Millares 7 5" xfId="3061" xr:uid="{DC7D7AE8-1B2B-4241-99E2-880A1D4CE049}"/>
    <cellStyle name="Millares 8" xfId="242" xr:uid="{00000000-0005-0000-0000-00005C010000}"/>
    <cellStyle name="Millares 8 2" xfId="243" xr:uid="{00000000-0005-0000-0000-00005D010000}"/>
    <cellStyle name="Millares 8 2 2" xfId="2912" xr:uid="{00000000-0005-0000-0000-00005E010000}"/>
    <cellStyle name="Millares 8 2 2 2" xfId="3012" xr:uid="{00000000-0005-0000-0000-00005F010000}"/>
    <cellStyle name="Millares 8 2 2 2 2" xfId="3216" xr:uid="{88FC8EEF-BC01-4345-9E5C-62B02D213900}"/>
    <cellStyle name="Millares 8 2 2 3" xfId="3118" xr:uid="{61D85511-03DE-4DDB-A829-55908591E913}"/>
    <cellStyle name="Millares 8 2 3" xfId="2963" xr:uid="{00000000-0005-0000-0000-000060010000}"/>
    <cellStyle name="Millares 8 2 3 2" xfId="3167" xr:uid="{76772E37-488D-4250-B946-156CC0E0B602}"/>
    <cellStyle name="Millares 8 2 4" xfId="3064" xr:uid="{2204B50C-F898-4A35-A70F-B87772F149DF}"/>
    <cellStyle name="Millares 8 3" xfId="2911" xr:uid="{00000000-0005-0000-0000-000061010000}"/>
    <cellStyle name="Millares 8 3 2" xfId="3011" xr:uid="{00000000-0005-0000-0000-000062010000}"/>
    <cellStyle name="Millares 8 3 2 2" xfId="3215" xr:uid="{7DE241D5-42E1-424F-9384-C68FDA175A6D}"/>
    <cellStyle name="Millares 8 3 3" xfId="3117" xr:uid="{BC16442B-78E3-4EE1-B360-E3812CF4CB86}"/>
    <cellStyle name="Millares 8 4" xfId="2962" xr:uid="{00000000-0005-0000-0000-000063010000}"/>
    <cellStyle name="Millares 8 4 2" xfId="3166" xr:uid="{12C15C0C-0AE5-47BE-B133-EB8971F70A66}"/>
    <cellStyle name="Millares 8 5" xfId="3063" xr:uid="{AE089F38-5400-4D5F-AC07-9961BF39ED79}"/>
    <cellStyle name="Millares 9" xfId="244" xr:uid="{00000000-0005-0000-0000-000064010000}"/>
    <cellStyle name="Millares 9 2" xfId="245" xr:uid="{00000000-0005-0000-0000-000065010000}"/>
    <cellStyle name="Millares 9 2 2" xfId="2914" xr:uid="{00000000-0005-0000-0000-000066010000}"/>
    <cellStyle name="Millares 9 2 2 2" xfId="3014" xr:uid="{00000000-0005-0000-0000-000067010000}"/>
    <cellStyle name="Millares 9 2 2 2 2" xfId="3218" xr:uid="{3BA16206-5593-4700-B09C-7F21137438A8}"/>
    <cellStyle name="Millares 9 2 2 3" xfId="3120" xr:uid="{E6991707-0026-4945-82B2-44C5C2D5461F}"/>
    <cellStyle name="Millares 9 2 3" xfId="2965" xr:uid="{00000000-0005-0000-0000-000068010000}"/>
    <cellStyle name="Millares 9 2 3 2" xfId="3169" xr:uid="{88BD8E99-7DD8-49F6-A580-486C6BA98759}"/>
    <cellStyle name="Millares 9 2 4" xfId="3066" xr:uid="{384FE143-D21B-4C11-863F-400D57941989}"/>
    <cellStyle name="Millares 9 3" xfId="2913" xr:uid="{00000000-0005-0000-0000-000069010000}"/>
    <cellStyle name="Millares 9 3 2" xfId="3013" xr:uid="{00000000-0005-0000-0000-00006A010000}"/>
    <cellStyle name="Millares 9 3 2 2" xfId="3217" xr:uid="{C4E6AFDA-9041-493C-B267-53E3EE00C57A}"/>
    <cellStyle name="Millares 9 3 3" xfId="3119" xr:uid="{A7C73F1E-855D-4604-BAED-DEAEADBD3F6C}"/>
    <cellStyle name="Millares 9 4" xfId="2964" xr:uid="{00000000-0005-0000-0000-00006B010000}"/>
    <cellStyle name="Millares 9 4 2" xfId="3168" xr:uid="{60841667-9902-4668-A700-94E76BBEAE52}"/>
    <cellStyle name="Millares 9 5" xfId="3065" xr:uid="{193DE98E-9A72-4C78-8D98-BA2EFC84D752}"/>
    <cellStyle name="Moneda" xfId="9" builtinId="4"/>
    <cellStyle name="Moneda [0]" xfId="2865" builtinId="7"/>
    <cellStyle name="Moneda [0] 10" xfId="2868" xr:uid="{00000000-0005-0000-0000-00006E010000}"/>
    <cellStyle name="Moneda [0] 11" xfId="2918" xr:uid="{00000000-0005-0000-0000-00006F010000}"/>
    <cellStyle name="Moneda [0] 11 2" xfId="3018" xr:uid="{00000000-0005-0000-0000-000070010000}"/>
    <cellStyle name="Moneda [0] 11 2 2" xfId="3222" xr:uid="{CF259CA1-B866-4A13-921A-815FDC5EBC1F}"/>
    <cellStyle name="Moneda [0] 11 3" xfId="3124" xr:uid="{9063A70D-6883-4FFB-A568-6E36FEBD8248}"/>
    <cellStyle name="Moneda [0] 12" xfId="2969" xr:uid="{00000000-0005-0000-0000-000071010000}"/>
    <cellStyle name="Moneda [0] 12 2" xfId="3173" xr:uid="{58C302E7-EF65-4AE8-8D9B-9936FBBC968A}"/>
    <cellStyle name="Moneda [0] 13" xfId="3075" xr:uid="{B9203523-54C8-4C98-8129-85DFDFE8E2AD}"/>
    <cellStyle name="Moneda [0] 2" xfId="246" xr:uid="{00000000-0005-0000-0000-000072010000}"/>
    <cellStyle name="Moneda [0] 2 2" xfId="247" xr:uid="{00000000-0005-0000-0000-000073010000}"/>
    <cellStyle name="Moneda [0] 2 2 2" xfId="248" xr:uid="{00000000-0005-0000-0000-000074010000}"/>
    <cellStyle name="Moneda [0] 2 2 2 2" xfId="249" xr:uid="{00000000-0005-0000-0000-000075010000}"/>
    <cellStyle name="Moneda [0] 2 2 3" xfId="250" xr:uid="{00000000-0005-0000-0000-000076010000}"/>
    <cellStyle name="Moneda [0] 2 2 4" xfId="251" xr:uid="{00000000-0005-0000-0000-000077010000}"/>
    <cellStyle name="Moneda [0] 2 3" xfId="252" xr:uid="{00000000-0005-0000-0000-000078010000}"/>
    <cellStyle name="Moneda [0] 2 3 2" xfId="253" xr:uid="{00000000-0005-0000-0000-000079010000}"/>
    <cellStyle name="Moneda [0] 2 4" xfId="254" xr:uid="{00000000-0005-0000-0000-00007A010000}"/>
    <cellStyle name="Moneda [0] 2 5" xfId="255" xr:uid="{00000000-0005-0000-0000-00007B010000}"/>
    <cellStyle name="Moneda [0] 3" xfId="256" xr:uid="{00000000-0005-0000-0000-00007C010000}"/>
    <cellStyle name="Moneda [0] 3 10" xfId="3067" xr:uid="{06762F91-AA28-488D-B155-BC3A0D6D63FC}"/>
    <cellStyle name="Moneda [0] 3 2" xfId="257" xr:uid="{00000000-0005-0000-0000-00007D010000}"/>
    <cellStyle name="Moneda [0] 3 2 2" xfId="258" xr:uid="{00000000-0005-0000-0000-00007E010000}"/>
    <cellStyle name="Moneda [0] 3 2 2 2" xfId="259" xr:uid="{00000000-0005-0000-0000-00007F010000}"/>
    <cellStyle name="Moneda [0] 3 2 3" xfId="260" xr:uid="{00000000-0005-0000-0000-000080010000}"/>
    <cellStyle name="Moneda [0] 3 2 3 2" xfId="261" xr:uid="{00000000-0005-0000-0000-000081010000}"/>
    <cellStyle name="Moneda [0] 3 2 4" xfId="262" xr:uid="{00000000-0005-0000-0000-000082010000}"/>
    <cellStyle name="Moneda [0] 3 2 4 2" xfId="263" xr:uid="{00000000-0005-0000-0000-000083010000}"/>
    <cellStyle name="Moneda [0] 3 2 5" xfId="264" xr:uid="{00000000-0005-0000-0000-000084010000}"/>
    <cellStyle name="Moneda [0] 3 3" xfId="265" xr:uid="{00000000-0005-0000-0000-000085010000}"/>
    <cellStyle name="Moneda [0] 3 3 2" xfId="266" xr:uid="{00000000-0005-0000-0000-000086010000}"/>
    <cellStyle name="Moneda [0] 3 4" xfId="267" xr:uid="{00000000-0005-0000-0000-000087010000}"/>
    <cellStyle name="Moneda [0] 3 4 2" xfId="268" xr:uid="{00000000-0005-0000-0000-000088010000}"/>
    <cellStyle name="Moneda [0] 3 5" xfId="269" xr:uid="{00000000-0005-0000-0000-000089010000}"/>
    <cellStyle name="Moneda [0] 3 5 2" xfId="270" xr:uid="{00000000-0005-0000-0000-00008A010000}"/>
    <cellStyle name="Moneda [0] 3 6" xfId="271" xr:uid="{00000000-0005-0000-0000-00008B010000}"/>
    <cellStyle name="Moneda [0] 3 7" xfId="272" xr:uid="{00000000-0005-0000-0000-00008C010000}"/>
    <cellStyle name="Moneda [0] 3 8" xfId="2915" xr:uid="{00000000-0005-0000-0000-00008D010000}"/>
    <cellStyle name="Moneda [0] 3 8 2" xfId="3015" xr:uid="{00000000-0005-0000-0000-00008E010000}"/>
    <cellStyle name="Moneda [0] 3 8 2 2" xfId="3219" xr:uid="{EC0B505E-45D4-41D4-88F6-F7F598370AD0}"/>
    <cellStyle name="Moneda [0] 3 8 3" xfId="3121" xr:uid="{DCCC5BD0-3A4A-48DB-B40C-5DF224A3E27E}"/>
    <cellStyle name="Moneda [0] 3 9" xfId="2966" xr:uid="{00000000-0005-0000-0000-00008F010000}"/>
    <cellStyle name="Moneda [0] 3 9 2" xfId="3170" xr:uid="{E64502A5-D1ED-4605-A2DD-AF021330B9A6}"/>
    <cellStyle name="Moneda [0] 4" xfId="273" xr:uid="{00000000-0005-0000-0000-000090010000}"/>
    <cellStyle name="Moneda [0] 4 2" xfId="274" xr:uid="{00000000-0005-0000-0000-000091010000}"/>
    <cellStyle name="Moneda [0] 4 2 2" xfId="275" xr:uid="{00000000-0005-0000-0000-000092010000}"/>
    <cellStyle name="Moneda [0] 4 3" xfId="276" xr:uid="{00000000-0005-0000-0000-000093010000}"/>
    <cellStyle name="Moneda [0] 4 3 2" xfId="277" xr:uid="{00000000-0005-0000-0000-000094010000}"/>
    <cellStyle name="Moneda [0] 4 4" xfId="278" xr:uid="{00000000-0005-0000-0000-000095010000}"/>
    <cellStyle name="Moneda [0] 4 4 2" xfId="279" xr:uid="{00000000-0005-0000-0000-000096010000}"/>
    <cellStyle name="Moneda [0] 4 5" xfId="280" xr:uid="{00000000-0005-0000-0000-000097010000}"/>
    <cellStyle name="Moneda [0] 5" xfId="281" xr:uid="{00000000-0005-0000-0000-000098010000}"/>
    <cellStyle name="Moneda [0] 5 2" xfId="282" xr:uid="{00000000-0005-0000-0000-000099010000}"/>
    <cellStyle name="Moneda [0] 5 2 2" xfId="283" xr:uid="{00000000-0005-0000-0000-00009A010000}"/>
    <cellStyle name="Moneda [0] 5 3" xfId="284" xr:uid="{00000000-0005-0000-0000-00009B010000}"/>
    <cellStyle name="Moneda [0] 5 3 2" xfId="285" xr:uid="{00000000-0005-0000-0000-00009C010000}"/>
    <cellStyle name="Moneda [0] 5 4" xfId="286" xr:uid="{00000000-0005-0000-0000-00009D010000}"/>
    <cellStyle name="Moneda [0] 5 4 2" xfId="287" xr:uid="{00000000-0005-0000-0000-00009E010000}"/>
    <cellStyle name="Moneda [0] 5 5" xfId="288" xr:uid="{00000000-0005-0000-0000-00009F010000}"/>
    <cellStyle name="Moneda [0] 6" xfId="289" xr:uid="{00000000-0005-0000-0000-0000A0010000}"/>
    <cellStyle name="Moneda [0] 6 2" xfId="290" xr:uid="{00000000-0005-0000-0000-0000A1010000}"/>
    <cellStyle name="Moneda [0] 7" xfId="291" xr:uid="{00000000-0005-0000-0000-0000A2010000}"/>
    <cellStyle name="Moneda [0] 7 2" xfId="292" xr:uid="{00000000-0005-0000-0000-0000A3010000}"/>
    <cellStyle name="Moneda [0] 8" xfId="293" xr:uid="{00000000-0005-0000-0000-0000A4010000}"/>
    <cellStyle name="Moneda [0] 8 2" xfId="294" xr:uid="{00000000-0005-0000-0000-0000A5010000}"/>
    <cellStyle name="Moneda [0] 9" xfId="295" xr:uid="{00000000-0005-0000-0000-0000A6010000}"/>
    <cellStyle name="Moneda [0] 9 2" xfId="296" xr:uid="{00000000-0005-0000-0000-0000A7010000}"/>
    <cellStyle name="Moneda 10" xfId="297" xr:uid="{00000000-0005-0000-0000-0000A8010000}"/>
    <cellStyle name="Moneda 10 10" xfId="298" xr:uid="{00000000-0005-0000-0000-0000A9010000}"/>
    <cellStyle name="Moneda 10 11" xfId="299" xr:uid="{00000000-0005-0000-0000-0000AA010000}"/>
    <cellStyle name="Moneda 10 2" xfId="300" xr:uid="{00000000-0005-0000-0000-0000AB010000}"/>
    <cellStyle name="Moneda 10 2 2" xfId="301" xr:uid="{00000000-0005-0000-0000-0000AC010000}"/>
    <cellStyle name="Moneda 10 2 2 2" xfId="302" xr:uid="{00000000-0005-0000-0000-0000AD010000}"/>
    <cellStyle name="Moneda 10 2 2 2 2" xfId="303" xr:uid="{00000000-0005-0000-0000-0000AE010000}"/>
    <cellStyle name="Moneda 10 2 2 2 2 2" xfId="304" xr:uid="{00000000-0005-0000-0000-0000AF010000}"/>
    <cellStyle name="Moneda 10 2 2 2 3" xfId="305" xr:uid="{00000000-0005-0000-0000-0000B0010000}"/>
    <cellStyle name="Moneda 10 2 2 2 3 2" xfId="306" xr:uid="{00000000-0005-0000-0000-0000B1010000}"/>
    <cellStyle name="Moneda 10 2 2 2 4" xfId="307" xr:uid="{00000000-0005-0000-0000-0000B2010000}"/>
    <cellStyle name="Moneda 10 2 2 2 4 2" xfId="308" xr:uid="{00000000-0005-0000-0000-0000B3010000}"/>
    <cellStyle name="Moneda 10 2 2 2 5" xfId="309" xr:uid="{00000000-0005-0000-0000-0000B4010000}"/>
    <cellStyle name="Moneda 10 2 2 3" xfId="310" xr:uid="{00000000-0005-0000-0000-0000B5010000}"/>
    <cellStyle name="Moneda 10 2 2 3 2" xfId="311" xr:uid="{00000000-0005-0000-0000-0000B6010000}"/>
    <cellStyle name="Moneda 10 2 2 4" xfId="312" xr:uid="{00000000-0005-0000-0000-0000B7010000}"/>
    <cellStyle name="Moneda 10 2 2 4 2" xfId="313" xr:uid="{00000000-0005-0000-0000-0000B8010000}"/>
    <cellStyle name="Moneda 10 2 2 5" xfId="314" xr:uid="{00000000-0005-0000-0000-0000B9010000}"/>
    <cellStyle name="Moneda 10 2 2 5 2" xfId="315" xr:uid="{00000000-0005-0000-0000-0000BA010000}"/>
    <cellStyle name="Moneda 10 2 2 6" xfId="316" xr:uid="{00000000-0005-0000-0000-0000BB010000}"/>
    <cellStyle name="Moneda 10 2 3" xfId="317" xr:uid="{00000000-0005-0000-0000-0000BC010000}"/>
    <cellStyle name="Moneda 10 2 3 2" xfId="318" xr:uid="{00000000-0005-0000-0000-0000BD010000}"/>
    <cellStyle name="Moneda 10 2 3 2 2" xfId="319" xr:uid="{00000000-0005-0000-0000-0000BE010000}"/>
    <cellStyle name="Moneda 10 2 3 3" xfId="320" xr:uid="{00000000-0005-0000-0000-0000BF010000}"/>
    <cellStyle name="Moneda 10 2 3 3 2" xfId="321" xr:uid="{00000000-0005-0000-0000-0000C0010000}"/>
    <cellStyle name="Moneda 10 2 3 4" xfId="322" xr:uid="{00000000-0005-0000-0000-0000C1010000}"/>
    <cellStyle name="Moneda 10 2 3 4 2" xfId="323" xr:uid="{00000000-0005-0000-0000-0000C2010000}"/>
    <cellStyle name="Moneda 10 2 3 5" xfId="324" xr:uid="{00000000-0005-0000-0000-0000C3010000}"/>
    <cellStyle name="Moneda 10 2 4" xfId="325" xr:uid="{00000000-0005-0000-0000-0000C4010000}"/>
    <cellStyle name="Moneda 10 2 4 2" xfId="326" xr:uid="{00000000-0005-0000-0000-0000C5010000}"/>
    <cellStyle name="Moneda 10 2 5" xfId="327" xr:uid="{00000000-0005-0000-0000-0000C6010000}"/>
    <cellStyle name="Moneda 10 2 5 2" xfId="328" xr:uid="{00000000-0005-0000-0000-0000C7010000}"/>
    <cellStyle name="Moneda 10 2 6" xfId="329" xr:uid="{00000000-0005-0000-0000-0000C8010000}"/>
    <cellStyle name="Moneda 10 2 6 2" xfId="330" xr:uid="{00000000-0005-0000-0000-0000C9010000}"/>
    <cellStyle name="Moneda 10 2 7" xfId="331" xr:uid="{00000000-0005-0000-0000-0000CA010000}"/>
    <cellStyle name="Moneda 10 2 8" xfId="332" xr:uid="{00000000-0005-0000-0000-0000CB010000}"/>
    <cellStyle name="Moneda 10 3" xfId="333" xr:uid="{00000000-0005-0000-0000-0000CC010000}"/>
    <cellStyle name="Moneda 10 3 2" xfId="334" xr:uid="{00000000-0005-0000-0000-0000CD010000}"/>
    <cellStyle name="Moneda 10 3 2 2" xfId="335" xr:uid="{00000000-0005-0000-0000-0000CE010000}"/>
    <cellStyle name="Moneda 10 3 2 2 2" xfId="336" xr:uid="{00000000-0005-0000-0000-0000CF010000}"/>
    <cellStyle name="Moneda 10 3 2 2 2 2" xfId="337" xr:uid="{00000000-0005-0000-0000-0000D0010000}"/>
    <cellStyle name="Moneda 10 3 2 2 3" xfId="338" xr:uid="{00000000-0005-0000-0000-0000D1010000}"/>
    <cellStyle name="Moneda 10 3 2 2 3 2" xfId="339" xr:uid="{00000000-0005-0000-0000-0000D2010000}"/>
    <cellStyle name="Moneda 10 3 2 2 4" xfId="340" xr:uid="{00000000-0005-0000-0000-0000D3010000}"/>
    <cellStyle name="Moneda 10 3 2 2 4 2" xfId="341" xr:uid="{00000000-0005-0000-0000-0000D4010000}"/>
    <cellStyle name="Moneda 10 3 2 2 5" xfId="342" xr:uid="{00000000-0005-0000-0000-0000D5010000}"/>
    <cellStyle name="Moneda 10 3 2 3" xfId="343" xr:uid="{00000000-0005-0000-0000-0000D6010000}"/>
    <cellStyle name="Moneda 10 3 2 3 2" xfId="344" xr:uid="{00000000-0005-0000-0000-0000D7010000}"/>
    <cellStyle name="Moneda 10 3 2 4" xfId="345" xr:uid="{00000000-0005-0000-0000-0000D8010000}"/>
    <cellStyle name="Moneda 10 3 2 4 2" xfId="346" xr:uid="{00000000-0005-0000-0000-0000D9010000}"/>
    <cellStyle name="Moneda 10 3 2 5" xfId="347" xr:uid="{00000000-0005-0000-0000-0000DA010000}"/>
    <cellStyle name="Moneda 10 3 2 5 2" xfId="348" xr:uid="{00000000-0005-0000-0000-0000DB010000}"/>
    <cellStyle name="Moneda 10 3 2 6" xfId="349" xr:uid="{00000000-0005-0000-0000-0000DC010000}"/>
    <cellStyle name="Moneda 10 3 3" xfId="350" xr:uid="{00000000-0005-0000-0000-0000DD010000}"/>
    <cellStyle name="Moneda 10 3 3 2" xfId="351" xr:uid="{00000000-0005-0000-0000-0000DE010000}"/>
    <cellStyle name="Moneda 10 3 3 2 2" xfId="352" xr:uid="{00000000-0005-0000-0000-0000DF010000}"/>
    <cellStyle name="Moneda 10 3 3 3" xfId="353" xr:uid="{00000000-0005-0000-0000-0000E0010000}"/>
    <cellStyle name="Moneda 10 3 3 3 2" xfId="354" xr:uid="{00000000-0005-0000-0000-0000E1010000}"/>
    <cellStyle name="Moneda 10 3 3 4" xfId="355" xr:uid="{00000000-0005-0000-0000-0000E2010000}"/>
    <cellStyle name="Moneda 10 3 3 4 2" xfId="356" xr:uid="{00000000-0005-0000-0000-0000E3010000}"/>
    <cellStyle name="Moneda 10 3 3 5" xfId="357" xr:uid="{00000000-0005-0000-0000-0000E4010000}"/>
    <cellStyle name="Moneda 10 3 4" xfId="358" xr:uid="{00000000-0005-0000-0000-0000E5010000}"/>
    <cellStyle name="Moneda 10 3 4 2" xfId="359" xr:uid="{00000000-0005-0000-0000-0000E6010000}"/>
    <cellStyle name="Moneda 10 3 5" xfId="360" xr:uid="{00000000-0005-0000-0000-0000E7010000}"/>
    <cellStyle name="Moneda 10 3 5 2" xfId="361" xr:uid="{00000000-0005-0000-0000-0000E8010000}"/>
    <cellStyle name="Moneda 10 3 6" xfId="362" xr:uid="{00000000-0005-0000-0000-0000E9010000}"/>
    <cellStyle name="Moneda 10 3 6 2" xfId="363" xr:uid="{00000000-0005-0000-0000-0000EA010000}"/>
    <cellStyle name="Moneda 10 3 7" xfId="364" xr:uid="{00000000-0005-0000-0000-0000EB010000}"/>
    <cellStyle name="Moneda 10 4" xfId="365" xr:uid="{00000000-0005-0000-0000-0000EC010000}"/>
    <cellStyle name="Moneda 10 4 2" xfId="366" xr:uid="{00000000-0005-0000-0000-0000ED010000}"/>
    <cellStyle name="Moneda 10 4 2 2" xfId="367" xr:uid="{00000000-0005-0000-0000-0000EE010000}"/>
    <cellStyle name="Moneda 10 4 2 2 2" xfId="368" xr:uid="{00000000-0005-0000-0000-0000EF010000}"/>
    <cellStyle name="Moneda 10 4 2 2 2 2" xfId="369" xr:uid="{00000000-0005-0000-0000-0000F0010000}"/>
    <cellStyle name="Moneda 10 4 2 2 3" xfId="370" xr:uid="{00000000-0005-0000-0000-0000F1010000}"/>
    <cellStyle name="Moneda 10 4 2 2 3 2" xfId="371" xr:uid="{00000000-0005-0000-0000-0000F2010000}"/>
    <cellStyle name="Moneda 10 4 2 2 4" xfId="372" xr:uid="{00000000-0005-0000-0000-0000F3010000}"/>
    <cellStyle name="Moneda 10 4 2 2 4 2" xfId="373" xr:uid="{00000000-0005-0000-0000-0000F4010000}"/>
    <cellStyle name="Moneda 10 4 2 2 5" xfId="374" xr:uid="{00000000-0005-0000-0000-0000F5010000}"/>
    <cellStyle name="Moneda 10 4 2 3" xfId="375" xr:uid="{00000000-0005-0000-0000-0000F6010000}"/>
    <cellStyle name="Moneda 10 4 2 3 2" xfId="376" xr:uid="{00000000-0005-0000-0000-0000F7010000}"/>
    <cellStyle name="Moneda 10 4 2 4" xfId="377" xr:uid="{00000000-0005-0000-0000-0000F8010000}"/>
    <cellStyle name="Moneda 10 4 2 4 2" xfId="378" xr:uid="{00000000-0005-0000-0000-0000F9010000}"/>
    <cellStyle name="Moneda 10 4 2 5" xfId="379" xr:uid="{00000000-0005-0000-0000-0000FA010000}"/>
    <cellStyle name="Moneda 10 4 2 5 2" xfId="380" xr:uid="{00000000-0005-0000-0000-0000FB010000}"/>
    <cellStyle name="Moneda 10 4 2 6" xfId="381" xr:uid="{00000000-0005-0000-0000-0000FC010000}"/>
    <cellStyle name="Moneda 10 4 3" xfId="382" xr:uid="{00000000-0005-0000-0000-0000FD010000}"/>
    <cellStyle name="Moneda 10 4 3 2" xfId="383" xr:uid="{00000000-0005-0000-0000-0000FE010000}"/>
    <cellStyle name="Moneda 10 4 3 2 2" xfId="384" xr:uid="{00000000-0005-0000-0000-0000FF010000}"/>
    <cellStyle name="Moneda 10 4 3 3" xfId="385" xr:uid="{00000000-0005-0000-0000-000000020000}"/>
    <cellStyle name="Moneda 10 4 3 3 2" xfId="386" xr:uid="{00000000-0005-0000-0000-000001020000}"/>
    <cellStyle name="Moneda 10 4 3 4" xfId="387" xr:uid="{00000000-0005-0000-0000-000002020000}"/>
    <cellStyle name="Moneda 10 4 3 4 2" xfId="388" xr:uid="{00000000-0005-0000-0000-000003020000}"/>
    <cellStyle name="Moneda 10 4 3 5" xfId="389" xr:uid="{00000000-0005-0000-0000-000004020000}"/>
    <cellStyle name="Moneda 10 4 4" xfId="390" xr:uid="{00000000-0005-0000-0000-000005020000}"/>
    <cellStyle name="Moneda 10 4 4 2" xfId="391" xr:uid="{00000000-0005-0000-0000-000006020000}"/>
    <cellStyle name="Moneda 10 4 5" xfId="392" xr:uid="{00000000-0005-0000-0000-000007020000}"/>
    <cellStyle name="Moneda 10 4 5 2" xfId="393" xr:uid="{00000000-0005-0000-0000-000008020000}"/>
    <cellStyle name="Moneda 10 4 6" xfId="394" xr:uid="{00000000-0005-0000-0000-000009020000}"/>
    <cellStyle name="Moneda 10 4 6 2" xfId="395" xr:uid="{00000000-0005-0000-0000-00000A020000}"/>
    <cellStyle name="Moneda 10 4 7" xfId="396" xr:uid="{00000000-0005-0000-0000-00000B020000}"/>
    <cellStyle name="Moneda 10 5" xfId="397" xr:uid="{00000000-0005-0000-0000-00000C020000}"/>
    <cellStyle name="Moneda 10 5 2" xfId="398" xr:uid="{00000000-0005-0000-0000-00000D020000}"/>
    <cellStyle name="Moneda 10 5 2 2" xfId="399" xr:uid="{00000000-0005-0000-0000-00000E020000}"/>
    <cellStyle name="Moneda 10 5 2 2 2" xfId="400" xr:uid="{00000000-0005-0000-0000-00000F020000}"/>
    <cellStyle name="Moneda 10 5 2 3" xfId="401" xr:uid="{00000000-0005-0000-0000-000010020000}"/>
    <cellStyle name="Moneda 10 5 2 3 2" xfId="402" xr:uid="{00000000-0005-0000-0000-000011020000}"/>
    <cellStyle name="Moneda 10 5 2 4" xfId="403" xr:uid="{00000000-0005-0000-0000-000012020000}"/>
    <cellStyle name="Moneda 10 5 2 4 2" xfId="404" xr:uid="{00000000-0005-0000-0000-000013020000}"/>
    <cellStyle name="Moneda 10 5 2 5" xfId="405" xr:uid="{00000000-0005-0000-0000-000014020000}"/>
    <cellStyle name="Moneda 10 5 3" xfId="406" xr:uid="{00000000-0005-0000-0000-000015020000}"/>
    <cellStyle name="Moneda 10 5 3 2" xfId="407" xr:uid="{00000000-0005-0000-0000-000016020000}"/>
    <cellStyle name="Moneda 10 5 4" xfId="408" xr:uid="{00000000-0005-0000-0000-000017020000}"/>
    <cellStyle name="Moneda 10 5 4 2" xfId="409" xr:uid="{00000000-0005-0000-0000-000018020000}"/>
    <cellStyle name="Moneda 10 5 5" xfId="410" xr:uid="{00000000-0005-0000-0000-000019020000}"/>
    <cellStyle name="Moneda 10 5 5 2" xfId="411" xr:uid="{00000000-0005-0000-0000-00001A020000}"/>
    <cellStyle name="Moneda 10 5 6" xfId="412" xr:uid="{00000000-0005-0000-0000-00001B020000}"/>
    <cellStyle name="Moneda 10 6" xfId="413" xr:uid="{00000000-0005-0000-0000-00001C020000}"/>
    <cellStyle name="Moneda 10 6 2" xfId="414" xr:uid="{00000000-0005-0000-0000-00001D020000}"/>
    <cellStyle name="Moneda 10 6 2 2" xfId="415" xr:uid="{00000000-0005-0000-0000-00001E020000}"/>
    <cellStyle name="Moneda 10 6 3" xfId="416" xr:uid="{00000000-0005-0000-0000-00001F020000}"/>
    <cellStyle name="Moneda 10 6 3 2" xfId="417" xr:uid="{00000000-0005-0000-0000-000020020000}"/>
    <cellStyle name="Moneda 10 6 4" xfId="418" xr:uid="{00000000-0005-0000-0000-000021020000}"/>
    <cellStyle name="Moneda 10 6 4 2" xfId="419" xr:uid="{00000000-0005-0000-0000-000022020000}"/>
    <cellStyle name="Moneda 10 6 5" xfId="420" xr:uid="{00000000-0005-0000-0000-000023020000}"/>
    <cellStyle name="Moneda 10 7" xfId="421" xr:uid="{00000000-0005-0000-0000-000024020000}"/>
    <cellStyle name="Moneda 10 7 2" xfId="422" xr:uid="{00000000-0005-0000-0000-000025020000}"/>
    <cellStyle name="Moneda 10 8" xfId="423" xr:uid="{00000000-0005-0000-0000-000026020000}"/>
    <cellStyle name="Moneda 10 8 2" xfId="424" xr:uid="{00000000-0005-0000-0000-000027020000}"/>
    <cellStyle name="Moneda 10 9" xfId="425" xr:uid="{00000000-0005-0000-0000-000028020000}"/>
    <cellStyle name="Moneda 10 9 2" xfId="426" xr:uid="{00000000-0005-0000-0000-000029020000}"/>
    <cellStyle name="Moneda 11" xfId="427" xr:uid="{00000000-0005-0000-0000-00002A020000}"/>
    <cellStyle name="Moneda 11 10" xfId="428" xr:uid="{00000000-0005-0000-0000-00002B020000}"/>
    <cellStyle name="Moneda 11 11" xfId="429" xr:uid="{00000000-0005-0000-0000-00002C020000}"/>
    <cellStyle name="Moneda 11 2" xfId="430" xr:uid="{00000000-0005-0000-0000-00002D020000}"/>
    <cellStyle name="Moneda 11 2 2" xfId="431" xr:uid="{00000000-0005-0000-0000-00002E020000}"/>
    <cellStyle name="Moneda 11 2 2 2" xfId="432" xr:uid="{00000000-0005-0000-0000-00002F020000}"/>
    <cellStyle name="Moneda 11 2 2 2 2" xfId="433" xr:uid="{00000000-0005-0000-0000-000030020000}"/>
    <cellStyle name="Moneda 11 2 2 2 2 2" xfId="434" xr:uid="{00000000-0005-0000-0000-000031020000}"/>
    <cellStyle name="Moneda 11 2 2 2 3" xfId="435" xr:uid="{00000000-0005-0000-0000-000032020000}"/>
    <cellStyle name="Moneda 11 2 2 2 3 2" xfId="436" xr:uid="{00000000-0005-0000-0000-000033020000}"/>
    <cellStyle name="Moneda 11 2 2 2 4" xfId="437" xr:uid="{00000000-0005-0000-0000-000034020000}"/>
    <cellStyle name="Moneda 11 2 2 2 4 2" xfId="438" xr:uid="{00000000-0005-0000-0000-000035020000}"/>
    <cellStyle name="Moneda 11 2 2 2 5" xfId="439" xr:uid="{00000000-0005-0000-0000-000036020000}"/>
    <cellStyle name="Moneda 11 2 2 3" xfId="440" xr:uid="{00000000-0005-0000-0000-000037020000}"/>
    <cellStyle name="Moneda 11 2 2 3 2" xfId="441" xr:uid="{00000000-0005-0000-0000-000038020000}"/>
    <cellStyle name="Moneda 11 2 2 4" xfId="442" xr:uid="{00000000-0005-0000-0000-000039020000}"/>
    <cellStyle name="Moneda 11 2 2 4 2" xfId="443" xr:uid="{00000000-0005-0000-0000-00003A020000}"/>
    <cellStyle name="Moneda 11 2 2 5" xfId="444" xr:uid="{00000000-0005-0000-0000-00003B020000}"/>
    <cellStyle name="Moneda 11 2 2 5 2" xfId="445" xr:uid="{00000000-0005-0000-0000-00003C020000}"/>
    <cellStyle name="Moneda 11 2 2 6" xfId="446" xr:uid="{00000000-0005-0000-0000-00003D020000}"/>
    <cellStyle name="Moneda 11 2 3" xfId="447" xr:uid="{00000000-0005-0000-0000-00003E020000}"/>
    <cellStyle name="Moneda 11 2 3 2" xfId="448" xr:uid="{00000000-0005-0000-0000-00003F020000}"/>
    <cellStyle name="Moneda 11 2 3 2 2" xfId="449" xr:uid="{00000000-0005-0000-0000-000040020000}"/>
    <cellStyle name="Moneda 11 2 3 3" xfId="450" xr:uid="{00000000-0005-0000-0000-000041020000}"/>
    <cellStyle name="Moneda 11 2 3 3 2" xfId="451" xr:uid="{00000000-0005-0000-0000-000042020000}"/>
    <cellStyle name="Moneda 11 2 3 4" xfId="452" xr:uid="{00000000-0005-0000-0000-000043020000}"/>
    <cellStyle name="Moneda 11 2 3 4 2" xfId="453" xr:uid="{00000000-0005-0000-0000-000044020000}"/>
    <cellStyle name="Moneda 11 2 3 5" xfId="454" xr:uid="{00000000-0005-0000-0000-000045020000}"/>
    <cellStyle name="Moneda 11 2 4" xfId="455" xr:uid="{00000000-0005-0000-0000-000046020000}"/>
    <cellStyle name="Moneda 11 2 4 2" xfId="456" xr:uid="{00000000-0005-0000-0000-000047020000}"/>
    <cellStyle name="Moneda 11 2 5" xfId="457" xr:uid="{00000000-0005-0000-0000-000048020000}"/>
    <cellStyle name="Moneda 11 2 5 2" xfId="458" xr:uid="{00000000-0005-0000-0000-000049020000}"/>
    <cellStyle name="Moneda 11 2 6" xfId="459" xr:uid="{00000000-0005-0000-0000-00004A020000}"/>
    <cellStyle name="Moneda 11 2 6 2" xfId="460" xr:uid="{00000000-0005-0000-0000-00004B020000}"/>
    <cellStyle name="Moneda 11 2 7" xfId="461" xr:uid="{00000000-0005-0000-0000-00004C020000}"/>
    <cellStyle name="Moneda 11 2 8" xfId="462" xr:uid="{00000000-0005-0000-0000-00004D020000}"/>
    <cellStyle name="Moneda 11 3" xfId="463" xr:uid="{00000000-0005-0000-0000-00004E020000}"/>
    <cellStyle name="Moneda 11 3 2" xfId="464" xr:uid="{00000000-0005-0000-0000-00004F020000}"/>
    <cellStyle name="Moneda 11 3 2 2" xfId="465" xr:uid="{00000000-0005-0000-0000-000050020000}"/>
    <cellStyle name="Moneda 11 3 2 2 2" xfId="466" xr:uid="{00000000-0005-0000-0000-000051020000}"/>
    <cellStyle name="Moneda 11 3 2 2 2 2" xfId="467" xr:uid="{00000000-0005-0000-0000-000052020000}"/>
    <cellStyle name="Moneda 11 3 2 2 3" xfId="468" xr:uid="{00000000-0005-0000-0000-000053020000}"/>
    <cellStyle name="Moneda 11 3 2 2 3 2" xfId="469" xr:uid="{00000000-0005-0000-0000-000054020000}"/>
    <cellStyle name="Moneda 11 3 2 2 4" xfId="470" xr:uid="{00000000-0005-0000-0000-000055020000}"/>
    <cellStyle name="Moneda 11 3 2 2 4 2" xfId="471" xr:uid="{00000000-0005-0000-0000-000056020000}"/>
    <cellStyle name="Moneda 11 3 2 2 5" xfId="472" xr:uid="{00000000-0005-0000-0000-000057020000}"/>
    <cellStyle name="Moneda 11 3 2 3" xfId="473" xr:uid="{00000000-0005-0000-0000-000058020000}"/>
    <cellStyle name="Moneda 11 3 2 3 2" xfId="474" xr:uid="{00000000-0005-0000-0000-000059020000}"/>
    <cellStyle name="Moneda 11 3 2 4" xfId="475" xr:uid="{00000000-0005-0000-0000-00005A020000}"/>
    <cellStyle name="Moneda 11 3 2 4 2" xfId="476" xr:uid="{00000000-0005-0000-0000-00005B020000}"/>
    <cellStyle name="Moneda 11 3 2 5" xfId="477" xr:uid="{00000000-0005-0000-0000-00005C020000}"/>
    <cellStyle name="Moneda 11 3 2 5 2" xfId="478" xr:uid="{00000000-0005-0000-0000-00005D020000}"/>
    <cellStyle name="Moneda 11 3 2 6" xfId="479" xr:uid="{00000000-0005-0000-0000-00005E020000}"/>
    <cellStyle name="Moneda 11 3 3" xfId="480" xr:uid="{00000000-0005-0000-0000-00005F020000}"/>
    <cellStyle name="Moneda 11 3 3 2" xfId="481" xr:uid="{00000000-0005-0000-0000-000060020000}"/>
    <cellStyle name="Moneda 11 3 3 2 2" xfId="482" xr:uid="{00000000-0005-0000-0000-000061020000}"/>
    <cellStyle name="Moneda 11 3 3 3" xfId="483" xr:uid="{00000000-0005-0000-0000-000062020000}"/>
    <cellStyle name="Moneda 11 3 3 3 2" xfId="484" xr:uid="{00000000-0005-0000-0000-000063020000}"/>
    <cellStyle name="Moneda 11 3 3 4" xfId="485" xr:uid="{00000000-0005-0000-0000-000064020000}"/>
    <cellStyle name="Moneda 11 3 3 4 2" xfId="486" xr:uid="{00000000-0005-0000-0000-000065020000}"/>
    <cellStyle name="Moneda 11 3 3 5" xfId="487" xr:uid="{00000000-0005-0000-0000-000066020000}"/>
    <cellStyle name="Moneda 11 3 4" xfId="488" xr:uid="{00000000-0005-0000-0000-000067020000}"/>
    <cellStyle name="Moneda 11 3 4 2" xfId="489" xr:uid="{00000000-0005-0000-0000-000068020000}"/>
    <cellStyle name="Moneda 11 3 5" xfId="490" xr:uid="{00000000-0005-0000-0000-000069020000}"/>
    <cellStyle name="Moneda 11 3 5 2" xfId="491" xr:uid="{00000000-0005-0000-0000-00006A020000}"/>
    <cellStyle name="Moneda 11 3 6" xfId="492" xr:uid="{00000000-0005-0000-0000-00006B020000}"/>
    <cellStyle name="Moneda 11 3 6 2" xfId="493" xr:uid="{00000000-0005-0000-0000-00006C020000}"/>
    <cellStyle name="Moneda 11 3 7" xfId="494" xr:uid="{00000000-0005-0000-0000-00006D020000}"/>
    <cellStyle name="Moneda 11 4" xfId="495" xr:uid="{00000000-0005-0000-0000-00006E020000}"/>
    <cellStyle name="Moneda 11 4 2" xfId="496" xr:uid="{00000000-0005-0000-0000-00006F020000}"/>
    <cellStyle name="Moneda 11 4 2 2" xfId="497" xr:uid="{00000000-0005-0000-0000-000070020000}"/>
    <cellStyle name="Moneda 11 4 2 2 2" xfId="498" xr:uid="{00000000-0005-0000-0000-000071020000}"/>
    <cellStyle name="Moneda 11 4 2 2 2 2" xfId="499" xr:uid="{00000000-0005-0000-0000-000072020000}"/>
    <cellStyle name="Moneda 11 4 2 2 3" xfId="500" xr:uid="{00000000-0005-0000-0000-000073020000}"/>
    <cellStyle name="Moneda 11 4 2 2 3 2" xfId="501" xr:uid="{00000000-0005-0000-0000-000074020000}"/>
    <cellStyle name="Moneda 11 4 2 2 4" xfId="502" xr:uid="{00000000-0005-0000-0000-000075020000}"/>
    <cellStyle name="Moneda 11 4 2 2 4 2" xfId="503" xr:uid="{00000000-0005-0000-0000-000076020000}"/>
    <cellStyle name="Moneda 11 4 2 2 5" xfId="504" xr:uid="{00000000-0005-0000-0000-000077020000}"/>
    <cellStyle name="Moneda 11 4 2 3" xfId="505" xr:uid="{00000000-0005-0000-0000-000078020000}"/>
    <cellStyle name="Moneda 11 4 2 3 2" xfId="506" xr:uid="{00000000-0005-0000-0000-000079020000}"/>
    <cellStyle name="Moneda 11 4 2 4" xfId="507" xr:uid="{00000000-0005-0000-0000-00007A020000}"/>
    <cellStyle name="Moneda 11 4 2 4 2" xfId="508" xr:uid="{00000000-0005-0000-0000-00007B020000}"/>
    <cellStyle name="Moneda 11 4 2 5" xfId="509" xr:uid="{00000000-0005-0000-0000-00007C020000}"/>
    <cellStyle name="Moneda 11 4 2 5 2" xfId="510" xr:uid="{00000000-0005-0000-0000-00007D020000}"/>
    <cellStyle name="Moneda 11 4 2 6" xfId="511" xr:uid="{00000000-0005-0000-0000-00007E020000}"/>
    <cellStyle name="Moneda 11 4 3" xfId="512" xr:uid="{00000000-0005-0000-0000-00007F020000}"/>
    <cellStyle name="Moneda 11 4 3 2" xfId="513" xr:uid="{00000000-0005-0000-0000-000080020000}"/>
    <cellStyle name="Moneda 11 4 3 2 2" xfId="514" xr:uid="{00000000-0005-0000-0000-000081020000}"/>
    <cellStyle name="Moneda 11 4 3 3" xfId="515" xr:uid="{00000000-0005-0000-0000-000082020000}"/>
    <cellStyle name="Moneda 11 4 3 3 2" xfId="516" xr:uid="{00000000-0005-0000-0000-000083020000}"/>
    <cellStyle name="Moneda 11 4 3 4" xfId="517" xr:uid="{00000000-0005-0000-0000-000084020000}"/>
    <cellStyle name="Moneda 11 4 3 4 2" xfId="518" xr:uid="{00000000-0005-0000-0000-000085020000}"/>
    <cellStyle name="Moneda 11 4 3 5" xfId="519" xr:uid="{00000000-0005-0000-0000-000086020000}"/>
    <cellStyle name="Moneda 11 4 4" xfId="520" xr:uid="{00000000-0005-0000-0000-000087020000}"/>
    <cellStyle name="Moneda 11 4 4 2" xfId="521" xr:uid="{00000000-0005-0000-0000-000088020000}"/>
    <cellStyle name="Moneda 11 4 5" xfId="522" xr:uid="{00000000-0005-0000-0000-000089020000}"/>
    <cellStyle name="Moneda 11 4 5 2" xfId="523" xr:uid="{00000000-0005-0000-0000-00008A020000}"/>
    <cellStyle name="Moneda 11 4 6" xfId="524" xr:uid="{00000000-0005-0000-0000-00008B020000}"/>
    <cellStyle name="Moneda 11 4 6 2" xfId="525" xr:uid="{00000000-0005-0000-0000-00008C020000}"/>
    <cellStyle name="Moneda 11 4 7" xfId="526" xr:uid="{00000000-0005-0000-0000-00008D020000}"/>
    <cellStyle name="Moneda 11 5" xfId="527" xr:uid="{00000000-0005-0000-0000-00008E020000}"/>
    <cellStyle name="Moneda 11 5 2" xfId="528" xr:uid="{00000000-0005-0000-0000-00008F020000}"/>
    <cellStyle name="Moneda 11 5 2 2" xfId="529" xr:uid="{00000000-0005-0000-0000-000090020000}"/>
    <cellStyle name="Moneda 11 5 2 2 2" xfId="530" xr:uid="{00000000-0005-0000-0000-000091020000}"/>
    <cellStyle name="Moneda 11 5 2 3" xfId="531" xr:uid="{00000000-0005-0000-0000-000092020000}"/>
    <cellStyle name="Moneda 11 5 2 3 2" xfId="532" xr:uid="{00000000-0005-0000-0000-000093020000}"/>
    <cellStyle name="Moneda 11 5 2 4" xfId="533" xr:uid="{00000000-0005-0000-0000-000094020000}"/>
    <cellStyle name="Moneda 11 5 2 4 2" xfId="534" xr:uid="{00000000-0005-0000-0000-000095020000}"/>
    <cellStyle name="Moneda 11 5 2 5" xfId="535" xr:uid="{00000000-0005-0000-0000-000096020000}"/>
    <cellStyle name="Moneda 11 5 3" xfId="536" xr:uid="{00000000-0005-0000-0000-000097020000}"/>
    <cellStyle name="Moneda 11 5 3 2" xfId="537" xr:uid="{00000000-0005-0000-0000-000098020000}"/>
    <cellStyle name="Moneda 11 5 4" xfId="538" xr:uid="{00000000-0005-0000-0000-000099020000}"/>
    <cellStyle name="Moneda 11 5 4 2" xfId="539" xr:uid="{00000000-0005-0000-0000-00009A020000}"/>
    <cellStyle name="Moneda 11 5 5" xfId="540" xr:uid="{00000000-0005-0000-0000-00009B020000}"/>
    <cellStyle name="Moneda 11 5 5 2" xfId="541" xr:uid="{00000000-0005-0000-0000-00009C020000}"/>
    <cellStyle name="Moneda 11 5 6" xfId="542" xr:uid="{00000000-0005-0000-0000-00009D020000}"/>
    <cellStyle name="Moneda 11 6" xfId="543" xr:uid="{00000000-0005-0000-0000-00009E020000}"/>
    <cellStyle name="Moneda 11 6 2" xfId="544" xr:uid="{00000000-0005-0000-0000-00009F020000}"/>
    <cellStyle name="Moneda 11 6 2 2" xfId="545" xr:uid="{00000000-0005-0000-0000-0000A0020000}"/>
    <cellStyle name="Moneda 11 6 3" xfId="546" xr:uid="{00000000-0005-0000-0000-0000A1020000}"/>
    <cellStyle name="Moneda 11 6 3 2" xfId="547" xr:uid="{00000000-0005-0000-0000-0000A2020000}"/>
    <cellStyle name="Moneda 11 6 4" xfId="548" xr:uid="{00000000-0005-0000-0000-0000A3020000}"/>
    <cellStyle name="Moneda 11 6 4 2" xfId="549" xr:uid="{00000000-0005-0000-0000-0000A4020000}"/>
    <cellStyle name="Moneda 11 6 5" xfId="550" xr:uid="{00000000-0005-0000-0000-0000A5020000}"/>
    <cellStyle name="Moneda 11 7" xfId="551" xr:uid="{00000000-0005-0000-0000-0000A6020000}"/>
    <cellStyle name="Moneda 11 7 2" xfId="552" xr:uid="{00000000-0005-0000-0000-0000A7020000}"/>
    <cellStyle name="Moneda 11 8" xfId="553" xr:uid="{00000000-0005-0000-0000-0000A8020000}"/>
    <cellStyle name="Moneda 11 8 2" xfId="554" xr:uid="{00000000-0005-0000-0000-0000A9020000}"/>
    <cellStyle name="Moneda 11 9" xfId="555" xr:uid="{00000000-0005-0000-0000-0000AA020000}"/>
    <cellStyle name="Moneda 11 9 2" xfId="556" xr:uid="{00000000-0005-0000-0000-0000AB020000}"/>
    <cellStyle name="Moneda 12" xfId="557" xr:uid="{00000000-0005-0000-0000-0000AC020000}"/>
    <cellStyle name="Moneda 12 2" xfId="558" xr:uid="{00000000-0005-0000-0000-0000AD020000}"/>
    <cellStyle name="Moneda 12 2 2" xfId="559" xr:uid="{00000000-0005-0000-0000-0000AE020000}"/>
    <cellStyle name="Moneda 12 2 2 2" xfId="560" xr:uid="{00000000-0005-0000-0000-0000AF020000}"/>
    <cellStyle name="Moneda 12 2 2 2 2" xfId="561" xr:uid="{00000000-0005-0000-0000-0000B0020000}"/>
    <cellStyle name="Moneda 12 2 2 2 2 2" xfId="562" xr:uid="{00000000-0005-0000-0000-0000B1020000}"/>
    <cellStyle name="Moneda 12 2 2 2 3" xfId="563" xr:uid="{00000000-0005-0000-0000-0000B2020000}"/>
    <cellStyle name="Moneda 12 2 2 2 3 2" xfId="564" xr:uid="{00000000-0005-0000-0000-0000B3020000}"/>
    <cellStyle name="Moneda 12 2 2 2 4" xfId="565" xr:uid="{00000000-0005-0000-0000-0000B4020000}"/>
    <cellStyle name="Moneda 12 2 2 2 4 2" xfId="566" xr:uid="{00000000-0005-0000-0000-0000B5020000}"/>
    <cellStyle name="Moneda 12 2 2 2 5" xfId="567" xr:uid="{00000000-0005-0000-0000-0000B6020000}"/>
    <cellStyle name="Moneda 12 2 2 3" xfId="568" xr:uid="{00000000-0005-0000-0000-0000B7020000}"/>
    <cellStyle name="Moneda 12 2 2 3 2" xfId="569" xr:uid="{00000000-0005-0000-0000-0000B8020000}"/>
    <cellStyle name="Moneda 12 2 2 4" xfId="570" xr:uid="{00000000-0005-0000-0000-0000B9020000}"/>
    <cellStyle name="Moneda 12 2 2 4 2" xfId="571" xr:uid="{00000000-0005-0000-0000-0000BA020000}"/>
    <cellStyle name="Moneda 12 2 2 5" xfId="572" xr:uid="{00000000-0005-0000-0000-0000BB020000}"/>
    <cellStyle name="Moneda 12 2 2 5 2" xfId="573" xr:uid="{00000000-0005-0000-0000-0000BC020000}"/>
    <cellStyle name="Moneda 12 2 2 6" xfId="574" xr:uid="{00000000-0005-0000-0000-0000BD020000}"/>
    <cellStyle name="Moneda 12 2 3" xfId="575" xr:uid="{00000000-0005-0000-0000-0000BE020000}"/>
    <cellStyle name="Moneda 12 2 3 2" xfId="576" xr:uid="{00000000-0005-0000-0000-0000BF020000}"/>
    <cellStyle name="Moneda 12 2 3 2 2" xfId="577" xr:uid="{00000000-0005-0000-0000-0000C0020000}"/>
    <cellStyle name="Moneda 12 2 3 3" xfId="578" xr:uid="{00000000-0005-0000-0000-0000C1020000}"/>
    <cellStyle name="Moneda 12 2 3 3 2" xfId="579" xr:uid="{00000000-0005-0000-0000-0000C2020000}"/>
    <cellStyle name="Moneda 12 2 3 4" xfId="580" xr:uid="{00000000-0005-0000-0000-0000C3020000}"/>
    <cellStyle name="Moneda 12 2 3 4 2" xfId="581" xr:uid="{00000000-0005-0000-0000-0000C4020000}"/>
    <cellStyle name="Moneda 12 2 3 5" xfId="582" xr:uid="{00000000-0005-0000-0000-0000C5020000}"/>
    <cellStyle name="Moneda 12 2 4" xfId="583" xr:uid="{00000000-0005-0000-0000-0000C6020000}"/>
    <cellStyle name="Moneda 12 2 4 2" xfId="584" xr:uid="{00000000-0005-0000-0000-0000C7020000}"/>
    <cellStyle name="Moneda 12 2 5" xfId="585" xr:uid="{00000000-0005-0000-0000-0000C8020000}"/>
    <cellStyle name="Moneda 12 2 5 2" xfId="586" xr:uid="{00000000-0005-0000-0000-0000C9020000}"/>
    <cellStyle name="Moneda 12 2 6" xfId="587" xr:uid="{00000000-0005-0000-0000-0000CA020000}"/>
    <cellStyle name="Moneda 12 2 6 2" xfId="588" xr:uid="{00000000-0005-0000-0000-0000CB020000}"/>
    <cellStyle name="Moneda 12 2 7" xfId="589" xr:uid="{00000000-0005-0000-0000-0000CC020000}"/>
    <cellStyle name="Moneda 12 2 8" xfId="590" xr:uid="{00000000-0005-0000-0000-0000CD020000}"/>
    <cellStyle name="Moneda 12 3" xfId="591" xr:uid="{00000000-0005-0000-0000-0000CE020000}"/>
    <cellStyle name="Moneda 12 3 2" xfId="592" xr:uid="{00000000-0005-0000-0000-0000CF020000}"/>
    <cellStyle name="Moneda 12 3 2 2" xfId="593" xr:uid="{00000000-0005-0000-0000-0000D0020000}"/>
    <cellStyle name="Moneda 12 3 2 2 2" xfId="594" xr:uid="{00000000-0005-0000-0000-0000D1020000}"/>
    <cellStyle name="Moneda 12 3 2 3" xfId="595" xr:uid="{00000000-0005-0000-0000-0000D2020000}"/>
    <cellStyle name="Moneda 12 3 2 3 2" xfId="596" xr:uid="{00000000-0005-0000-0000-0000D3020000}"/>
    <cellStyle name="Moneda 12 3 2 4" xfId="597" xr:uid="{00000000-0005-0000-0000-0000D4020000}"/>
    <cellStyle name="Moneda 12 3 2 4 2" xfId="598" xr:uid="{00000000-0005-0000-0000-0000D5020000}"/>
    <cellStyle name="Moneda 12 3 2 5" xfId="599" xr:uid="{00000000-0005-0000-0000-0000D6020000}"/>
    <cellStyle name="Moneda 12 3 3" xfId="600" xr:uid="{00000000-0005-0000-0000-0000D7020000}"/>
    <cellStyle name="Moneda 12 3 3 2" xfId="601" xr:uid="{00000000-0005-0000-0000-0000D8020000}"/>
    <cellStyle name="Moneda 12 3 4" xfId="602" xr:uid="{00000000-0005-0000-0000-0000D9020000}"/>
    <cellStyle name="Moneda 12 3 4 2" xfId="603" xr:uid="{00000000-0005-0000-0000-0000DA020000}"/>
    <cellStyle name="Moneda 12 3 5" xfId="604" xr:uid="{00000000-0005-0000-0000-0000DB020000}"/>
    <cellStyle name="Moneda 12 3 5 2" xfId="605" xr:uid="{00000000-0005-0000-0000-0000DC020000}"/>
    <cellStyle name="Moneda 12 3 6" xfId="606" xr:uid="{00000000-0005-0000-0000-0000DD020000}"/>
    <cellStyle name="Moneda 12 4" xfId="607" xr:uid="{00000000-0005-0000-0000-0000DE020000}"/>
    <cellStyle name="Moneda 12 4 2" xfId="608" xr:uid="{00000000-0005-0000-0000-0000DF020000}"/>
    <cellStyle name="Moneda 12 4 2 2" xfId="609" xr:uid="{00000000-0005-0000-0000-0000E0020000}"/>
    <cellStyle name="Moneda 12 4 3" xfId="610" xr:uid="{00000000-0005-0000-0000-0000E1020000}"/>
    <cellStyle name="Moneda 12 4 3 2" xfId="611" xr:uid="{00000000-0005-0000-0000-0000E2020000}"/>
    <cellStyle name="Moneda 12 4 4" xfId="612" xr:uid="{00000000-0005-0000-0000-0000E3020000}"/>
    <cellStyle name="Moneda 12 4 4 2" xfId="613" xr:uid="{00000000-0005-0000-0000-0000E4020000}"/>
    <cellStyle name="Moneda 12 4 5" xfId="614" xr:uid="{00000000-0005-0000-0000-0000E5020000}"/>
    <cellStyle name="Moneda 12 5" xfId="615" xr:uid="{00000000-0005-0000-0000-0000E6020000}"/>
    <cellStyle name="Moneda 12 5 2" xfId="616" xr:uid="{00000000-0005-0000-0000-0000E7020000}"/>
    <cellStyle name="Moneda 12 6" xfId="617" xr:uid="{00000000-0005-0000-0000-0000E8020000}"/>
    <cellStyle name="Moneda 12 6 2" xfId="618" xr:uid="{00000000-0005-0000-0000-0000E9020000}"/>
    <cellStyle name="Moneda 12 7" xfId="619" xr:uid="{00000000-0005-0000-0000-0000EA020000}"/>
    <cellStyle name="Moneda 12 7 2" xfId="620" xr:uid="{00000000-0005-0000-0000-0000EB020000}"/>
    <cellStyle name="Moneda 12 8" xfId="621" xr:uid="{00000000-0005-0000-0000-0000EC020000}"/>
    <cellStyle name="Moneda 12 9" xfId="622" xr:uid="{00000000-0005-0000-0000-0000ED020000}"/>
    <cellStyle name="Moneda 13" xfId="623" xr:uid="{00000000-0005-0000-0000-0000EE020000}"/>
    <cellStyle name="Moneda 13 10" xfId="624" xr:uid="{00000000-0005-0000-0000-0000EF020000}"/>
    <cellStyle name="Moneda 13 2" xfId="625" xr:uid="{00000000-0005-0000-0000-0000F0020000}"/>
    <cellStyle name="Moneda 13 2 2" xfId="626" xr:uid="{00000000-0005-0000-0000-0000F1020000}"/>
    <cellStyle name="Moneda 13 2 2 2" xfId="627" xr:uid="{00000000-0005-0000-0000-0000F2020000}"/>
    <cellStyle name="Moneda 13 2 2 2 2" xfId="628" xr:uid="{00000000-0005-0000-0000-0000F3020000}"/>
    <cellStyle name="Moneda 13 2 2 2 2 2" xfId="629" xr:uid="{00000000-0005-0000-0000-0000F4020000}"/>
    <cellStyle name="Moneda 13 2 2 2 3" xfId="630" xr:uid="{00000000-0005-0000-0000-0000F5020000}"/>
    <cellStyle name="Moneda 13 2 2 2 3 2" xfId="631" xr:uid="{00000000-0005-0000-0000-0000F6020000}"/>
    <cellStyle name="Moneda 13 2 2 2 4" xfId="632" xr:uid="{00000000-0005-0000-0000-0000F7020000}"/>
    <cellStyle name="Moneda 13 2 2 2 4 2" xfId="633" xr:uid="{00000000-0005-0000-0000-0000F8020000}"/>
    <cellStyle name="Moneda 13 2 2 2 5" xfId="634" xr:uid="{00000000-0005-0000-0000-0000F9020000}"/>
    <cellStyle name="Moneda 13 2 2 3" xfId="635" xr:uid="{00000000-0005-0000-0000-0000FA020000}"/>
    <cellStyle name="Moneda 13 2 2 3 2" xfId="636" xr:uid="{00000000-0005-0000-0000-0000FB020000}"/>
    <cellStyle name="Moneda 13 2 2 4" xfId="637" xr:uid="{00000000-0005-0000-0000-0000FC020000}"/>
    <cellStyle name="Moneda 13 2 2 4 2" xfId="638" xr:uid="{00000000-0005-0000-0000-0000FD020000}"/>
    <cellStyle name="Moneda 13 2 2 5" xfId="639" xr:uid="{00000000-0005-0000-0000-0000FE020000}"/>
    <cellStyle name="Moneda 13 2 2 5 2" xfId="640" xr:uid="{00000000-0005-0000-0000-0000FF020000}"/>
    <cellStyle name="Moneda 13 2 2 6" xfId="641" xr:uid="{00000000-0005-0000-0000-000000030000}"/>
    <cellStyle name="Moneda 13 2 3" xfId="642" xr:uid="{00000000-0005-0000-0000-000001030000}"/>
    <cellStyle name="Moneda 13 2 3 2" xfId="643" xr:uid="{00000000-0005-0000-0000-000002030000}"/>
    <cellStyle name="Moneda 13 2 3 2 2" xfId="644" xr:uid="{00000000-0005-0000-0000-000003030000}"/>
    <cellStyle name="Moneda 13 2 3 3" xfId="645" xr:uid="{00000000-0005-0000-0000-000004030000}"/>
    <cellStyle name="Moneda 13 2 3 3 2" xfId="646" xr:uid="{00000000-0005-0000-0000-000005030000}"/>
    <cellStyle name="Moneda 13 2 3 4" xfId="647" xr:uid="{00000000-0005-0000-0000-000006030000}"/>
    <cellStyle name="Moneda 13 2 3 4 2" xfId="648" xr:uid="{00000000-0005-0000-0000-000007030000}"/>
    <cellStyle name="Moneda 13 2 3 5" xfId="649" xr:uid="{00000000-0005-0000-0000-000008030000}"/>
    <cellStyle name="Moneda 13 2 4" xfId="650" xr:uid="{00000000-0005-0000-0000-000009030000}"/>
    <cellStyle name="Moneda 13 2 4 2" xfId="651" xr:uid="{00000000-0005-0000-0000-00000A030000}"/>
    <cellStyle name="Moneda 13 2 5" xfId="652" xr:uid="{00000000-0005-0000-0000-00000B030000}"/>
    <cellStyle name="Moneda 13 2 5 2" xfId="653" xr:uid="{00000000-0005-0000-0000-00000C030000}"/>
    <cellStyle name="Moneda 13 2 6" xfId="654" xr:uid="{00000000-0005-0000-0000-00000D030000}"/>
    <cellStyle name="Moneda 13 2 6 2" xfId="655" xr:uid="{00000000-0005-0000-0000-00000E030000}"/>
    <cellStyle name="Moneda 13 2 7" xfId="656" xr:uid="{00000000-0005-0000-0000-00000F030000}"/>
    <cellStyle name="Moneda 13 2 8" xfId="657" xr:uid="{00000000-0005-0000-0000-000010030000}"/>
    <cellStyle name="Moneda 13 3" xfId="658" xr:uid="{00000000-0005-0000-0000-000011030000}"/>
    <cellStyle name="Moneda 13 3 2" xfId="659" xr:uid="{00000000-0005-0000-0000-000012030000}"/>
    <cellStyle name="Moneda 13 3 2 2" xfId="660" xr:uid="{00000000-0005-0000-0000-000013030000}"/>
    <cellStyle name="Moneda 13 3 2 2 2" xfId="661" xr:uid="{00000000-0005-0000-0000-000014030000}"/>
    <cellStyle name="Moneda 13 3 2 3" xfId="662" xr:uid="{00000000-0005-0000-0000-000015030000}"/>
    <cellStyle name="Moneda 13 3 2 3 2" xfId="663" xr:uid="{00000000-0005-0000-0000-000016030000}"/>
    <cellStyle name="Moneda 13 3 2 4" xfId="664" xr:uid="{00000000-0005-0000-0000-000017030000}"/>
    <cellStyle name="Moneda 13 3 2 4 2" xfId="665" xr:uid="{00000000-0005-0000-0000-000018030000}"/>
    <cellStyle name="Moneda 13 3 2 5" xfId="666" xr:uid="{00000000-0005-0000-0000-000019030000}"/>
    <cellStyle name="Moneda 13 3 3" xfId="667" xr:uid="{00000000-0005-0000-0000-00001A030000}"/>
    <cellStyle name="Moneda 13 3 3 2" xfId="668" xr:uid="{00000000-0005-0000-0000-00001B030000}"/>
    <cellStyle name="Moneda 13 3 4" xfId="669" xr:uid="{00000000-0005-0000-0000-00001C030000}"/>
    <cellStyle name="Moneda 13 3 4 2" xfId="670" xr:uid="{00000000-0005-0000-0000-00001D030000}"/>
    <cellStyle name="Moneda 13 3 5" xfId="671" xr:uid="{00000000-0005-0000-0000-00001E030000}"/>
    <cellStyle name="Moneda 13 3 5 2" xfId="672" xr:uid="{00000000-0005-0000-0000-00001F030000}"/>
    <cellStyle name="Moneda 13 3 6" xfId="673" xr:uid="{00000000-0005-0000-0000-000020030000}"/>
    <cellStyle name="Moneda 13 4" xfId="674" xr:uid="{00000000-0005-0000-0000-000021030000}"/>
    <cellStyle name="Moneda 13 4 2" xfId="675" xr:uid="{00000000-0005-0000-0000-000022030000}"/>
    <cellStyle name="Moneda 13 4 2 2" xfId="676" xr:uid="{00000000-0005-0000-0000-000023030000}"/>
    <cellStyle name="Moneda 13 4 3" xfId="677" xr:uid="{00000000-0005-0000-0000-000024030000}"/>
    <cellStyle name="Moneda 13 4 3 2" xfId="678" xr:uid="{00000000-0005-0000-0000-000025030000}"/>
    <cellStyle name="Moneda 13 4 4" xfId="679" xr:uid="{00000000-0005-0000-0000-000026030000}"/>
    <cellStyle name="Moneda 13 4 4 2" xfId="680" xr:uid="{00000000-0005-0000-0000-000027030000}"/>
    <cellStyle name="Moneda 13 4 5" xfId="681" xr:uid="{00000000-0005-0000-0000-000028030000}"/>
    <cellStyle name="Moneda 13 5" xfId="682" xr:uid="{00000000-0005-0000-0000-000029030000}"/>
    <cellStyle name="Moneda 13 5 2" xfId="683" xr:uid="{00000000-0005-0000-0000-00002A030000}"/>
    <cellStyle name="Moneda 13 5 2 2" xfId="684" xr:uid="{00000000-0005-0000-0000-00002B030000}"/>
    <cellStyle name="Moneda 13 5 3" xfId="685" xr:uid="{00000000-0005-0000-0000-00002C030000}"/>
    <cellStyle name="Moneda 13 5 3 2" xfId="686" xr:uid="{00000000-0005-0000-0000-00002D030000}"/>
    <cellStyle name="Moneda 13 5 4" xfId="687" xr:uid="{00000000-0005-0000-0000-00002E030000}"/>
    <cellStyle name="Moneda 13 5 4 2" xfId="688" xr:uid="{00000000-0005-0000-0000-00002F030000}"/>
    <cellStyle name="Moneda 13 5 5" xfId="689" xr:uid="{00000000-0005-0000-0000-000030030000}"/>
    <cellStyle name="Moneda 13 6" xfId="690" xr:uid="{00000000-0005-0000-0000-000031030000}"/>
    <cellStyle name="Moneda 13 6 2" xfId="691" xr:uid="{00000000-0005-0000-0000-000032030000}"/>
    <cellStyle name="Moneda 13 7" xfId="692" xr:uid="{00000000-0005-0000-0000-000033030000}"/>
    <cellStyle name="Moneda 13 7 2" xfId="693" xr:uid="{00000000-0005-0000-0000-000034030000}"/>
    <cellStyle name="Moneda 13 8" xfId="694" xr:uid="{00000000-0005-0000-0000-000035030000}"/>
    <cellStyle name="Moneda 13 8 2" xfId="695" xr:uid="{00000000-0005-0000-0000-000036030000}"/>
    <cellStyle name="Moneda 13 9" xfId="696" xr:uid="{00000000-0005-0000-0000-000037030000}"/>
    <cellStyle name="Moneda 14" xfId="697" xr:uid="{00000000-0005-0000-0000-000038030000}"/>
    <cellStyle name="Moneda 14 2" xfId="698" xr:uid="{00000000-0005-0000-0000-000039030000}"/>
    <cellStyle name="Moneda 14 2 2" xfId="699" xr:uid="{00000000-0005-0000-0000-00003A030000}"/>
    <cellStyle name="Moneda 14 2 2 2" xfId="700" xr:uid="{00000000-0005-0000-0000-00003B030000}"/>
    <cellStyle name="Moneda 14 2 2 2 2" xfId="701" xr:uid="{00000000-0005-0000-0000-00003C030000}"/>
    <cellStyle name="Moneda 14 2 2 2 2 2" xfId="702" xr:uid="{00000000-0005-0000-0000-00003D030000}"/>
    <cellStyle name="Moneda 14 2 2 2 3" xfId="703" xr:uid="{00000000-0005-0000-0000-00003E030000}"/>
    <cellStyle name="Moneda 14 2 2 2 3 2" xfId="704" xr:uid="{00000000-0005-0000-0000-00003F030000}"/>
    <cellStyle name="Moneda 14 2 2 2 4" xfId="705" xr:uid="{00000000-0005-0000-0000-000040030000}"/>
    <cellStyle name="Moneda 14 2 2 2 4 2" xfId="706" xr:uid="{00000000-0005-0000-0000-000041030000}"/>
    <cellStyle name="Moneda 14 2 2 2 5" xfId="707" xr:uid="{00000000-0005-0000-0000-000042030000}"/>
    <cellStyle name="Moneda 14 2 2 3" xfId="708" xr:uid="{00000000-0005-0000-0000-000043030000}"/>
    <cellStyle name="Moneda 14 2 2 3 2" xfId="709" xr:uid="{00000000-0005-0000-0000-000044030000}"/>
    <cellStyle name="Moneda 14 2 2 4" xfId="710" xr:uid="{00000000-0005-0000-0000-000045030000}"/>
    <cellStyle name="Moneda 14 2 2 4 2" xfId="711" xr:uid="{00000000-0005-0000-0000-000046030000}"/>
    <cellStyle name="Moneda 14 2 2 5" xfId="712" xr:uid="{00000000-0005-0000-0000-000047030000}"/>
    <cellStyle name="Moneda 14 2 2 5 2" xfId="713" xr:uid="{00000000-0005-0000-0000-000048030000}"/>
    <cellStyle name="Moneda 14 2 2 6" xfId="714" xr:uid="{00000000-0005-0000-0000-000049030000}"/>
    <cellStyle name="Moneda 14 2 3" xfId="715" xr:uid="{00000000-0005-0000-0000-00004A030000}"/>
    <cellStyle name="Moneda 14 2 3 2" xfId="716" xr:uid="{00000000-0005-0000-0000-00004B030000}"/>
    <cellStyle name="Moneda 14 2 3 2 2" xfId="717" xr:uid="{00000000-0005-0000-0000-00004C030000}"/>
    <cellStyle name="Moneda 14 2 3 3" xfId="718" xr:uid="{00000000-0005-0000-0000-00004D030000}"/>
    <cellStyle name="Moneda 14 2 3 3 2" xfId="719" xr:uid="{00000000-0005-0000-0000-00004E030000}"/>
    <cellStyle name="Moneda 14 2 3 4" xfId="720" xr:uid="{00000000-0005-0000-0000-00004F030000}"/>
    <cellStyle name="Moneda 14 2 3 4 2" xfId="721" xr:uid="{00000000-0005-0000-0000-000050030000}"/>
    <cellStyle name="Moneda 14 2 3 5" xfId="722" xr:uid="{00000000-0005-0000-0000-000051030000}"/>
    <cellStyle name="Moneda 14 2 4" xfId="723" xr:uid="{00000000-0005-0000-0000-000052030000}"/>
    <cellStyle name="Moneda 14 2 4 2" xfId="724" xr:uid="{00000000-0005-0000-0000-000053030000}"/>
    <cellStyle name="Moneda 14 2 5" xfId="725" xr:uid="{00000000-0005-0000-0000-000054030000}"/>
    <cellStyle name="Moneda 14 2 5 2" xfId="726" xr:uid="{00000000-0005-0000-0000-000055030000}"/>
    <cellStyle name="Moneda 14 2 6" xfId="727" xr:uid="{00000000-0005-0000-0000-000056030000}"/>
    <cellStyle name="Moneda 14 2 6 2" xfId="728" xr:uid="{00000000-0005-0000-0000-000057030000}"/>
    <cellStyle name="Moneda 14 2 7" xfId="729" xr:uid="{00000000-0005-0000-0000-000058030000}"/>
    <cellStyle name="Moneda 14 2 8" xfId="730" xr:uid="{00000000-0005-0000-0000-000059030000}"/>
    <cellStyle name="Moneda 14 3" xfId="731" xr:uid="{00000000-0005-0000-0000-00005A030000}"/>
    <cellStyle name="Moneda 14 3 2" xfId="732" xr:uid="{00000000-0005-0000-0000-00005B030000}"/>
    <cellStyle name="Moneda 14 3 2 2" xfId="733" xr:uid="{00000000-0005-0000-0000-00005C030000}"/>
    <cellStyle name="Moneda 14 3 2 2 2" xfId="734" xr:uid="{00000000-0005-0000-0000-00005D030000}"/>
    <cellStyle name="Moneda 14 3 2 3" xfId="735" xr:uid="{00000000-0005-0000-0000-00005E030000}"/>
    <cellStyle name="Moneda 14 3 2 3 2" xfId="736" xr:uid="{00000000-0005-0000-0000-00005F030000}"/>
    <cellStyle name="Moneda 14 3 2 4" xfId="737" xr:uid="{00000000-0005-0000-0000-000060030000}"/>
    <cellStyle name="Moneda 14 3 2 4 2" xfId="738" xr:uid="{00000000-0005-0000-0000-000061030000}"/>
    <cellStyle name="Moneda 14 3 2 5" xfId="739" xr:uid="{00000000-0005-0000-0000-000062030000}"/>
    <cellStyle name="Moneda 14 3 3" xfId="740" xr:uid="{00000000-0005-0000-0000-000063030000}"/>
    <cellStyle name="Moneda 14 3 3 2" xfId="741" xr:uid="{00000000-0005-0000-0000-000064030000}"/>
    <cellStyle name="Moneda 14 3 4" xfId="742" xr:uid="{00000000-0005-0000-0000-000065030000}"/>
    <cellStyle name="Moneda 14 3 4 2" xfId="743" xr:uid="{00000000-0005-0000-0000-000066030000}"/>
    <cellStyle name="Moneda 14 3 5" xfId="744" xr:uid="{00000000-0005-0000-0000-000067030000}"/>
    <cellStyle name="Moneda 14 3 5 2" xfId="745" xr:uid="{00000000-0005-0000-0000-000068030000}"/>
    <cellStyle name="Moneda 14 3 6" xfId="746" xr:uid="{00000000-0005-0000-0000-000069030000}"/>
    <cellStyle name="Moneda 14 4" xfId="747" xr:uid="{00000000-0005-0000-0000-00006A030000}"/>
    <cellStyle name="Moneda 14 4 2" xfId="748" xr:uid="{00000000-0005-0000-0000-00006B030000}"/>
    <cellStyle name="Moneda 14 4 2 2" xfId="749" xr:uid="{00000000-0005-0000-0000-00006C030000}"/>
    <cellStyle name="Moneda 14 4 3" xfId="750" xr:uid="{00000000-0005-0000-0000-00006D030000}"/>
    <cellStyle name="Moneda 14 4 3 2" xfId="751" xr:uid="{00000000-0005-0000-0000-00006E030000}"/>
    <cellStyle name="Moneda 14 4 4" xfId="752" xr:uid="{00000000-0005-0000-0000-00006F030000}"/>
    <cellStyle name="Moneda 14 4 4 2" xfId="753" xr:uid="{00000000-0005-0000-0000-000070030000}"/>
    <cellStyle name="Moneda 14 4 5" xfId="754" xr:uid="{00000000-0005-0000-0000-000071030000}"/>
    <cellStyle name="Moneda 14 5" xfId="755" xr:uid="{00000000-0005-0000-0000-000072030000}"/>
    <cellStyle name="Moneda 14 5 2" xfId="756" xr:uid="{00000000-0005-0000-0000-000073030000}"/>
    <cellStyle name="Moneda 14 6" xfId="757" xr:uid="{00000000-0005-0000-0000-000074030000}"/>
    <cellStyle name="Moneda 14 6 2" xfId="758" xr:uid="{00000000-0005-0000-0000-000075030000}"/>
    <cellStyle name="Moneda 14 7" xfId="759" xr:uid="{00000000-0005-0000-0000-000076030000}"/>
    <cellStyle name="Moneda 14 7 2" xfId="760" xr:uid="{00000000-0005-0000-0000-000077030000}"/>
    <cellStyle name="Moneda 14 8" xfId="761" xr:uid="{00000000-0005-0000-0000-000078030000}"/>
    <cellStyle name="Moneda 14 9" xfId="762" xr:uid="{00000000-0005-0000-0000-000079030000}"/>
    <cellStyle name="Moneda 15" xfId="763" xr:uid="{00000000-0005-0000-0000-00007A030000}"/>
    <cellStyle name="Moneda 15 2" xfId="764" xr:uid="{00000000-0005-0000-0000-00007B030000}"/>
    <cellStyle name="Moneda 15 2 2" xfId="765" xr:uid="{00000000-0005-0000-0000-00007C030000}"/>
    <cellStyle name="Moneda 15 2 2 2" xfId="766" xr:uid="{00000000-0005-0000-0000-00007D030000}"/>
    <cellStyle name="Moneda 15 2 2 2 2" xfId="767" xr:uid="{00000000-0005-0000-0000-00007E030000}"/>
    <cellStyle name="Moneda 15 2 2 2 2 2" xfId="768" xr:uid="{00000000-0005-0000-0000-00007F030000}"/>
    <cellStyle name="Moneda 15 2 2 2 3" xfId="769" xr:uid="{00000000-0005-0000-0000-000080030000}"/>
    <cellStyle name="Moneda 15 2 2 2 3 2" xfId="770" xr:uid="{00000000-0005-0000-0000-000081030000}"/>
    <cellStyle name="Moneda 15 2 2 2 4" xfId="771" xr:uid="{00000000-0005-0000-0000-000082030000}"/>
    <cellStyle name="Moneda 15 2 2 2 4 2" xfId="772" xr:uid="{00000000-0005-0000-0000-000083030000}"/>
    <cellStyle name="Moneda 15 2 2 2 5" xfId="773" xr:uid="{00000000-0005-0000-0000-000084030000}"/>
    <cellStyle name="Moneda 15 2 2 3" xfId="774" xr:uid="{00000000-0005-0000-0000-000085030000}"/>
    <cellStyle name="Moneda 15 2 2 3 2" xfId="775" xr:uid="{00000000-0005-0000-0000-000086030000}"/>
    <cellStyle name="Moneda 15 2 2 4" xfId="776" xr:uid="{00000000-0005-0000-0000-000087030000}"/>
    <cellStyle name="Moneda 15 2 2 4 2" xfId="777" xr:uid="{00000000-0005-0000-0000-000088030000}"/>
    <cellStyle name="Moneda 15 2 2 5" xfId="778" xr:uid="{00000000-0005-0000-0000-000089030000}"/>
    <cellStyle name="Moneda 15 2 2 5 2" xfId="779" xr:uid="{00000000-0005-0000-0000-00008A030000}"/>
    <cellStyle name="Moneda 15 2 2 6" xfId="780" xr:uid="{00000000-0005-0000-0000-00008B030000}"/>
    <cellStyle name="Moneda 15 2 3" xfId="781" xr:uid="{00000000-0005-0000-0000-00008C030000}"/>
    <cellStyle name="Moneda 15 2 3 2" xfId="782" xr:uid="{00000000-0005-0000-0000-00008D030000}"/>
    <cellStyle name="Moneda 15 2 3 2 2" xfId="783" xr:uid="{00000000-0005-0000-0000-00008E030000}"/>
    <cellStyle name="Moneda 15 2 3 3" xfId="784" xr:uid="{00000000-0005-0000-0000-00008F030000}"/>
    <cellStyle name="Moneda 15 2 3 3 2" xfId="785" xr:uid="{00000000-0005-0000-0000-000090030000}"/>
    <cellStyle name="Moneda 15 2 3 4" xfId="786" xr:uid="{00000000-0005-0000-0000-000091030000}"/>
    <cellStyle name="Moneda 15 2 3 4 2" xfId="787" xr:uid="{00000000-0005-0000-0000-000092030000}"/>
    <cellStyle name="Moneda 15 2 3 5" xfId="788" xr:uid="{00000000-0005-0000-0000-000093030000}"/>
    <cellStyle name="Moneda 15 2 4" xfId="789" xr:uid="{00000000-0005-0000-0000-000094030000}"/>
    <cellStyle name="Moneda 15 2 4 2" xfId="790" xr:uid="{00000000-0005-0000-0000-000095030000}"/>
    <cellStyle name="Moneda 15 2 5" xfId="791" xr:uid="{00000000-0005-0000-0000-000096030000}"/>
    <cellStyle name="Moneda 15 2 5 2" xfId="792" xr:uid="{00000000-0005-0000-0000-000097030000}"/>
    <cellStyle name="Moneda 15 2 6" xfId="793" xr:uid="{00000000-0005-0000-0000-000098030000}"/>
    <cellStyle name="Moneda 15 2 6 2" xfId="794" xr:uid="{00000000-0005-0000-0000-000099030000}"/>
    <cellStyle name="Moneda 15 2 7" xfId="795" xr:uid="{00000000-0005-0000-0000-00009A030000}"/>
    <cellStyle name="Moneda 15 2 8" xfId="796" xr:uid="{00000000-0005-0000-0000-00009B030000}"/>
    <cellStyle name="Moneda 15 3" xfId="797" xr:uid="{00000000-0005-0000-0000-00009C030000}"/>
    <cellStyle name="Moneda 15 3 2" xfId="798" xr:uid="{00000000-0005-0000-0000-00009D030000}"/>
    <cellStyle name="Moneda 15 3 2 2" xfId="799" xr:uid="{00000000-0005-0000-0000-00009E030000}"/>
    <cellStyle name="Moneda 15 3 2 2 2" xfId="800" xr:uid="{00000000-0005-0000-0000-00009F030000}"/>
    <cellStyle name="Moneda 15 3 2 3" xfId="801" xr:uid="{00000000-0005-0000-0000-0000A0030000}"/>
    <cellStyle name="Moneda 15 3 2 3 2" xfId="802" xr:uid="{00000000-0005-0000-0000-0000A1030000}"/>
    <cellStyle name="Moneda 15 3 2 4" xfId="803" xr:uid="{00000000-0005-0000-0000-0000A2030000}"/>
    <cellStyle name="Moneda 15 3 2 4 2" xfId="804" xr:uid="{00000000-0005-0000-0000-0000A3030000}"/>
    <cellStyle name="Moneda 15 3 2 5" xfId="805" xr:uid="{00000000-0005-0000-0000-0000A4030000}"/>
    <cellStyle name="Moneda 15 3 3" xfId="806" xr:uid="{00000000-0005-0000-0000-0000A5030000}"/>
    <cellStyle name="Moneda 15 3 3 2" xfId="807" xr:uid="{00000000-0005-0000-0000-0000A6030000}"/>
    <cellStyle name="Moneda 15 3 4" xfId="808" xr:uid="{00000000-0005-0000-0000-0000A7030000}"/>
    <cellStyle name="Moneda 15 3 4 2" xfId="809" xr:uid="{00000000-0005-0000-0000-0000A8030000}"/>
    <cellStyle name="Moneda 15 3 5" xfId="810" xr:uid="{00000000-0005-0000-0000-0000A9030000}"/>
    <cellStyle name="Moneda 15 3 5 2" xfId="811" xr:uid="{00000000-0005-0000-0000-0000AA030000}"/>
    <cellStyle name="Moneda 15 3 6" xfId="812" xr:uid="{00000000-0005-0000-0000-0000AB030000}"/>
    <cellStyle name="Moneda 15 4" xfId="813" xr:uid="{00000000-0005-0000-0000-0000AC030000}"/>
    <cellStyle name="Moneda 15 4 2" xfId="814" xr:uid="{00000000-0005-0000-0000-0000AD030000}"/>
    <cellStyle name="Moneda 15 4 2 2" xfId="815" xr:uid="{00000000-0005-0000-0000-0000AE030000}"/>
    <cellStyle name="Moneda 15 4 3" xfId="816" xr:uid="{00000000-0005-0000-0000-0000AF030000}"/>
    <cellStyle name="Moneda 15 4 3 2" xfId="817" xr:uid="{00000000-0005-0000-0000-0000B0030000}"/>
    <cellStyle name="Moneda 15 4 4" xfId="818" xr:uid="{00000000-0005-0000-0000-0000B1030000}"/>
    <cellStyle name="Moneda 15 4 4 2" xfId="819" xr:uid="{00000000-0005-0000-0000-0000B2030000}"/>
    <cellStyle name="Moneda 15 4 5" xfId="820" xr:uid="{00000000-0005-0000-0000-0000B3030000}"/>
    <cellStyle name="Moneda 15 5" xfId="821" xr:uid="{00000000-0005-0000-0000-0000B4030000}"/>
    <cellStyle name="Moneda 15 5 2" xfId="822" xr:uid="{00000000-0005-0000-0000-0000B5030000}"/>
    <cellStyle name="Moneda 15 6" xfId="823" xr:uid="{00000000-0005-0000-0000-0000B6030000}"/>
    <cellStyle name="Moneda 15 6 2" xfId="824" xr:uid="{00000000-0005-0000-0000-0000B7030000}"/>
    <cellStyle name="Moneda 15 7" xfId="825" xr:uid="{00000000-0005-0000-0000-0000B8030000}"/>
    <cellStyle name="Moneda 15 7 2" xfId="826" xr:uid="{00000000-0005-0000-0000-0000B9030000}"/>
    <cellStyle name="Moneda 15 8" xfId="827" xr:uid="{00000000-0005-0000-0000-0000BA030000}"/>
    <cellStyle name="Moneda 15 9" xfId="828" xr:uid="{00000000-0005-0000-0000-0000BB030000}"/>
    <cellStyle name="Moneda 16" xfId="829" xr:uid="{00000000-0005-0000-0000-0000BC030000}"/>
    <cellStyle name="Moneda 16 2" xfId="830" xr:uid="{00000000-0005-0000-0000-0000BD030000}"/>
    <cellStyle name="Moneda 16 2 2" xfId="831" xr:uid="{00000000-0005-0000-0000-0000BE030000}"/>
    <cellStyle name="Moneda 16 2 2 2" xfId="832" xr:uid="{00000000-0005-0000-0000-0000BF030000}"/>
    <cellStyle name="Moneda 16 2 2 2 2" xfId="833" xr:uid="{00000000-0005-0000-0000-0000C0030000}"/>
    <cellStyle name="Moneda 16 2 2 3" xfId="834" xr:uid="{00000000-0005-0000-0000-0000C1030000}"/>
    <cellStyle name="Moneda 16 2 2 3 2" xfId="835" xr:uid="{00000000-0005-0000-0000-0000C2030000}"/>
    <cellStyle name="Moneda 16 2 2 4" xfId="836" xr:uid="{00000000-0005-0000-0000-0000C3030000}"/>
    <cellStyle name="Moneda 16 2 2 4 2" xfId="837" xr:uid="{00000000-0005-0000-0000-0000C4030000}"/>
    <cellStyle name="Moneda 16 2 2 5" xfId="838" xr:uid="{00000000-0005-0000-0000-0000C5030000}"/>
    <cellStyle name="Moneda 16 2 3" xfId="839" xr:uid="{00000000-0005-0000-0000-0000C6030000}"/>
    <cellStyle name="Moneda 16 2 3 2" xfId="840" xr:uid="{00000000-0005-0000-0000-0000C7030000}"/>
    <cellStyle name="Moneda 16 2 4" xfId="841" xr:uid="{00000000-0005-0000-0000-0000C8030000}"/>
    <cellStyle name="Moneda 16 2 4 2" xfId="842" xr:uid="{00000000-0005-0000-0000-0000C9030000}"/>
    <cellStyle name="Moneda 16 2 5" xfId="843" xr:uid="{00000000-0005-0000-0000-0000CA030000}"/>
    <cellStyle name="Moneda 16 2 5 2" xfId="844" xr:uid="{00000000-0005-0000-0000-0000CB030000}"/>
    <cellStyle name="Moneda 16 2 6" xfId="845" xr:uid="{00000000-0005-0000-0000-0000CC030000}"/>
    <cellStyle name="Moneda 16 2 7" xfId="846" xr:uid="{00000000-0005-0000-0000-0000CD030000}"/>
    <cellStyle name="Moneda 16 3" xfId="847" xr:uid="{00000000-0005-0000-0000-0000CE030000}"/>
    <cellStyle name="Moneda 16 3 2" xfId="848" xr:uid="{00000000-0005-0000-0000-0000CF030000}"/>
    <cellStyle name="Moneda 16 3 2 2" xfId="849" xr:uid="{00000000-0005-0000-0000-0000D0030000}"/>
    <cellStyle name="Moneda 16 3 3" xfId="850" xr:uid="{00000000-0005-0000-0000-0000D1030000}"/>
    <cellStyle name="Moneda 16 3 3 2" xfId="851" xr:uid="{00000000-0005-0000-0000-0000D2030000}"/>
    <cellStyle name="Moneda 16 3 4" xfId="852" xr:uid="{00000000-0005-0000-0000-0000D3030000}"/>
    <cellStyle name="Moneda 16 3 4 2" xfId="853" xr:uid="{00000000-0005-0000-0000-0000D4030000}"/>
    <cellStyle name="Moneda 16 3 5" xfId="854" xr:uid="{00000000-0005-0000-0000-0000D5030000}"/>
    <cellStyle name="Moneda 16 4" xfId="855" xr:uid="{00000000-0005-0000-0000-0000D6030000}"/>
    <cellStyle name="Moneda 16 4 2" xfId="856" xr:uid="{00000000-0005-0000-0000-0000D7030000}"/>
    <cellStyle name="Moneda 16 5" xfId="857" xr:uid="{00000000-0005-0000-0000-0000D8030000}"/>
    <cellStyle name="Moneda 16 5 2" xfId="858" xr:uid="{00000000-0005-0000-0000-0000D9030000}"/>
    <cellStyle name="Moneda 16 6" xfId="859" xr:uid="{00000000-0005-0000-0000-0000DA030000}"/>
    <cellStyle name="Moneda 16 6 2" xfId="860" xr:uid="{00000000-0005-0000-0000-0000DB030000}"/>
    <cellStyle name="Moneda 16 7" xfId="861" xr:uid="{00000000-0005-0000-0000-0000DC030000}"/>
    <cellStyle name="Moneda 16 8" xfId="862" xr:uid="{00000000-0005-0000-0000-0000DD030000}"/>
    <cellStyle name="Moneda 17" xfId="863" xr:uid="{00000000-0005-0000-0000-0000DE030000}"/>
    <cellStyle name="Moneda 17 2" xfId="864" xr:uid="{00000000-0005-0000-0000-0000DF030000}"/>
    <cellStyle name="Moneda 17 2 2" xfId="865" xr:uid="{00000000-0005-0000-0000-0000E0030000}"/>
    <cellStyle name="Moneda 17 2 2 2" xfId="866" xr:uid="{00000000-0005-0000-0000-0000E1030000}"/>
    <cellStyle name="Moneda 17 2 2 2 2" xfId="867" xr:uid="{00000000-0005-0000-0000-0000E2030000}"/>
    <cellStyle name="Moneda 17 2 2 3" xfId="868" xr:uid="{00000000-0005-0000-0000-0000E3030000}"/>
    <cellStyle name="Moneda 17 2 2 3 2" xfId="869" xr:uid="{00000000-0005-0000-0000-0000E4030000}"/>
    <cellStyle name="Moneda 17 2 2 4" xfId="870" xr:uid="{00000000-0005-0000-0000-0000E5030000}"/>
    <cellStyle name="Moneda 17 2 2 4 2" xfId="871" xr:uid="{00000000-0005-0000-0000-0000E6030000}"/>
    <cellStyle name="Moneda 17 2 2 5" xfId="872" xr:uid="{00000000-0005-0000-0000-0000E7030000}"/>
    <cellStyle name="Moneda 17 2 3" xfId="873" xr:uid="{00000000-0005-0000-0000-0000E8030000}"/>
    <cellStyle name="Moneda 17 2 3 2" xfId="874" xr:uid="{00000000-0005-0000-0000-0000E9030000}"/>
    <cellStyle name="Moneda 17 2 4" xfId="875" xr:uid="{00000000-0005-0000-0000-0000EA030000}"/>
    <cellStyle name="Moneda 17 2 4 2" xfId="876" xr:uid="{00000000-0005-0000-0000-0000EB030000}"/>
    <cellStyle name="Moneda 17 2 5" xfId="877" xr:uid="{00000000-0005-0000-0000-0000EC030000}"/>
    <cellStyle name="Moneda 17 2 5 2" xfId="878" xr:uid="{00000000-0005-0000-0000-0000ED030000}"/>
    <cellStyle name="Moneda 17 2 6" xfId="879" xr:uid="{00000000-0005-0000-0000-0000EE030000}"/>
    <cellStyle name="Moneda 17 2 7" xfId="880" xr:uid="{00000000-0005-0000-0000-0000EF030000}"/>
    <cellStyle name="Moneda 17 3" xfId="881" xr:uid="{00000000-0005-0000-0000-0000F0030000}"/>
    <cellStyle name="Moneda 17 3 2" xfId="882" xr:uid="{00000000-0005-0000-0000-0000F1030000}"/>
    <cellStyle name="Moneda 17 3 2 2" xfId="883" xr:uid="{00000000-0005-0000-0000-0000F2030000}"/>
    <cellStyle name="Moneda 17 3 3" xfId="884" xr:uid="{00000000-0005-0000-0000-0000F3030000}"/>
    <cellStyle name="Moneda 17 3 3 2" xfId="885" xr:uid="{00000000-0005-0000-0000-0000F4030000}"/>
    <cellStyle name="Moneda 17 3 4" xfId="886" xr:uid="{00000000-0005-0000-0000-0000F5030000}"/>
    <cellStyle name="Moneda 17 3 4 2" xfId="887" xr:uid="{00000000-0005-0000-0000-0000F6030000}"/>
    <cellStyle name="Moneda 17 3 5" xfId="888" xr:uid="{00000000-0005-0000-0000-0000F7030000}"/>
    <cellStyle name="Moneda 17 4" xfId="889" xr:uid="{00000000-0005-0000-0000-0000F8030000}"/>
    <cellStyle name="Moneda 17 4 2" xfId="890" xr:uid="{00000000-0005-0000-0000-0000F9030000}"/>
    <cellStyle name="Moneda 17 5" xfId="891" xr:uid="{00000000-0005-0000-0000-0000FA030000}"/>
    <cellStyle name="Moneda 17 5 2" xfId="892" xr:uid="{00000000-0005-0000-0000-0000FB030000}"/>
    <cellStyle name="Moneda 17 6" xfId="893" xr:uid="{00000000-0005-0000-0000-0000FC030000}"/>
    <cellStyle name="Moneda 17 6 2" xfId="894" xr:uid="{00000000-0005-0000-0000-0000FD030000}"/>
    <cellStyle name="Moneda 17 7" xfId="895" xr:uid="{00000000-0005-0000-0000-0000FE030000}"/>
    <cellStyle name="Moneda 17 8" xfId="896" xr:uid="{00000000-0005-0000-0000-0000FF030000}"/>
    <cellStyle name="Moneda 18" xfId="897" xr:uid="{00000000-0005-0000-0000-000000040000}"/>
    <cellStyle name="Moneda 18 2" xfId="898" xr:uid="{00000000-0005-0000-0000-000001040000}"/>
    <cellStyle name="Moneda 18 2 2" xfId="899" xr:uid="{00000000-0005-0000-0000-000002040000}"/>
    <cellStyle name="Moneda 18 2 2 2" xfId="900" xr:uid="{00000000-0005-0000-0000-000003040000}"/>
    <cellStyle name="Moneda 18 2 2 2 2" xfId="901" xr:uid="{00000000-0005-0000-0000-000004040000}"/>
    <cellStyle name="Moneda 18 2 2 3" xfId="902" xr:uid="{00000000-0005-0000-0000-000005040000}"/>
    <cellStyle name="Moneda 18 2 2 3 2" xfId="903" xr:uid="{00000000-0005-0000-0000-000006040000}"/>
    <cellStyle name="Moneda 18 2 2 4" xfId="904" xr:uid="{00000000-0005-0000-0000-000007040000}"/>
    <cellStyle name="Moneda 18 2 2 4 2" xfId="905" xr:uid="{00000000-0005-0000-0000-000008040000}"/>
    <cellStyle name="Moneda 18 2 2 5" xfId="906" xr:uid="{00000000-0005-0000-0000-000009040000}"/>
    <cellStyle name="Moneda 18 2 3" xfId="907" xr:uid="{00000000-0005-0000-0000-00000A040000}"/>
    <cellStyle name="Moneda 18 2 3 2" xfId="908" xr:uid="{00000000-0005-0000-0000-00000B040000}"/>
    <cellStyle name="Moneda 18 2 4" xfId="909" xr:uid="{00000000-0005-0000-0000-00000C040000}"/>
    <cellStyle name="Moneda 18 2 4 2" xfId="910" xr:uid="{00000000-0005-0000-0000-00000D040000}"/>
    <cellStyle name="Moneda 18 2 5" xfId="911" xr:uid="{00000000-0005-0000-0000-00000E040000}"/>
    <cellStyle name="Moneda 18 2 5 2" xfId="912" xr:uid="{00000000-0005-0000-0000-00000F040000}"/>
    <cellStyle name="Moneda 18 2 6" xfId="913" xr:uid="{00000000-0005-0000-0000-000010040000}"/>
    <cellStyle name="Moneda 18 2 7" xfId="914" xr:uid="{00000000-0005-0000-0000-000011040000}"/>
    <cellStyle name="Moneda 18 3" xfId="915" xr:uid="{00000000-0005-0000-0000-000012040000}"/>
    <cellStyle name="Moneda 18 3 2" xfId="916" xr:uid="{00000000-0005-0000-0000-000013040000}"/>
    <cellStyle name="Moneda 18 3 2 2" xfId="917" xr:uid="{00000000-0005-0000-0000-000014040000}"/>
    <cellStyle name="Moneda 18 3 3" xfId="918" xr:uid="{00000000-0005-0000-0000-000015040000}"/>
    <cellStyle name="Moneda 18 3 3 2" xfId="919" xr:uid="{00000000-0005-0000-0000-000016040000}"/>
    <cellStyle name="Moneda 18 3 4" xfId="920" xr:uid="{00000000-0005-0000-0000-000017040000}"/>
    <cellStyle name="Moneda 18 3 4 2" xfId="921" xr:uid="{00000000-0005-0000-0000-000018040000}"/>
    <cellStyle name="Moneda 18 3 5" xfId="922" xr:uid="{00000000-0005-0000-0000-000019040000}"/>
    <cellStyle name="Moneda 18 4" xfId="923" xr:uid="{00000000-0005-0000-0000-00001A040000}"/>
    <cellStyle name="Moneda 18 4 2" xfId="924" xr:uid="{00000000-0005-0000-0000-00001B040000}"/>
    <cellStyle name="Moneda 18 5" xfId="925" xr:uid="{00000000-0005-0000-0000-00001C040000}"/>
    <cellStyle name="Moneda 18 5 2" xfId="926" xr:uid="{00000000-0005-0000-0000-00001D040000}"/>
    <cellStyle name="Moneda 18 6" xfId="927" xr:uid="{00000000-0005-0000-0000-00001E040000}"/>
    <cellStyle name="Moneda 18 6 2" xfId="928" xr:uid="{00000000-0005-0000-0000-00001F040000}"/>
    <cellStyle name="Moneda 18 7" xfId="929" xr:uid="{00000000-0005-0000-0000-000020040000}"/>
    <cellStyle name="Moneda 18 8" xfId="930" xr:uid="{00000000-0005-0000-0000-000021040000}"/>
    <cellStyle name="Moneda 19" xfId="931" xr:uid="{00000000-0005-0000-0000-000022040000}"/>
    <cellStyle name="Moneda 19 2" xfId="932" xr:uid="{00000000-0005-0000-0000-000023040000}"/>
    <cellStyle name="Moneda 19 2 2" xfId="933" xr:uid="{00000000-0005-0000-0000-000024040000}"/>
    <cellStyle name="Moneda 19 2 2 2" xfId="934" xr:uid="{00000000-0005-0000-0000-000025040000}"/>
    <cellStyle name="Moneda 19 2 2 2 2" xfId="935" xr:uid="{00000000-0005-0000-0000-000026040000}"/>
    <cellStyle name="Moneda 19 2 2 3" xfId="936" xr:uid="{00000000-0005-0000-0000-000027040000}"/>
    <cellStyle name="Moneda 19 2 2 3 2" xfId="937" xr:uid="{00000000-0005-0000-0000-000028040000}"/>
    <cellStyle name="Moneda 19 2 2 4" xfId="938" xr:uid="{00000000-0005-0000-0000-000029040000}"/>
    <cellStyle name="Moneda 19 2 2 4 2" xfId="939" xr:uid="{00000000-0005-0000-0000-00002A040000}"/>
    <cellStyle name="Moneda 19 2 2 5" xfId="940" xr:uid="{00000000-0005-0000-0000-00002B040000}"/>
    <cellStyle name="Moneda 19 2 3" xfId="941" xr:uid="{00000000-0005-0000-0000-00002C040000}"/>
    <cellStyle name="Moneda 19 2 3 2" xfId="942" xr:uid="{00000000-0005-0000-0000-00002D040000}"/>
    <cellStyle name="Moneda 19 2 4" xfId="943" xr:uid="{00000000-0005-0000-0000-00002E040000}"/>
    <cellStyle name="Moneda 19 2 4 2" xfId="944" xr:uid="{00000000-0005-0000-0000-00002F040000}"/>
    <cellStyle name="Moneda 19 2 5" xfId="945" xr:uid="{00000000-0005-0000-0000-000030040000}"/>
    <cellStyle name="Moneda 19 2 5 2" xfId="946" xr:uid="{00000000-0005-0000-0000-000031040000}"/>
    <cellStyle name="Moneda 19 2 6" xfId="947" xr:uid="{00000000-0005-0000-0000-000032040000}"/>
    <cellStyle name="Moneda 19 2 7" xfId="948" xr:uid="{00000000-0005-0000-0000-000033040000}"/>
    <cellStyle name="Moneda 19 3" xfId="949" xr:uid="{00000000-0005-0000-0000-000034040000}"/>
    <cellStyle name="Moneda 19 3 2" xfId="950" xr:uid="{00000000-0005-0000-0000-000035040000}"/>
    <cellStyle name="Moneda 19 3 2 2" xfId="951" xr:uid="{00000000-0005-0000-0000-000036040000}"/>
    <cellStyle name="Moneda 19 3 3" xfId="952" xr:uid="{00000000-0005-0000-0000-000037040000}"/>
    <cellStyle name="Moneda 19 3 3 2" xfId="953" xr:uid="{00000000-0005-0000-0000-000038040000}"/>
    <cellStyle name="Moneda 19 3 4" xfId="954" xr:uid="{00000000-0005-0000-0000-000039040000}"/>
    <cellStyle name="Moneda 19 3 4 2" xfId="955" xr:uid="{00000000-0005-0000-0000-00003A040000}"/>
    <cellStyle name="Moneda 19 3 5" xfId="956" xr:uid="{00000000-0005-0000-0000-00003B040000}"/>
    <cellStyle name="Moneda 19 4" xfId="957" xr:uid="{00000000-0005-0000-0000-00003C040000}"/>
    <cellStyle name="Moneda 19 4 2" xfId="958" xr:uid="{00000000-0005-0000-0000-00003D040000}"/>
    <cellStyle name="Moneda 19 5" xfId="959" xr:uid="{00000000-0005-0000-0000-00003E040000}"/>
    <cellStyle name="Moneda 19 5 2" xfId="960" xr:uid="{00000000-0005-0000-0000-00003F040000}"/>
    <cellStyle name="Moneda 19 6" xfId="961" xr:uid="{00000000-0005-0000-0000-000040040000}"/>
    <cellStyle name="Moneda 19 6 2" xfId="962" xr:uid="{00000000-0005-0000-0000-000041040000}"/>
    <cellStyle name="Moneda 19 7" xfId="963" xr:uid="{00000000-0005-0000-0000-000042040000}"/>
    <cellStyle name="Moneda 19 8" xfId="964" xr:uid="{00000000-0005-0000-0000-000043040000}"/>
    <cellStyle name="Moneda 2" xfId="10" xr:uid="{00000000-0005-0000-0000-000044040000}"/>
    <cellStyle name="Moneda 2 2" xfId="11" xr:uid="{00000000-0005-0000-0000-000045040000}"/>
    <cellStyle name="Moneda 2 2 2" xfId="12" xr:uid="{00000000-0005-0000-0000-000046040000}"/>
    <cellStyle name="Moneda 2 2 3" xfId="965" xr:uid="{00000000-0005-0000-0000-000047040000}"/>
    <cellStyle name="Moneda 2 2 3 2" xfId="966" xr:uid="{00000000-0005-0000-0000-000048040000}"/>
    <cellStyle name="Moneda 2 3" xfId="13" xr:uid="{00000000-0005-0000-0000-000049040000}"/>
    <cellStyle name="Moneda 2 3 10" xfId="967" xr:uid="{00000000-0005-0000-0000-00004A040000}"/>
    <cellStyle name="Moneda 2 3 10 2" xfId="968" xr:uid="{00000000-0005-0000-0000-00004B040000}"/>
    <cellStyle name="Moneda 2 3 10 2 2" xfId="969" xr:uid="{00000000-0005-0000-0000-00004C040000}"/>
    <cellStyle name="Moneda 2 3 10 3" xfId="970" xr:uid="{00000000-0005-0000-0000-00004D040000}"/>
    <cellStyle name="Moneda 2 3 11" xfId="971" xr:uid="{00000000-0005-0000-0000-00004E040000}"/>
    <cellStyle name="Moneda 2 3 11 2" xfId="972" xr:uid="{00000000-0005-0000-0000-00004F040000}"/>
    <cellStyle name="Moneda 2 3 11 3" xfId="973" xr:uid="{00000000-0005-0000-0000-000050040000}"/>
    <cellStyle name="Moneda 2 3 12" xfId="974" xr:uid="{00000000-0005-0000-0000-000051040000}"/>
    <cellStyle name="Moneda 2 3 2" xfId="975" xr:uid="{00000000-0005-0000-0000-000052040000}"/>
    <cellStyle name="Moneda 2 3 2 10" xfId="976" xr:uid="{00000000-0005-0000-0000-000053040000}"/>
    <cellStyle name="Moneda 2 3 2 11" xfId="977" xr:uid="{00000000-0005-0000-0000-000054040000}"/>
    <cellStyle name="Moneda 2 3 2 2" xfId="978" xr:uid="{00000000-0005-0000-0000-000055040000}"/>
    <cellStyle name="Moneda 2 3 2 2 2" xfId="979" xr:uid="{00000000-0005-0000-0000-000056040000}"/>
    <cellStyle name="Moneda 2 3 2 2 2 2" xfId="980" xr:uid="{00000000-0005-0000-0000-000057040000}"/>
    <cellStyle name="Moneda 2 3 2 2 2 2 2" xfId="981" xr:uid="{00000000-0005-0000-0000-000058040000}"/>
    <cellStyle name="Moneda 2 3 2 2 2 2 2 2" xfId="982" xr:uid="{00000000-0005-0000-0000-000059040000}"/>
    <cellStyle name="Moneda 2 3 2 2 2 2 2 2 2" xfId="983" xr:uid="{00000000-0005-0000-0000-00005A040000}"/>
    <cellStyle name="Moneda 2 3 2 2 2 2 2 3" xfId="984" xr:uid="{00000000-0005-0000-0000-00005B040000}"/>
    <cellStyle name="Moneda 2 3 2 2 2 2 3" xfId="985" xr:uid="{00000000-0005-0000-0000-00005C040000}"/>
    <cellStyle name="Moneda 2 3 2 2 2 2 3 2" xfId="986" xr:uid="{00000000-0005-0000-0000-00005D040000}"/>
    <cellStyle name="Moneda 2 3 2 2 2 2 3 3" xfId="987" xr:uid="{00000000-0005-0000-0000-00005E040000}"/>
    <cellStyle name="Moneda 2 3 2 2 2 2 4" xfId="988" xr:uid="{00000000-0005-0000-0000-00005F040000}"/>
    <cellStyle name="Moneda 2 3 2 2 2 2 4 2" xfId="989" xr:uid="{00000000-0005-0000-0000-000060040000}"/>
    <cellStyle name="Moneda 2 3 2 2 2 2 5" xfId="990" xr:uid="{00000000-0005-0000-0000-000061040000}"/>
    <cellStyle name="Moneda 2 3 2 2 2 2 6" xfId="991" xr:uid="{00000000-0005-0000-0000-000062040000}"/>
    <cellStyle name="Moneda 2 3 2 2 2 3" xfId="992" xr:uid="{00000000-0005-0000-0000-000063040000}"/>
    <cellStyle name="Moneda 2 3 2 2 2 3 2" xfId="993" xr:uid="{00000000-0005-0000-0000-000064040000}"/>
    <cellStyle name="Moneda 2 3 2 2 2 3 2 2" xfId="994" xr:uid="{00000000-0005-0000-0000-000065040000}"/>
    <cellStyle name="Moneda 2 3 2 2 2 3 3" xfId="995" xr:uid="{00000000-0005-0000-0000-000066040000}"/>
    <cellStyle name="Moneda 2 3 2 2 2 4" xfId="996" xr:uid="{00000000-0005-0000-0000-000067040000}"/>
    <cellStyle name="Moneda 2 3 2 2 2 4 2" xfId="997" xr:uid="{00000000-0005-0000-0000-000068040000}"/>
    <cellStyle name="Moneda 2 3 2 2 2 4 3" xfId="998" xr:uid="{00000000-0005-0000-0000-000069040000}"/>
    <cellStyle name="Moneda 2 3 2 2 2 5" xfId="999" xr:uid="{00000000-0005-0000-0000-00006A040000}"/>
    <cellStyle name="Moneda 2 3 2 2 2 5 2" xfId="1000" xr:uid="{00000000-0005-0000-0000-00006B040000}"/>
    <cellStyle name="Moneda 2 3 2 2 2 6" xfId="1001" xr:uid="{00000000-0005-0000-0000-00006C040000}"/>
    <cellStyle name="Moneda 2 3 2 2 2 7" xfId="1002" xr:uid="{00000000-0005-0000-0000-00006D040000}"/>
    <cellStyle name="Moneda 2 3 2 2 3" xfId="1003" xr:uid="{00000000-0005-0000-0000-00006E040000}"/>
    <cellStyle name="Moneda 2 3 2 2 3 2" xfId="1004" xr:uid="{00000000-0005-0000-0000-00006F040000}"/>
    <cellStyle name="Moneda 2 3 2 2 3 2 2" xfId="1005" xr:uid="{00000000-0005-0000-0000-000070040000}"/>
    <cellStyle name="Moneda 2 3 2 2 3 2 2 2" xfId="1006" xr:uid="{00000000-0005-0000-0000-000071040000}"/>
    <cellStyle name="Moneda 2 3 2 2 3 2 2 3" xfId="1007" xr:uid="{00000000-0005-0000-0000-000072040000}"/>
    <cellStyle name="Moneda 2 3 2 2 3 2 3" xfId="1008" xr:uid="{00000000-0005-0000-0000-000073040000}"/>
    <cellStyle name="Moneda 2 3 2 2 3 2 4" xfId="1009" xr:uid="{00000000-0005-0000-0000-000074040000}"/>
    <cellStyle name="Moneda 2 3 2 2 3 3" xfId="1010" xr:uid="{00000000-0005-0000-0000-000075040000}"/>
    <cellStyle name="Moneda 2 3 2 2 3 3 2" xfId="1011" xr:uid="{00000000-0005-0000-0000-000076040000}"/>
    <cellStyle name="Moneda 2 3 2 2 3 3 2 2" xfId="1012" xr:uid="{00000000-0005-0000-0000-000077040000}"/>
    <cellStyle name="Moneda 2 3 2 2 3 3 3" xfId="1013" xr:uid="{00000000-0005-0000-0000-000078040000}"/>
    <cellStyle name="Moneda 2 3 2 2 3 4" xfId="1014" xr:uid="{00000000-0005-0000-0000-000079040000}"/>
    <cellStyle name="Moneda 2 3 2 2 3 4 2" xfId="1015" xr:uid="{00000000-0005-0000-0000-00007A040000}"/>
    <cellStyle name="Moneda 2 3 2 2 3 4 3" xfId="1016" xr:uid="{00000000-0005-0000-0000-00007B040000}"/>
    <cellStyle name="Moneda 2 3 2 2 3 5" xfId="1017" xr:uid="{00000000-0005-0000-0000-00007C040000}"/>
    <cellStyle name="Moneda 2 3 2 2 3 6" xfId="1018" xr:uid="{00000000-0005-0000-0000-00007D040000}"/>
    <cellStyle name="Moneda 2 3 2 2 4" xfId="1019" xr:uid="{00000000-0005-0000-0000-00007E040000}"/>
    <cellStyle name="Moneda 2 3 2 2 4 2" xfId="1020" xr:uid="{00000000-0005-0000-0000-00007F040000}"/>
    <cellStyle name="Moneda 2 3 2 2 4 2 2" xfId="1021" xr:uid="{00000000-0005-0000-0000-000080040000}"/>
    <cellStyle name="Moneda 2 3 2 2 4 2 2 2" xfId="1022" xr:uid="{00000000-0005-0000-0000-000081040000}"/>
    <cellStyle name="Moneda 2 3 2 2 4 2 3" xfId="1023" xr:uid="{00000000-0005-0000-0000-000082040000}"/>
    <cellStyle name="Moneda 2 3 2 2 4 2 4" xfId="1024" xr:uid="{00000000-0005-0000-0000-000083040000}"/>
    <cellStyle name="Moneda 2 3 2 2 4 3" xfId="1025" xr:uid="{00000000-0005-0000-0000-000084040000}"/>
    <cellStyle name="Moneda 2 3 2 2 4 3 2" xfId="1026" xr:uid="{00000000-0005-0000-0000-000085040000}"/>
    <cellStyle name="Moneda 2 3 2 2 4 4" xfId="1027" xr:uid="{00000000-0005-0000-0000-000086040000}"/>
    <cellStyle name="Moneda 2 3 2 2 4 5" xfId="1028" xr:uid="{00000000-0005-0000-0000-000087040000}"/>
    <cellStyle name="Moneda 2 3 2 2 5" xfId="1029" xr:uid="{00000000-0005-0000-0000-000088040000}"/>
    <cellStyle name="Moneda 2 3 2 2 5 2" xfId="1030" xr:uid="{00000000-0005-0000-0000-000089040000}"/>
    <cellStyle name="Moneda 2 3 2 2 5 2 2" xfId="1031" xr:uid="{00000000-0005-0000-0000-00008A040000}"/>
    <cellStyle name="Moneda 2 3 2 2 5 2 3" xfId="1032" xr:uid="{00000000-0005-0000-0000-00008B040000}"/>
    <cellStyle name="Moneda 2 3 2 2 5 3" xfId="1033" xr:uid="{00000000-0005-0000-0000-00008C040000}"/>
    <cellStyle name="Moneda 2 3 2 2 5 4" xfId="1034" xr:uid="{00000000-0005-0000-0000-00008D040000}"/>
    <cellStyle name="Moneda 2 3 2 2 6" xfId="1035" xr:uid="{00000000-0005-0000-0000-00008E040000}"/>
    <cellStyle name="Moneda 2 3 2 2 6 2" xfId="1036" xr:uid="{00000000-0005-0000-0000-00008F040000}"/>
    <cellStyle name="Moneda 2 3 2 2 6 2 2" xfId="1037" xr:uid="{00000000-0005-0000-0000-000090040000}"/>
    <cellStyle name="Moneda 2 3 2 2 6 3" xfId="1038" xr:uid="{00000000-0005-0000-0000-000091040000}"/>
    <cellStyle name="Moneda 2 3 2 2 7" xfId="1039" xr:uid="{00000000-0005-0000-0000-000092040000}"/>
    <cellStyle name="Moneda 2 3 2 2 7 2" xfId="1040" xr:uid="{00000000-0005-0000-0000-000093040000}"/>
    <cellStyle name="Moneda 2 3 2 2 8" xfId="1041" xr:uid="{00000000-0005-0000-0000-000094040000}"/>
    <cellStyle name="Moneda 2 3 2 3" xfId="1042" xr:uid="{00000000-0005-0000-0000-000095040000}"/>
    <cellStyle name="Moneda 2 3 2 3 2" xfId="1043" xr:uid="{00000000-0005-0000-0000-000096040000}"/>
    <cellStyle name="Moneda 2 3 2 3 2 2" xfId="1044" xr:uid="{00000000-0005-0000-0000-000097040000}"/>
    <cellStyle name="Moneda 2 3 2 3 2 2 2" xfId="1045" xr:uid="{00000000-0005-0000-0000-000098040000}"/>
    <cellStyle name="Moneda 2 3 2 3 2 2 2 2" xfId="1046" xr:uid="{00000000-0005-0000-0000-000099040000}"/>
    <cellStyle name="Moneda 2 3 2 3 2 2 2 3" xfId="1047" xr:uid="{00000000-0005-0000-0000-00009A040000}"/>
    <cellStyle name="Moneda 2 3 2 3 2 2 3" xfId="1048" xr:uid="{00000000-0005-0000-0000-00009B040000}"/>
    <cellStyle name="Moneda 2 3 2 3 2 2 3 2" xfId="1049" xr:uid="{00000000-0005-0000-0000-00009C040000}"/>
    <cellStyle name="Moneda 2 3 2 3 2 2 4" xfId="1050" xr:uid="{00000000-0005-0000-0000-00009D040000}"/>
    <cellStyle name="Moneda 2 3 2 3 2 2 4 2" xfId="1051" xr:uid="{00000000-0005-0000-0000-00009E040000}"/>
    <cellStyle name="Moneda 2 3 2 3 2 2 5" xfId="1052" xr:uid="{00000000-0005-0000-0000-00009F040000}"/>
    <cellStyle name="Moneda 2 3 2 3 2 2 6" xfId="1053" xr:uid="{00000000-0005-0000-0000-0000A0040000}"/>
    <cellStyle name="Moneda 2 3 2 3 2 3" xfId="1054" xr:uid="{00000000-0005-0000-0000-0000A1040000}"/>
    <cellStyle name="Moneda 2 3 2 3 2 3 2" xfId="1055" xr:uid="{00000000-0005-0000-0000-0000A2040000}"/>
    <cellStyle name="Moneda 2 3 2 3 2 3 3" xfId="1056" xr:uid="{00000000-0005-0000-0000-0000A3040000}"/>
    <cellStyle name="Moneda 2 3 2 3 2 4" xfId="1057" xr:uid="{00000000-0005-0000-0000-0000A4040000}"/>
    <cellStyle name="Moneda 2 3 2 3 2 4 2" xfId="1058" xr:uid="{00000000-0005-0000-0000-0000A5040000}"/>
    <cellStyle name="Moneda 2 3 2 3 2 5" xfId="1059" xr:uid="{00000000-0005-0000-0000-0000A6040000}"/>
    <cellStyle name="Moneda 2 3 2 3 2 5 2" xfId="1060" xr:uid="{00000000-0005-0000-0000-0000A7040000}"/>
    <cellStyle name="Moneda 2 3 2 3 2 6" xfId="1061" xr:uid="{00000000-0005-0000-0000-0000A8040000}"/>
    <cellStyle name="Moneda 2 3 2 3 2 7" xfId="1062" xr:uid="{00000000-0005-0000-0000-0000A9040000}"/>
    <cellStyle name="Moneda 2 3 2 3 3" xfId="1063" xr:uid="{00000000-0005-0000-0000-0000AA040000}"/>
    <cellStyle name="Moneda 2 3 2 3 3 2" xfId="1064" xr:uid="{00000000-0005-0000-0000-0000AB040000}"/>
    <cellStyle name="Moneda 2 3 2 3 3 2 2" xfId="1065" xr:uid="{00000000-0005-0000-0000-0000AC040000}"/>
    <cellStyle name="Moneda 2 3 2 3 3 2 3" xfId="1066" xr:uid="{00000000-0005-0000-0000-0000AD040000}"/>
    <cellStyle name="Moneda 2 3 2 3 3 3" xfId="1067" xr:uid="{00000000-0005-0000-0000-0000AE040000}"/>
    <cellStyle name="Moneda 2 3 2 3 3 3 2" xfId="1068" xr:uid="{00000000-0005-0000-0000-0000AF040000}"/>
    <cellStyle name="Moneda 2 3 2 3 3 4" xfId="1069" xr:uid="{00000000-0005-0000-0000-0000B0040000}"/>
    <cellStyle name="Moneda 2 3 2 3 3 4 2" xfId="1070" xr:uid="{00000000-0005-0000-0000-0000B1040000}"/>
    <cellStyle name="Moneda 2 3 2 3 3 5" xfId="1071" xr:uid="{00000000-0005-0000-0000-0000B2040000}"/>
    <cellStyle name="Moneda 2 3 2 3 3 6" xfId="1072" xr:uid="{00000000-0005-0000-0000-0000B3040000}"/>
    <cellStyle name="Moneda 2 3 2 3 4" xfId="1073" xr:uid="{00000000-0005-0000-0000-0000B4040000}"/>
    <cellStyle name="Moneda 2 3 2 3 4 2" xfId="1074" xr:uid="{00000000-0005-0000-0000-0000B5040000}"/>
    <cellStyle name="Moneda 2 3 2 3 4 3" xfId="1075" xr:uid="{00000000-0005-0000-0000-0000B6040000}"/>
    <cellStyle name="Moneda 2 3 2 3 5" xfId="1076" xr:uid="{00000000-0005-0000-0000-0000B7040000}"/>
    <cellStyle name="Moneda 2 3 2 3 5 2" xfId="1077" xr:uid="{00000000-0005-0000-0000-0000B8040000}"/>
    <cellStyle name="Moneda 2 3 2 3 6" xfId="1078" xr:uid="{00000000-0005-0000-0000-0000B9040000}"/>
    <cellStyle name="Moneda 2 3 2 3 6 2" xfId="1079" xr:uid="{00000000-0005-0000-0000-0000BA040000}"/>
    <cellStyle name="Moneda 2 3 2 3 7" xfId="1080" xr:uid="{00000000-0005-0000-0000-0000BB040000}"/>
    <cellStyle name="Moneda 2 3 2 3 8" xfId="1081" xr:uid="{00000000-0005-0000-0000-0000BC040000}"/>
    <cellStyle name="Moneda 2 3 2 4" xfId="1082" xr:uid="{00000000-0005-0000-0000-0000BD040000}"/>
    <cellStyle name="Moneda 2 3 2 4 2" xfId="1083" xr:uid="{00000000-0005-0000-0000-0000BE040000}"/>
    <cellStyle name="Moneda 2 3 2 4 2 2" xfId="1084" xr:uid="{00000000-0005-0000-0000-0000BF040000}"/>
    <cellStyle name="Moneda 2 3 2 4 2 2 2" xfId="1085" xr:uid="{00000000-0005-0000-0000-0000C0040000}"/>
    <cellStyle name="Moneda 2 3 2 4 2 2 2 2" xfId="1086" xr:uid="{00000000-0005-0000-0000-0000C1040000}"/>
    <cellStyle name="Moneda 2 3 2 4 2 2 2 3" xfId="1087" xr:uid="{00000000-0005-0000-0000-0000C2040000}"/>
    <cellStyle name="Moneda 2 3 2 4 2 2 3" xfId="1088" xr:uid="{00000000-0005-0000-0000-0000C3040000}"/>
    <cellStyle name="Moneda 2 3 2 4 2 2 3 2" xfId="1089" xr:uid="{00000000-0005-0000-0000-0000C4040000}"/>
    <cellStyle name="Moneda 2 3 2 4 2 2 4" xfId="1090" xr:uid="{00000000-0005-0000-0000-0000C5040000}"/>
    <cellStyle name="Moneda 2 3 2 4 2 2 4 2" xfId="1091" xr:uid="{00000000-0005-0000-0000-0000C6040000}"/>
    <cellStyle name="Moneda 2 3 2 4 2 2 5" xfId="1092" xr:uid="{00000000-0005-0000-0000-0000C7040000}"/>
    <cellStyle name="Moneda 2 3 2 4 2 2 6" xfId="1093" xr:uid="{00000000-0005-0000-0000-0000C8040000}"/>
    <cellStyle name="Moneda 2 3 2 4 2 3" xfId="1094" xr:uid="{00000000-0005-0000-0000-0000C9040000}"/>
    <cellStyle name="Moneda 2 3 2 4 2 3 2" xfId="1095" xr:uid="{00000000-0005-0000-0000-0000CA040000}"/>
    <cellStyle name="Moneda 2 3 2 4 2 3 3" xfId="1096" xr:uid="{00000000-0005-0000-0000-0000CB040000}"/>
    <cellStyle name="Moneda 2 3 2 4 2 4" xfId="1097" xr:uid="{00000000-0005-0000-0000-0000CC040000}"/>
    <cellStyle name="Moneda 2 3 2 4 2 4 2" xfId="1098" xr:uid="{00000000-0005-0000-0000-0000CD040000}"/>
    <cellStyle name="Moneda 2 3 2 4 2 5" xfId="1099" xr:uid="{00000000-0005-0000-0000-0000CE040000}"/>
    <cellStyle name="Moneda 2 3 2 4 2 5 2" xfId="1100" xr:uid="{00000000-0005-0000-0000-0000CF040000}"/>
    <cellStyle name="Moneda 2 3 2 4 2 6" xfId="1101" xr:uid="{00000000-0005-0000-0000-0000D0040000}"/>
    <cellStyle name="Moneda 2 3 2 4 2 7" xfId="1102" xr:uid="{00000000-0005-0000-0000-0000D1040000}"/>
    <cellStyle name="Moneda 2 3 2 4 3" xfId="1103" xr:uid="{00000000-0005-0000-0000-0000D2040000}"/>
    <cellStyle name="Moneda 2 3 2 4 3 2" xfId="1104" xr:uid="{00000000-0005-0000-0000-0000D3040000}"/>
    <cellStyle name="Moneda 2 3 2 4 3 2 2" xfId="1105" xr:uid="{00000000-0005-0000-0000-0000D4040000}"/>
    <cellStyle name="Moneda 2 3 2 4 3 2 3" xfId="1106" xr:uid="{00000000-0005-0000-0000-0000D5040000}"/>
    <cellStyle name="Moneda 2 3 2 4 3 3" xfId="1107" xr:uid="{00000000-0005-0000-0000-0000D6040000}"/>
    <cellStyle name="Moneda 2 3 2 4 3 3 2" xfId="1108" xr:uid="{00000000-0005-0000-0000-0000D7040000}"/>
    <cellStyle name="Moneda 2 3 2 4 3 4" xfId="1109" xr:uid="{00000000-0005-0000-0000-0000D8040000}"/>
    <cellStyle name="Moneda 2 3 2 4 3 4 2" xfId="1110" xr:uid="{00000000-0005-0000-0000-0000D9040000}"/>
    <cellStyle name="Moneda 2 3 2 4 3 5" xfId="1111" xr:uid="{00000000-0005-0000-0000-0000DA040000}"/>
    <cellStyle name="Moneda 2 3 2 4 3 6" xfId="1112" xr:uid="{00000000-0005-0000-0000-0000DB040000}"/>
    <cellStyle name="Moneda 2 3 2 4 4" xfId="1113" xr:uid="{00000000-0005-0000-0000-0000DC040000}"/>
    <cellStyle name="Moneda 2 3 2 4 4 2" xfId="1114" xr:uid="{00000000-0005-0000-0000-0000DD040000}"/>
    <cellStyle name="Moneda 2 3 2 4 4 3" xfId="1115" xr:uid="{00000000-0005-0000-0000-0000DE040000}"/>
    <cellStyle name="Moneda 2 3 2 4 5" xfId="1116" xr:uid="{00000000-0005-0000-0000-0000DF040000}"/>
    <cellStyle name="Moneda 2 3 2 4 5 2" xfId="1117" xr:uid="{00000000-0005-0000-0000-0000E0040000}"/>
    <cellStyle name="Moneda 2 3 2 4 6" xfId="1118" xr:uid="{00000000-0005-0000-0000-0000E1040000}"/>
    <cellStyle name="Moneda 2 3 2 4 6 2" xfId="1119" xr:uid="{00000000-0005-0000-0000-0000E2040000}"/>
    <cellStyle name="Moneda 2 3 2 4 7" xfId="1120" xr:uid="{00000000-0005-0000-0000-0000E3040000}"/>
    <cellStyle name="Moneda 2 3 2 4 8" xfId="1121" xr:uid="{00000000-0005-0000-0000-0000E4040000}"/>
    <cellStyle name="Moneda 2 3 2 5" xfId="1122" xr:uid="{00000000-0005-0000-0000-0000E5040000}"/>
    <cellStyle name="Moneda 2 3 2 5 2" xfId="1123" xr:uid="{00000000-0005-0000-0000-0000E6040000}"/>
    <cellStyle name="Moneda 2 3 2 5 2 2" xfId="1124" xr:uid="{00000000-0005-0000-0000-0000E7040000}"/>
    <cellStyle name="Moneda 2 3 2 5 2 2 2" xfId="1125" xr:uid="{00000000-0005-0000-0000-0000E8040000}"/>
    <cellStyle name="Moneda 2 3 2 5 2 2 2 2" xfId="1126" xr:uid="{00000000-0005-0000-0000-0000E9040000}"/>
    <cellStyle name="Moneda 2 3 2 5 2 2 3" xfId="1127" xr:uid="{00000000-0005-0000-0000-0000EA040000}"/>
    <cellStyle name="Moneda 2 3 2 5 2 3" xfId="1128" xr:uid="{00000000-0005-0000-0000-0000EB040000}"/>
    <cellStyle name="Moneda 2 3 2 5 2 3 2" xfId="1129" xr:uid="{00000000-0005-0000-0000-0000EC040000}"/>
    <cellStyle name="Moneda 2 3 2 5 2 3 3" xfId="1130" xr:uid="{00000000-0005-0000-0000-0000ED040000}"/>
    <cellStyle name="Moneda 2 3 2 5 2 4" xfId="1131" xr:uid="{00000000-0005-0000-0000-0000EE040000}"/>
    <cellStyle name="Moneda 2 3 2 5 2 4 2" xfId="1132" xr:uid="{00000000-0005-0000-0000-0000EF040000}"/>
    <cellStyle name="Moneda 2 3 2 5 2 5" xfId="1133" xr:uid="{00000000-0005-0000-0000-0000F0040000}"/>
    <cellStyle name="Moneda 2 3 2 5 2 6" xfId="1134" xr:uid="{00000000-0005-0000-0000-0000F1040000}"/>
    <cellStyle name="Moneda 2 3 2 5 3" xfId="1135" xr:uid="{00000000-0005-0000-0000-0000F2040000}"/>
    <cellStyle name="Moneda 2 3 2 5 3 2" xfId="1136" xr:uid="{00000000-0005-0000-0000-0000F3040000}"/>
    <cellStyle name="Moneda 2 3 2 5 3 2 2" xfId="1137" xr:uid="{00000000-0005-0000-0000-0000F4040000}"/>
    <cellStyle name="Moneda 2 3 2 5 3 3" xfId="1138" xr:uid="{00000000-0005-0000-0000-0000F5040000}"/>
    <cellStyle name="Moneda 2 3 2 5 4" xfId="1139" xr:uid="{00000000-0005-0000-0000-0000F6040000}"/>
    <cellStyle name="Moneda 2 3 2 5 4 2" xfId="1140" xr:uid="{00000000-0005-0000-0000-0000F7040000}"/>
    <cellStyle name="Moneda 2 3 2 5 4 3" xfId="1141" xr:uid="{00000000-0005-0000-0000-0000F8040000}"/>
    <cellStyle name="Moneda 2 3 2 5 5" xfId="1142" xr:uid="{00000000-0005-0000-0000-0000F9040000}"/>
    <cellStyle name="Moneda 2 3 2 5 5 2" xfId="1143" xr:uid="{00000000-0005-0000-0000-0000FA040000}"/>
    <cellStyle name="Moneda 2 3 2 5 6" xfId="1144" xr:uid="{00000000-0005-0000-0000-0000FB040000}"/>
    <cellStyle name="Moneda 2 3 2 5 7" xfId="1145" xr:uid="{00000000-0005-0000-0000-0000FC040000}"/>
    <cellStyle name="Moneda 2 3 2 6" xfId="1146" xr:uid="{00000000-0005-0000-0000-0000FD040000}"/>
    <cellStyle name="Moneda 2 3 2 6 2" xfId="1147" xr:uid="{00000000-0005-0000-0000-0000FE040000}"/>
    <cellStyle name="Moneda 2 3 2 6 2 2" xfId="1148" xr:uid="{00000000-0005-0000-0000-0000FF040000}"/>
    <cellStyle name="Moneda 2 3 2 6 2 2 2" xfId="1149" xr:uid="{00000000-0005-0000-0000-000000050000}"/>
    <cellStyle name="Moneda 2 3 2 6 2 3" xfId="1150" xr:uid="{00000000-0005-0000-0000-000001050000}"/>
    <cellStyle name="Moneda 2 3 2 6 3" xfId="1151" xr:uid="{00000000-0005-0000-0000-000002050000}"/>
    <cellStyle name="Moneda 2 3 2 6 3 2" xfId="1152" xr:uid="{00000000-0005-0000-0000-000003050000}"/>
    <cellStyle name="Moneda 2 3 2 6 3 3" xfId="1153" xr:uid="{00000000-0005-0000-0000-000004050000}"/>
    <cellStyle name="Moneda 2 3 2 6 4" xfId="1154" xr:uid="{00000000-0005-0000-0000-000005050000}"/>
    <cellStyle name="Moneda 2 3 2 6 4 2" xfId="1155" xr:uid="{00000000-0005-0000-0000-000006050000}"/>
    <cellStyle name="Moneda 2 3 2 6 5" xfId="1156" xr:uid="{00000000-0005-0000-0000-000007050000}"/>
    <cellStyle name="Moneda 2 3 2 6 6" xfId="1157" xr:uid="{00000000-0005-0000-0000-000008050000}"/>
    <cellStyle name="Moneda 2 3 2 7" xfId="1158" xr:uid="{00000000-0005-0000-0000-000009050000}"/>
    <cellStyle name="Moneda 2 3 2 7 2" xfId="1159" xr:uid="{00000000-0005-0000-0000-00000A050000}"/>
    <cellStyle name="Moneda 2 3 2 7 2 2" xfId="1160" xr:uid="{00000000-0005-0000-0000-00000B050000}"/>
    <cellStyle name="Moneda 2 3 2 7 3" xfId="1161" xr:uid="{00000000-0005-0000-0000-00000C050000}"/>
    <cellStyle name="Moneda 2 3 2 8" xfId="1162" xr:uid="{00000000-0005-0000-0000-00000D050000}"/>
    <cellStyle name="Moneda 2 3 2 8 2" xfId="1163" xr:uid="{00000000-0005-0000-0000-00000E050000}"/>
    <cellStyle name="Moneda 2 3 2 8 3" xfId="1164" xr:uid="{00000000-0005-0000-0000-00000F050000}"/>
    <cellStyle name="Moneda 2 3 2 9" xfId="1165" xr:uid="{00000000-0005-0000-0000-000010050000}"/>
    <cellStyle name="Moneda 2 3 2 9 2" xfId="1166" xr:uid="{00000000-0005-0000-0000-000011050000}"/>
    <cellStyle name="Moneda 2 3 3" xfId="1167" xr:uid="{00000000-0005-0000-0000-000012050000}"/>
    <cellStyle name="Moneda 2 3 3 2" xfId="1168" xr:uid="{00000000-0005-0000-0000-000013050000}"/>
    <cellStyle name="Moneda 2 3 3 2 2" xfId="1169" xr:uid="{00000000-0005-0000-0000-000014050000}"/>
    <cellStyle name="Moneda 2 3 3 2 2 2" xfId="1170" xr:uid="{00000000-0005-0000-0000-000015050000}"/>
    <cellStyle name="Moneda 2 3 3 2 2 2 2" xfId="1171" xr:uid="{00000000-0005-0000-0000-000016050000}"/>
    <cellStyle name="Moneda 2 3 3 2 2 2 2 2" xfId="1172" xr:uid="{00000000-0005-0000-0000-000017050000}"/>
    <cellStyle name="Moneda 2 3 3 2 2 2 3" xfId="1173" xr:uid="{00000000-0005-0000-0000-000018050000}"/>
    <cellStyle name="Moneda 2 3 3 2 2 3" xfId="1174" xr:uid="{00000000-0005-0000-0000-000019050000}"/>
    <cellStyle name="Moneda 2 3 3 2 2 3 2" xfId="1175" xr:uid="{00000000-0005-0000-0000-00001A050000}"/>
    <cellStyle name="Moneda 2 3 3 2 2 3 3" xfId="1176" xr:uid="{00000000-0005-0000-0000-00001B050000}"/>
    <cellStyle name="Moneda 2 3 3 2 2 4" xfId="1177" xr:uid="{00000000-0005-0000-0000-00001C050000}"/>
    <cellStyle name="Moneda 2 3 3 2 2 4 2" xfId="1178" xr:uid="{00000000-0005-0000-0000-00001D050000}"/>
    <cellStyle name="Moneda 2 3 3 2 2 5" xfId="1179" xr:uid="{00000000-0005-0000-0000-00001E050000}"/>
    <cellStyle name="Moneda 2 3 3 2 2 6" xfId="1180" xr:uid="{00000000-0005-0000-0000-00001F050000}"/>
    <cellStyle name="Moneda 2 3 3 2 3" xfId="1181" xr:uid="{00000000-0005-0000-0000-000020050000}"/>
    <cellStyle name="Moneda 2 3 3 2 3 2" xfId="1182" xr:uid="{00000000-0005-0000-0000-000021050000}"/>
    <cellStyle name="Moneda 2 3 3 2 3 2 2" xfId="1183" xr:uid="{00000000-0005-0000-0000-000022050000}"/>
    <cellStyle name="Moneda 2 3 3 2 3 3" xfId="1184" xr:uid="{00000000-0005-0000-0000-000023050000}"/>
    <cellStyle name="Moneda 2 3 3 2 4" xfId="1185" xr:uid="{00000000-0005-0000-0000-000024050000}"/>
    <cellStyle name="Moneda 2 3 3 2 4 2" xfId="1186" xr:uid="{00000000-0005-0000-0000-000025050000}"/>
    <cellStyle name="Moneda 2 3 3 2 4 3" xfId="1187" xr:uid="{00000000-0005-0000-0000-000026050000}"/>
    <cellStyle name="Moneda 2 3 3 2 5" xfId="1188" xr:uid="{00000000-0005-0000-0000-000027050000}"/>
    <cellStyle name="Moneda 2 3 3 2 5 2" xfId="1189" xr:uid="{00000000-0005-0000-0000-000028050000}"/>
    <cellStyle name="Moneda 2 3 3 2 6" xfId="1190" xr:uid="{00000000-0005-0000-0000-000029050000}"/>
    <cellStyle name="Moneda 2 3 3 2 7" xfId="1191" xr:uid="{00000000-0005-0000-0000-00002A050000}"/>
    <cellStyle name="Moneda 2 3 3 3" xfId="1192" xr:uid="{00000000-0005-0000-0000-00002B050000}"/>
    <cellStyle name="Moneda 2 3 3 3 2" xfId="1193" xr:uid="{00000000-0005-0000-0000-00002C050000}"/>
    <cellStyle name="Moneda 2 3 3 3 2 2" xfId="1194" xr:uid="{00000000-0005-0000-0000-00002D050000}"/>
    <cellStyle name="Moneda 2 3 3 3 2 2 2" xfId="1195" xr:uid="{00000000-0005-0000-0000-00002E050000}"/>
    <cellStyle name="Moneda 2 3 3 3 2 2 3" xfId="1196" xr:uid="{00000000-0005-0000-0000-00002F050000}"/>
    <cellStyle name="Moneda 2 3 3 3 2 3" xfId="1197" xr:uid="{00000000-0005-0000-0000-000030050000}"/>
    <cellStyle name="Moneda 2 3 3 3 2 4" xfId="1198" xr:uid="{00000000-0005-0000-0000-000031050000}"/>
    <cellStyle name="Moneda 2 3 3 3 3" xfId="1199" xr:uid="{00000000-0005-0000-0000-000032050000}"/>
    <cellStyle name="Moneda 2 3 3 3 3 2" xfId="1200" xr:uid="{00000000-0005-0000-0000-000033050000}"/>
    <cellStyle name="Moneda 2 3 3 3 3 2 2" xfId="1201" xr:uid="{00000000-0005-0000-0000-000034050000}"/>
    <cellStyle name="Moneda 2 3 3 3 3 3" xfId="1202" xr:uid="{00000000-0005-0000-0000-000035050000}"/>
    <cellStyle name="Moneda 2 3 3 3 4" xfId="1203" xr:uid="{00000000-0005-0000-0000-000036050000}"/>
    <cellStyle name="Moneda 2 3 3 3 4 2" xfId="1204" xr:uid="{00000000-0005-0000-0000-000037050000}"/>
    <cellStyle name="Moneda 2 3 3 3 4 3" xfId="1205" xr:uid="{00000000-0005-0000-0000-000038050000}"/>
    <cellStyle name="Moneda 2 3 3 3 5" xfId="1206" xr:uid="{00000000-0005-0000-0000-000039050000}"/>
    <cellStyle name="Moneda 2 3 3 3 6" xfId="1207" xr:uid="{00000000-0005-0000-0000-00003A050000}"/>
    <cellStyle name="Moneda 2 3 3 4" xfId="1208" xr:uid="{00000000-0005-0000-0000-00003B050000}"/>
    <cellStyle name="Moneda 2 3 3 4 2" xfId="1209" xr:uid="{00000000-0005-0000-0000-00003C050000}"/>
    <cellStyle name="Moneda 2 3 3 4 2 2" xfId="1210" xr:uid="{00000000-0005-0000-0000-00003D050000}"/>
    <cellStyle name="Moneda 2 3 3 4 2 2 2" xfId="1211" xr:uid="{00000000-0005-0000-0000-00003E050000}"/>
    <cellStyle name="Moneda 2 3 3 4 2 3" xfId="1212" xr:uid="{00000000-0005-0000-0000-00003F050000}"/>
    <cellStyle name="Moneda 2 3 3 4 2 4" xfId="1213" xr:uid="{00000000-0005-0000-0000-000040050000}"/>
    <cellStyle name="Moneda 2 3 3 4 3" xfId="1214" xr:uid="{00000000-0005-0000-0000-000041050000}"/>
    <cellStyle name="Moneda 2 3 3 4 3 2" xfId="1215" xr:uid="{00000000-0005-0000-0000-000042050000}"/>
    <cellStyle name="Moneda 2 3 3 4 4" xfId="1216" xr:uid="{00000000-0005-0000-0000-000043050000}"/>
    <cellStyle name="Moneda 2 3 3 4 5" xfId="1217" xr:uid="{00000000-0005-0000-0000-000044050000}"/>
    <cellStyle name="Moneda 2 3 3 5" xfId="1218" xr:uid="{00000000-0005-0000-0000-000045050000}"/>
    <cellStyle name="Moneda 2 3 3 5 2" xfId="1219" xr:uid="{00000000-0005-0000-0000-000046050000}"/>
    <cellStyle name="Moneda 2 3 3 5 2 2" xfId="1220" xr:uid="{00000000-0005-0000-0000-000047050000}"/>
    <cellStyle name="Moneda 2 3 3 5 2 3" xfId="1221" xr:uid="{00000000-0005-0000-0000-000048050000}"/>
    <cellStyle name="Moneda 2 3 3 5 3" xfId="1222" xr:uid="{00000000-0005-0000-0000-000049050000}"/>
    <cellStyle name="Moneda 2 3 3 5 4" xfId="1223" xr:uid="{00000000-0005-0000-0000-00004A050000}"/>
    <cellStyle name="Moneda 2 3 3 6" xfId="1224" xr:uid="{00000000-0005-0000-0000-00004B050000}"/>
    <cellStyle name="Moneda 2 3 3 6 2" xfId="1225" xr:uid="{00000000-0005-0000-0000-00004C050000}"/>
    <cellStyle name="Moneda 2 3 3 6 2 2" xfId="1226" xr:uid="{00000000-0005-0000-0000-00004D050000}"/>
    <cellStyle name="Moneda 2 3 3 6 3" xfId="1227" xr:uid="{00000000-0005-0000-0000-00004E050000}"/>
    <cellStyle name="Moneda 2 3 3 7" xfId="1228" xr:uid="{00000000-0005-0000-0000-00004F050000}"/>
    <cellStyle name="Moneda 2 3 3 7 2" xfId="1229" xr:uid="{00000000-0005-0000-0000-000050050000}"/>
    <cellStyle name="Moneda 2 3 3 8" xfId="1230" xr:uid="{00000000-0005-0000-0000-000051050000}"/>
    <cellStyle name="Moneda 2 3 4" xfId="1231" xr:uid="{00000000-0005-0000-0000-000052050000}"/>
    <cellStyle name="Moneda 2 3 4 2" xfId="1232" xr:uid="{00000000-0005-0000-0000-000053050000}"/>
    <cellStyle name="Moneda 2 3 4 2 2" xfId="1233" xr:uid="{00000000-0005-0000-0000-000054050000}"/>
    <cellStyle name="Moneda 2 3 4 2 2 2" xfId="1234" xr:uid="{00000000-0005-0000-0000-000055050000}"/>
    <cellStyle name="Moneda 2 3 4 2 2 2 2" xfId="1235" xr:uid="{00000000-0005-0000-0000-000056050000}"/>
    <cellStyle name="Moneda 2 3 4 2 2 2 2 2" xfId="1236" xr:uid="{00000000-0005-0000-0000-000057050000}"/>
    <cellStyle name="Moneda 2 3 4 2 2 2 3" xfId="1237" xr:uid="{00000000-0005-0000-0000-000058050000}"/>
    <cellStyle name="Moneda 2 3 4 2 2 3" xfId="1238" xr:uid="{00000000-0005-0000-0000-000059050000}"/>
    <cellStyle name="Moneda 2 3 4 2 2 3 2" xfId="1239" xr:uid="{00000000-0005-0000-0000-00005A050000}"/>
    <cellStyle name="Moneda 2 3 4 2 2 3 3" xfId="1240" xr:uid="{00000000-0005-0000-0000-00005B050000}"/>
    <cellStyle name="Moneda 2 3 4 2 2 4" xfId="1241" xr:uid="{00000000-0005-0000-0000-00005C050000}"/>
    <cellStyle name="Moneda 2 3 4 2 2 4 2" xfId="1242" xr:uid="{00000000-0005-0000-0000-00005D050000}"/>
    <cellStyle name="Moneda 2 3 4 2 2 5" xfId="1243" xr:uid="{00000000-0005-0000-0000-00005E050000}"/>
    <cellStyle name="Moneda 2 3 4 2 2 6" xfId="1244" xr:uid="{00000000-0005-0000-0000-00005F050000}"/>
    <cellStyle name="Moneda 2 3 4 2 3" xfId="1245" xr:uid="{00000000-0005-0000-0000-000060050000}"/>
    <cellStyle name="Moneda 2 3 4 2 3 2" xfId="1246" xr:uid="{00000000-0005-0000-0000-000061050000}"/>
    <cellStyle name="Moneda 2 3 4 2 3 2 2" xfId="1247" xr:uid="{00000000-0005-0000-0000-000062050000}"/>
    <cellStyle name="Moneda 2 3 4 2 3 3" xfId="1248" xr:uid="{00000000-0005-0000-0000-000063050000}"/>
    <cellStyle name="Moneda 2 3 4 2 4" xfId="1249" xr:uid="{00000000-0005-0000-0000-000064050000}"/>
    <cellStyle name="Moneda 2 3 4 2 4 2" xfId="1250" xr:uid="{00000000-0005-0000-0000-000065050000}"/>
    <cellStyle name="Moneda 2 3 4 2 4 3" xfId="1251" xr:uid="{00000000-0005-0000-0000-000066050000}"/>
    <cellStyle name="Moneda 2 3 4 2 5" xfId="1252" xr:uid="{00000000-0005-0000-0000-000067050000}"/>
    <cellStyle name="Moneda 2 3 4 2 5 2" xfId="1253" xr:uid="{00000000-0005-0000-0000-000068050000}"/>
    <cellStyle name="Moneda 2 3 4 2 6" xfId="1254" xr:uid="{00000000-0005-0000-0000-000069050000}"/>
    <cellStyle name="Moneda 2 3 4 2 7" xfId="1255" xr:uid="{00000000-0005-0000-0000-00006A050000}"/>
    <cellStyle name="Moneda 2 3 4 3" xfId="1256" xr:uid="{00000000-0005-0000-0000-00006B050000}"/>
    <cellStyle name="Moneda 2 3 4 3 2" xfId="1257" xr:uid="{00000000-0005-0000-0000-00006C050000}"/>
    <cellStyle name="Moneda 2 3 4 3 2 2" xfId="1258" xr:uid="{00000000-0005-0000-0000-00006D050000}"/>
    <cellStyle name="Moneda 2 3 4 3 2 2 2" xfId="1259" xr:uid="{00000000-0005-0000-0000-00006E050000}"/>
    <cellStyle name="Moneda 2 3 4 3 2 2 3" xfId="1260" xr:uid="{00000000-0005-0000-0000-00006F050000}"/>
    <cellStyle name="Moneda 2 3 4 3 2 3" xfId="1261" xr:uid="{00000000-0005-0000-0000-000070050000}"/>
    <cellStyle name="Moneda 2 3 4 3 2 4" xfId="1262" xr:uid="{00000000-0005-0000-0000-000071050000}"/>
    <cellStyle name="Moneda 2 3 4 3 3" xfId="1263" xr:uid="{00000000-0005-0000-0000-000072050000}"/>
    <cellStyle name="Moneda 2 3 4 3 3 2" xfId="1264" xr:uid="{00000000-0005-0000-0000-000073050000}"/>
    <cellStyle name="Moneda 2 3 4 3 3 2 2" xfId="1265" xr:uid="{00000000-0005-0000-0000-000074050000}"/>
    <cellStyle name="Moneda 2 3 4 3 3 3" xfId="1266" xr:uid="{00000000-0005-0000-0000-000075050000}"/>
    <cellStyle name="Moneda 2 3 4 3 4" xfId="1267" xr:uid="{00000000-0005-0000-0000-000076050000}"/>
    <cellStyle name="Moneda 2 3 4 3 4 2" xfId="1268" xr:uid="{00000000-0005-0000-0000-000077050000}"/>
    <cellStyle name="Moneda 2 3 4 3 4 3" xfId="1269" xr:uid="{00000000-0005-0000-0000-000078050000}"/>
    <cellStyle name="Moneda 2 3 4 3 5" xfId="1270" xr:uid="{00000000-0005-0000-0000-000079050000}"/>
    <cellStyle name="Moneda 2 3 4 3 6" xfId="1271" xr:uid="{00000000-0005-0000-0000-00007A050000}"/>
    <cellStyle name="Moneda 2 3 4 4" xfId="1272" xr:uid="{00000000-0005-0000-0000-00007B050000}"/>
    <cellStyle name="Moneda 2 3 4 4 2" xfId="1273" xr:uid="{00000000-0005-0000-0000-00007C050000}"/>
    <cellStyle name="Moneda 2 3 4 4 2 2" xfId="1274" xr:uid="{00000000-0005-0000-0000-00007D050000}"/>
    <cellStyle name="Moneda 2 3 4 4 2 2 2" xfId="1275" xr:uid="{00000000-0005-0000-0000-00007E050000}"/>
    <cellStyle name="Moneda 2 3 4 4 2 3" xfId="1276" xr:uid="{00000000-0005-0000-0000-00007F050000}"/>
    <cellStyle name="Moneda 2 3 4 4 2 4" xfId="1277" xr:uid="{00000000-0005-0000-0000-000080050000}"/>
    <cellStyle name="Moneda 2 3 4 4 3" xfId="1278" xr:uid="{00000000-0005-0000-0000-000081050000}"/>
    <cellStyle name="Moneda 2 3 4 4 3 2" xfId="1279" xr:uid="{00000000-0005-0000-0000-000082050000}"/>
    <cellStyle name="Moneda 2 3 4 4 4" xfId="1280" xr:uid="{00000000-0005-0000-0000-000083050000}"/>
    <cellStyle name="Moneda 2 3 4 4 5" xfId="1281" xr:uid="{00000000-0005-0000-0000-000084050000}"/>
    <cellStyle name="Moneda 2 3 4 5" xfId="1282" xr:uid="{00000000-0005-0000-0000-000085050000}"/>
    <cellStyle name="Moneda 2 3 4 5 2" xfId="1283" xr:uid="{00000000-0005-0000-0000-000086050000}"/>
    <cellStyle name="Moneda 2 3 4 5 2 2" xfId="1284" xr:uid="{00000000-0005-0000-0000-000087050000}"/>
    <cellStyle name="Moneda 2 3 4 5 2 3" xfId="1285" xr:uid="{00000000-0005-0000-0000-000088050000}"/>
    <cellStyle name="Moneda 2 3 4 5 3" xfId="1286" xr:uid="{00000000-0005-0000-0000-000089050000}"/>
    <cellStyle name="Moneda 2 3 4 5 4" xfId="1287" xr:uid="{00000000-0005-0000-0000-00008A050000}"/>
    <cellStyle name="Moneda 2 3 4 6" xfId="1288" xr:uid="{00000000-0005-0000-0000-00008B050000}"/>
    <cellStyle name="Moneda 2 3 4 6 2" xfId="1289" xr:uid="{00000000-0005-0000-0000-00008C050000}"/>
    <cellStyle name="Moneda 2 3 4 6 2 2" xfId="1290" xr:uid="{00000000-0005-0000-0000-00008D050000}"/>
    <cellStyle name="Moneda 2 3 4 6 3" xfId="1291" xr:uid="{00000000-0005-0000-0000-00008E050000}"/>
    <cellStyle name="Moneda 2 3 4 7" xfId="1292" xr:uid="{00000000-0005-0000-0000-00008F050000}"/>
    <cellStyle name="Moneda 2 3 4 7 2" xfId="1293" xr:uid="{00000000-0005-0000-0000-000090050000}"/>
    <cellStyle name="Moneda 2 3 4 8" xfId="1294" xr:uid="{00000000-0005-0000-0000-000091050000}"/>
    <cellStyle name="Moneda 2 3 5" xfId="1295" xr:uid="{00000000-0005-0000-0000-000092050000}"/>
    <cellStyle name="Moneda 2 3 5 2" xfId="1296" xr:uid="{00000000-0005-0000-0000-000093050000}"/>
    <cellStyle name="Moneda 2 3 5 2 2" xfId="1297" xr:uid="{00000000-0005-0000-0000-000094050000}"/>
    <cellStyle name="Moneda 2 3 5 2 2 2" xfId="1298" xr:uid="{00000000-0005-0000-0000-000095050000}"/>
    <cellStyle name="Moneda 2 3 5 2 2 2 2" xfId="1299" xr:uid="{00000000-0005-0000-0000-000096050000}"/>
    <cellStyle name="Moneda 2 3 5 2 2 2 3" xfId="1300" xr:uid="{00000000-0005-0000-0000-000097050000}"/>
    <cellStyle name="Moneda 2 3 5 2 2 3" xfId="1301" xr:uid="{00000000-0005-0000-0000-000098050000}"/>
    <cellStyle name="Moneda 2 3 5 2 2 3 2" xfId="1302" xr:uid="{00000000-0005-0000-0000-000099050000}"/>
    <cellStyle name="Moneda 2 3 5 2 2 4" xfId="1303" xr:uid="{00000000-0005-0000-0000-00009A050000}"/>
    <cellStyle name="Moneda 2 3 5 2 2 4 2" xfId="1304" xr:uid="{00000000-0005-0000-0000-00009B050000}"/>
    <cellStyle name="Moneda 2 3 5 2 2 5" xfId="1305" xr:uid="{00000000-0005-0000-0000-00009C050000}"/>
    <cellStyle name="Moneda 2 3 5 2 2 6" xfId="1306" xr:uid="{00000000-0005-0000-0000-00009D050000}"/>
    <cellStyle name="Moneda 2 3 5 2 3" xfId="1307" xr:uid="{00000000-0005-0000-0000-00009E050000}"/>
    <cellStyle name="Moneda 2 3 5 2 3 2" xfId="1308" xr:uid="{00000000-0005-0000-0000-00009F050000}"/>
    <cellStyle name="Moneda 2 3 5 2 3 3" xfId="1309" xr:uid="{00000000-0005-0000-0000-0000A0050000}"/>
    <cellStyle name="Moneda 2 3 5 2 4" xfId="1310" xr:uid="{00000000-0005-0000-0000-0000A1050000}"/>
    <cellStyle name="Moneda 2 3 5 2 4 2" xfId="1311" xr:uid="{00000000-0005-0000-0000-0000A2050000}"/>
    <cellStyle name="Moneda 2 3 5 2 5" xfId="1312" xr:uid="{00000000-0005-0000-0000-0000A3050000}"/>
    <cellStyle name="Moneda 2 3 5 2 5 2" xfId="1313" xr:uid="{00000000-0005-0000-0000-0000A4050000}"/>
    <cellStyle name="Moneda 2 3 5 2 6" xfId="1314" xr:uid="{00000000-0005-0000-0000-0000A5050000}"/>
    <cellStyle name="Moneda 2 3 5 2 7" xfId="1315" xr:uid="{00000000-0005-0000-0000-0000A6050000}"/>
    <cellStyle name="Moneda 2 3 5 3" xfId="1316" xr:uid="{00000000-0005-0000-0000-0000A7050000}"/>
    <cellStyle name="Moneda 2 3 5 3 2" xfId="1317" xr:uid="{00000000-0005-0000-0000-0000A8050000}"/>
    <cellStyle name="Moneda 2 3 5 3 2 2" xfId="1318" xr:uid="{00000000-0005-0000-0000-0000A9050000}"/>
    <cellStyle name="Moneda 2 3 5 3 2 3" xfId="1319" xr:uid="{00000000-0005-0000-0000-0000AA050000}"/>
    <cellStyle name="Moneda 2 3 5 3 3" xfId="1320" xr:uid="{00000000-0005-0000-0000-0000AB050000}"/>
    <cellStyle name="Moneda 2 3 5 3 3 2" xfId="1321" xr:uid="{00000000-0005-0000-0000-0000AC050000}"/>
    <cellStyle name="Moneda 2 3 5 3 4" xfId="1322" xr:uid="{00000000-0005-0000-0000-0000AD050000}"/>
    <cellStyle name="Moneda 2 3 5 3 4 2" xfId="1323" xr:uid="{00000000-0005-0000-0000-0000AE050000}"/>
    <cellStyle name="Moneda 2 3 5 3 5" xfId="1324" xr:uid="{00000000-0005-0000-0000-0000AF050000}"/>
    <cellStyle name="Moneda 2 3 5 3 6" xfId="1325" xr:uid="{00000000-0005-0000-0000-0000B0050000}"/>
    <cellStyle name="Moneda 2 3 5 4" xfId="1326" xr:uid="{00000000-0005-0000-0000-0000B1050000}"/>
    <cellStyle name="Moneda 2 3 5 4 2" xfId="1327" xr:uid="{00000000-0005-0000-0000-0000B2050000}"/>
    <cellStyle name="Moneda 2 3 5 4 3" xfId="1328" xr:uid="{00000000-0005-0000-0000-0000B3050000}"/>
    <cellStyle name="Moneda 2 3 5 5" xfId="1329" xr:uid="{00000000-0005-0000-0000-0000B4050000}"/>
    <cellStyle name="Moneda 2 3 5 5 2" xfId="1330" xr:uid="{00000000-0005-0000-0000-0000B5050000}"/>
    <cellStyle name="Moneda 2 3 5 6" xfId="1331" xr:uid="{00000000-0005-0000-0000-0000B6050000}"/>
    <cellStyle name="Moneda 2 3 5 6 2" xfId="1332" xr:uid="{00000000-0005-0000-0000-0000B7050000}"/>
    <cellStyle name="Moneda 2 3 5 7" xfId="1333" xr:uid="{00000000-0005-0000-0000-0000B8050000}"/>
    <cellStyle name="Moneda 2 3 5 8" xfId="1334" xr:uid="{00000000-0005-0000-0000-0000B9050000}"/>
    <cellStyle name="Moneda 2 3 6" xfId="1335" xr:uid="{00000000-0005-0000-0000-0000BA050000}"/>
    <cellStyle name="Moneda 2 3 6 2" xfId="1336" xr:uid="{00000000-0005-0000-0000-0000BB050000}"/>
    <cellStyle name="Moneda 2 3 6 2 2" xfId="1337" xr:uid="{00000000-0005-0000-0000-0000BC050000}"/>
    <cellStyle name="Moneda 2 3 6 2 2 2" xfId="1338" xr:uid="{00000000-0005-0000-0000-0000BD050000}"/>
    <cellStyle name="Moneda 2 3 6 2 2 2 2" xfId="1339" xr:uid="{00000000-0005-0000-0000-0000BE050000}"/>
    <cellStyle name="Moneda 2 3 6 2 2 3" xfId="1340" xr:uid="{00000000-0005-0000-0000-0000BF050000}"/>
    <cellStyle name="Moneda 2 3 6 2 3" xfId="1341" xr:uid="{00000000-0005-0000-0000-0000C0050000}"/>
    <cellStyle name="Moneda 2 3 6 2 3 2" xfId="1342" xr:uid="{00000000-0005-0000-0000-0000C1050000}"/>
    <cellStyle name="Moneda 2 3 6 2 3 3" xfId="1343" xr:uid="{00000000-0005-0000-0000-0000C2050000}"/>
    <cellStyle name="Moneda 2 3 6 2 4" xfId="1344" xr:uid="{00000000-0005-0000-0000-0000C3050000}"/>
    <cellStyle name="Moneda 2 3 6 2 4 2" xfId="1345" xr:uid="{00000000-0005-0000-0000-0000C4050000}"/>
    <cellStyle name="Moneda 2 3 6 2 5" xfId="1346" xr:uid="{00000000-0005-0000-0000-0000C5050000}"/>
    <cellStyle name="Moneda 2 3 6 2 6" xfId="1347" xr:uid="{00000000-0005-0000-0000-0000C6050000}"/>
    <cellStyle name="Moneda 2 3 6 3" xfId="1348" xr:uid="{00000000-0005-0000-0000-0000C7050000}"/>
    <cellStyle name="Moneda 2 3 6 3 2" xfId="1349" xr:uid="{00000000-0005-0000-0000-0000C8050000}"/>
    <cellStyle name="Moneda 2 3 6 3 2 2" xfId="1350" xr:uid="{00000000-0005-0000-0000-0000C9050000}"/>
    <cellStyle name="Moneda 2 3 6 3 3" xfId="1351" xr:uid="{00000000-0005-0000-0000-0000CA050000}"/>
    <cellStyle name="Moneda 2 3 6 4" xfId="1352" xr:uid="{00000000-0005-0000-0000-0000CB050000}"/>
    <cellStyle name="Moneda 2 3 6 4 2" xfId="1353" xr:uid="{00000000-0005-0000-0000-0000CC050000}"/>
    <cellStyle name="Moneda 2 3 6 4 3" xfId="1354" xr:uid="{00000000-0005-0000-0000-0000CD050000}"/>
    <cellStyle name="Moneda 2 3 6 5" xfId="1355" xr:uid="{00000000-0005-0000-0000-0000CE050000}"/>
    <cellStyle name="Moneda 2 3 6 5 2" xfId="1356" xr:uid="{00000000-0005-0000-0000-0000CF050000}"/>
    <cellStyle name="Moneda 2 3 6 6" xfId="1357" xr:uid="{00000000-0005-0000-0000-0000D0050000}"/>
    <cellStyle name="Moneda 2 3 6 7" xfId="1358" xr:uid="{00000000-0005-0000-0000-0000D1050000}"/>
    <cellStyle name="Moneda 2 3 7" xfId="1359" xr:uid="{00000000-0005-0000-0000-0000D2050000}"/>
    <cellStyle name="Moneda 2 3 7 2" xfId="1360" xr:uid="{00000000-0005-0000-0000-0000D3050000}"/>
    <cellStyle name="Moneda 2 3 7 2 2" xfId="1361" xr:uid="{00000000-0005-0000-0000-0000D4050000}"/>
    <cellStyle name="Moneda 2 3 7 2 2 2" xfId="1362" xr:uid="{00000000-0005-0000-0000-0000D5050000}"/>
    <cellStyle name="Moneda 2 3 7 2 2 3" xfId="1363" xr:uid="{00000000-0005-0000-0000-0000D6050000}"/>
    <cellStyle name="Moneda 2 3 7 2 3" xfId="1364" xr:uid="{00000000-0005-0000-0000-0000D7050000}"/>
    <cellStyle name="Moneda 2 3 7 2 4" xfId="1365" xr:uid="{00000000-0005-0000-0000-0000D8050000}"/>
    <cellStyle name="Moneda 2 3 7 3" xfId="1366" xr:uid="{00000000-0005-0000-0000-0000D9050000}"/>
    <cellStyle name="Moneda 2 3 7 3 2" xfId="1367" xr:uid="{00000000-0005-0000-0000-0000DA050000}"/>
    <cellStyle name="Moneda 2 3 7 3 2 2" xfId="1368" xr:uid="{00000000-0005-0000-0000-0000DB050000}"/>
    <cellStyle name="Moneda 2 3 7 3 3" xfId="1369" xr:uid="{00000000-0005-0000-0000-0000DC050000}"/>
    <cellStyle name="Moneda 2 3 7 4" xfId="1370" xr:uid="{00000000-0005-0000-0000-0000DD050000}"/>
    <cellStyle name="Moneda 2 3 7 4 2" xfId="1371" xr:uid="{00000000-0005-0000-0000-0000DE050000}"/>
    <cellStyle name="Moneda 2 3 7 4 3" xfId="1372" xr:uid="{00000000-0005-0000-0000-0000DF050000}"/>
    <cellStyle name="Moneda 2 3 7 5" xfId="1373" xr:uid="{00000000-0005-0000-0000-0000E0050000}"/>
    <cellStyle name="Moneda 2 3 7 6" xfId="1374" xr:uid="{00000000-0005-0000-0000-0000E1050000}"/>
    <cellStyle name="Moneda 2 3 8" xfId="1375" xr:uid="{00000000-0005-0000-0000-0000E2050000}"/>
    <cellStyle name="Moneda 2 3 8 2" xfId="1376" xr:uid="{00000000-0005-0000-0000-0000E3050000}"/>
    <cellStyle name="Moneda 2 3 8 2 2" xfId="1377" xr:uid="{00000000-0005-0000-0000-0000E4050000}"/>
    <cellStyle name="Moneda 2 3 8 2 3" xfId="1378" xr:uid="{00000000-0005-0000-0000-0000E5050000}"/>
    <cellStyle name="Moneda 2 3 8 3" xfId="1379" xr:uid="{00000000-0005-0000-0000-0000E6050000}"/>
    <cellStyle name="Moneda 2 3 8 4" xfId="1380" xr:uid="{00000000-0005-0000-0000-0000E7050000}"/>
    <cellStyle name="Moneda 2 3 9" xfId="1381" xr:uid="{00000000-0005-0000-0000-0000E8050000}"/>
    <cellStyle name="Moneda 2 3 9 2" xfId="1382" xr:uid="{00000000-0005-0000-0000-0000E9050000}"/>
    <cellStyle name="Moneda 2 3 9 2 2" xfId="1383" xr:uid="{00000000-0005-0000-0000-0000EA050000}"/>
    <cellStyle name="Moneda 2 3 9 3" xfId="1384" xr:uid="{00000000-0005-0000-0000-0000EB050000}"/>
    <cellStyle name="Moneda 2 4" xfId="1385" xr:uid="{00000000-0005-0000-0000-0000EC050000}"/>
    <cellStyle name="Moneda 2 4 2" xfId="1386" xr:uid="{00000000-0005-0000-0000-0000ED050000}"/>
    <cellStyle name="Moneda 2 5" xfId="1387" xr:uid="{00000000-0005-0000-0000-0000EE050000}"/>
    <cellStyle name="Moneda 2 5 2" xfId="1388" xr:uid="{00000000-0005-0000-0000-0000EF050000}"/>
    <cellStyle name="Moneda 2 5 2 2" xfId="1389" xr:uid="{00000000-0005-0000-0000-0000F0050000}"/>
    <cellStyle name="Moneda 2 5 3" xfId="1390" xr:uid="{00000000-0005-0000-0000-0000F1050000}"/>
    <cellStyle name="Moneda 2 5 3 2" xfId="1391" xr:uid="{00000000-0005-0000-0000-0000F2050000}"/>
    <cellStyle name="Moneda 2 5 4" xfId="1392" xr:uid="{00000000-0005-0000-0000-0000F3050000}"/>
    <cellStyle name="Moneda 2 5 4 2" xfId="1393" xr:uid="{00000000-0005-0000-0000-0000F4050000}"/>
    <cellStyle name="Moneda 2 5 5" xfId="1394" xr:uid="{00000000-0005-0000-0000-0000F5050000}"/>
    <cellStyle name="Moneda 2 6" xfId="1395" xr:uid="{00000000-0005-0000-0000-0000F6050000}"/>
    <cellStyle name="Moneda 20" xfId="1396" xr:uid="{00000000-0005-0000-0000-0000F7050000}"/>
    <cellStyle name="Moneda 20 2" xfId="1397" xr:uid="{00000000-0005-0000-0000-0000F8050000}"/>
    <cellStyle name="Moneda 20 2 2" xfId="1398" xr:uid="{00000000-0005-0000-0000-0000F9050000}"/>
    <cellStyle name="Moneda 20 2 2 2" xfId="1399" xr:uid="{00000000-0005-0000-0000-0000FA050000}"/>
    <cellStyle name="Moneda 20 2 2 2 2" xfId="1400" xr:uid="{00000000-0005-0000-0000-0000FB050000}"/>
    <cellStyle name="Moneda 20 2 2 3" xfId="1401" xr:uid="{00000000-0005-0000-0000-0000FC050000}"/>
    <cellStyle name="Moneda 20 2 2 3 2" xfId="1402" xr:uid="{00000000-0005-0000-0000-0000FD050000}"/>
    <cellStyle name="Moneda 20 2 2 4" xfId="1403" xr:uid="{00000000-0005-0000-0000-0000FE050000}"/>
    <cellStyle name="Moneda 20 2 2 4 2" xfId="1404" xr:uid="{00000000-0005-0000-0000-0000FF050000}"/>
    <cellStyle name="Moneda 20 2 2 5" xfId="1405" xr:uid="{00000000-0005-0000-0000-000000060000}"/>
    <cellStyle name="Moneda 20 2 3" xfId="1406" xr:uid="{00000000-0005-0000-0000-000001060000}"/>
    <cellStyle name="Moneda 20 2 3 2" xfId="1407" xr:uid="{00000000-0005-0000-0000-000002060000}"/>
    <cellStyle name="Moneda 20 2 4" xfId="1408" xr:uid="{00000000-0005-0000-0000-000003060000}"/>
    <cellStyle name="Moneda 20 2 4 2" xfId="1409" xr:uid="{00000000-0005-0000-0000-000004060000}"/>
    <cellStyle name="Moneda 20 2 5" xfId="1410" xr:uid="{00000000-0005-0000-0000-000005060000}"/>
    <cellStyle name="Moneda 20 2 5 2" xfId="1411" xr:uid="{00000000-0005-0000-0000-000006060000}"/>
    <cellStyle name="Moneda 20 2 6" xfId="1412" xr:uid="{00000000-0005-0000-0000-000007060000}"/>
    <cellStyle name="Moneda 20 2 7" xfId="1413" xr:uid="{00000000-0005-0000-0000-000008060000}"/>
    <cellStyle name="Moneda 20 3" xfId="1414" xr:uid="{00000000-0005-0000-0000-000009060000}"/>
    <cellStyle name="Moneda 20 3 2" xfId="1415" xr:uid="{00000000-0005-0000-0000-00000A060000}"/>
    <cellStyle name="Moneda 20 3 2 2" xfId="1416" xr:uid="{00000000-0005-0000-0000-00000B060000}"/>
    <cellStyle name="Moneda 20 3 3" xfId="1417" xr:uid="{00000000-0005-0000-0000-00000C060000}"/>
    <cellStyle name="Moneda 20 3 3 2" xfId="1418" xr:uid="{00000000-0005-0000-0000-00000D060000}"/>
    <cellStyle name="Moneda 20 3 4" xfId="1419" xr:uid="{00000000-0005-0000-0000-00000E060000}"/>
    <cellStyle name="Moneda 20 3 4 2" xfId="1420" xr:uid="{00000000-0005-0000-0000-00000F060000}"/>
    <cellStyle name="Moneda 20 3 5" xfId="1421" xr:uid="{00000000-0005-0000-0000-000010060000}"/>
    <cellStyle name="Moneda 20 4" xfId="1422" xr:uid="{00000000-0005-0000-0000-000011060000}"/>
    <cellStyle name="Moneda 20 4 2" xfId="1423" xr:uid="{00000000-0005-0000-0000-000012060000}"/>
    <cellStyle name="Moneda 20 5" xfId="1424" xr:uid="{00000000-0005-0000-0000-000013060000}"/>
    <cellStyle name="Moneda 20 5 2" xfId="1425" xr:uid="{00000000-0005-0000-0000-000014060000}"/>
    <cellStyle name="Moneda 20 6" xfId="1426" xr:uid="{00000000-0005-0000-0000-000015060000}"/>
    <cellStyle name="Moneda 20 6 2" xfId="1427" xr:uid="{00000000-0005-0000-0000-000016060000}"/>
    <cellStyle name="Moneda 20 7" xfId="1428" xr:uid="{00000000-0005-0000-0000-000017060000}"/>
    <cellStyle name="Moneda 20 8" xfId="1429" xr:uid="{00000000-0005-0000-0000-000018060000}"/>
    <cellStyle name="Moneda 21" xfId="1430" xr:uid="{00000000-0005-0000-0000-000019060000}"/>
    <cellStyle name="Moneda 21 2" xfId="1431" xr:uid="{00000000-0005-0000-0000-00001A060000}"/>
    <cellStyle name="Moneda 21 2 2" xfId="1432" xr:uid="{00000000-0005-0000-0000-00001B060000}"/>
    <cellStyle name="Moneda 21 2 2 2" xfId="1433" xr:uid="{00000000-0005-0000-0000-00001C060000}"/>
    <cellStyle name="Moneda 21 2 2 2 2" xfId="1434" xr:uid="{00000000-0005-0000-0000-00001D060000}"/>
    <cellStyle name="Moneda 21 2 2 3" xfId="1435" xr:uid="{00000000-0005-0000-0000-00001E060000}"/>
    <cellStyle name="Moneda 21 2 2 3 2" xfId="1436" xr:uid="{00000000-0005-0000-0000-00001F060000}"/>
    <cellStyle name="Moneda 21 2 2 4" xfId="1437" xr:uid="{00000000-0005-0000-0000-000020060000}"/>
    <cellStyle name="Moneda 21 2 2 4 2" xfId="1438" xr:uid="{00000000-0005-0000-0000-000021060000}"/>
    <cellStyle name="Moneda 21 2 2 5" xfId="1439" xr:uid="{00000000-0005-0000-0000-000022060000}"/>
    <cellStyle name="Moneda 21 2 3" xfId="1440" xr:uid="{00000000-0005-0000-0000-000023060000}"/>
    <cellStyle name="Moneda 21 2 3 2" xfId="1441" xr:uid="{00000000-0005-0000-0000-000024060000}"/>
    <cellStyle name="Moneda 21 2 4" xfId="1442" xr:uid="{00000000-0005-0000-0000-000025060000}"/>
    <cellStyle name="Moneda 21 2 4 2" xfId="1443" xr:uid="{00000000-0005-0000-0000-000026060000}"/>
    <cellStyle name="Moneda 21 2 5" xfId="1444" xr:uid="{00000000-0005-0000-0000-000027060000}"/>
    <cellStyle name="Moneda 21 2 5 2" xfId="1445" xr:uid="{00000000-0005-0000-0000-000028060000}"/>
    <cellStyle name="Moneda 21 2 6" xfId="1446" xr:uid="{00000000-0005-0000-0000-000029060000}"/>
    <cellStyle name="Moneda 21 2 7" xfId="1447" xr:uid="{00000000-0005-0000-0000-00002A060000}"/>
    <cellStyle name="Moneda 21 3" xfId="1448" xr:uid="{00000000-0005-0000-0000-00002B060000}"/>
    <cellStyle name="Moneda 21 3 2" xfId="1449" xr:uid="{00000000-0005-0000-0000-00002C060000}"/>
    <cellStyle name="Moneda 21 3 2 2" xfId="1450" xr:uid="{00000000-0005-0000-0000-00002D060000}"/>
    <cellStyle name="Moneda 21 3 3" xfId="1451" xr:uid="{00000000-0005-0000-0000-00002E060000}"/>
    <cellStyle name="Moneda 21 3 3 2" xfId="1452" xr:uid="{00000000-0005-0000-0000-00002F060000}"/>
    <cellStyle name="Moneda 21 3 4" xfId="1453" xr:uid="{00000000-0005-0000-0000-000030060000}"/>
    <cellStyle name="Moneda 21 3 4 2" xfId="1454" xr:uid="{00000000-0005-0000-0000-000031060000}"/>
    <cellStyle name="Moneda 21 3 5" xfId="1455" xr:uid="{00000000-0005-0000-0000-000032060000}"/>
    <cellStyle name="Moneda 21 4" xfId="1456" xr:uid="{00000000-0005-0000-0000-000033060000}"/>
    <cellStyle name="Moneda 21 4 2" xfId="1457" xr:uid="{00000000-0005-0000-0000-000034060000}"/>
    <cellStyle name="Moneda 21 5" xfId="1458" xr:uid="{00000000-0005-0000-0000-000035060000}"/>
    <cellStyle name="Moneda 21 5 2" xfId="1459" xr:uid="{00000000-0005-0000-0000-000036060000}"/>
    <cellStyle name="Moneda 21 6" xfId="1460" xr:uid="{00000000-0005-0000-0000-000037060000}"/>
    <cellStyle name="Moneda 21 6 2" xfId="1461" xr:uid="{00000000-0005-0000-0000-000038060000}"/>
    <cellStyle name="Moneda 21 7" xfId="1462" xr:uid="{00000000-0005-0000-0000-000039060000}"/>
    <cellStyle name="Moneda 21 8" xfId="1463" xr:uid="{00000000-0005-0000-0000-00003A060000}"/>
    <cellStyle name="Moneda 22" xfId="1464" xr:uid="{00000000-0005-0000-0000-00003B060000}"/>
    <cellStyle name="Moneda 22 2" xfId="1465" xr:uid="{00000000-0005-0000-0000-00003C060000}"/>
    <cellStyle name="Moneda 22 2 2" xfId="1466" xr:uid="{00000000-0005-0000-0000-00003D060000}"/>
    <cellStyle name="Moneda 22 2 2 2" xfId="1467" xr:uid="{00000000-0005-0000-0000-00003E060000}"/>
    <cellStyle name="Moneda 22 2 2 2 2" xfId="1468" xr:uid="{00000000-0005-0000-0000-00003F060000}"/>
    <cellStyle name="Moneda 22 2 2 3" xfId="1469" xr:uid="{00000000-0005-0000-0000-000040060000}"/>
    <cellStyle name="Moneda 22 2 2 3 2" xfId="1470" xr:uid="{00000000-0005-0000-0000-000041060000}"/>
    <cellStyle name="Moneda 22 2 2 4" xfId="1471" xr:uid="{00000000-0005-0000-0000-000042060000}"/>
    <cellStyle name="Moneda 22 2 2 4 2" xfId="1472" xr:uid="{00000000-0005-0000-0000-000043060000}"/>
    <cellStyle name="Moneda 22 2 2 5" xfId="1473" xr:uid="{00000000-0005-0000-0000-000044060000}"/>
    <cellStyle name="Moneda 22 2 3" xfId="1474" xr:uid="{00000000-0005-0000-0000-000045060000}"/>
    <cellStyle name="Moneda 22 2 3 2" xfId="1475" xr:uid="{00000000-0005-0000-0000-000046060000}"/>
    <cellStyle name="Moneda 22 2 4" xfId="1476" xr:uid="{00000000-0005-0000-0000-000047060000}"/>
    <cellStyle name="Moneda 22 2 4 2" xfId="1477" xr:uid="{00000000-0005-0000-0000-000048060000}"/>
    <cellStyle name="Moneda 22 2 5" xfId="1478" xr:uid="{00000000-0005-0000-0000-000049060000}"/>
    <cellStyle name="Moneda 22 2 5 2" xfId="1479" xr:uid="{00000000-0005-0000-0000-00004A060000}"/>
    <cellStyle name="Moneda 22 2 6" xfId="1480" xr:uid="{00000000-0005-0000-0000-00004B060000}"/>
    <cellStyle name="Moneda 22 3" xfId="1481" xr:uid="{00000000-0005-0000-0000-00004C060000}"/>
    <cellStyle name="Moneda 22 3 2" xfId="1482" xr:uid="{00000000-0005-0000-0000-00004D060000}"/>
    <cellStyle name="Moneda 22 3 2 2" xfId="1483" xr:uid="{00000000-0005-0000-0000-00004E060000}"/>
    <cellStyle name="Moneda 22 3 3" xfId="1484" xr:uid="{00000000-0005-0000-0000-00004F060000}"/>
    <cellStyle name="Moneda 22 3 3 2" xfId="1485" xr:uid="{00000000-0005-0000-0000-000050060000}"/>
    <cellStyle name="Moneda 22 3 4" xfId="1486" xr:uid="{00000000-0005-0000-0000-000051060000}"/>
    <cellStyle name="Moneda 22 3 4 2" xfId="1487" xr:uid="{00000000-0005-0000-0000-000052060000}"/>
    <cellStyle name="Moneda 22 3 5" xfId="1488" xr:uid="{00000000-0005-0000-0000-000053060000}"/>
    <cellStyle name="Moneda 22 4" xfId="1489" xr:uid="{00000000-0005-0000-0000-000054060000}"/>
    <cellStyle name="Moneda 22 4 2" xfId="1490" xr:uid="{00000000-0005-0000-0000-000055060000}"/>
    <cellStyle name="Moneda 22 5" xfId="1491" xr:uid="{00000000-0005-0000-0000-000056060000}"/>
    <cellStyle name="Moneda 22 5 2" xfId="1492" xr:uid="{00000000-0005-0000-0000-000057060000}"/>
    <cellStyle name="Moneda 22 6" xfId="1493" xr:uid="{00000000-0005-0000-0000-000058060000}"/>
    <cellStyle name="Moneda 22 6 2" xfId="1494" xr:uid="{00000000-0005-0000-0000-000059060000}"/>
    <cellStyle name="Moneda 22 7" xfId="1495" xr:uid="{00000000-0005-0000-0000-00005A060000}"/>
    <cellStyle name="Moneda 22 8" xfId="1496" xr:uid="{00000000-0005-0000-0000-00005B060000}"/>
    <cellStyle name="Moneda 23" xfId="1497" xr:uid="{00000000-0005-0000-0000-00005C060000}"/>
    <cellStyle name="Moneda 23 2" xfId="1498" xr:uid="{00000000-0005-0000-0000-00005D060000}"/>
    <cellStyle name="Moneda 23 2 2" xfId="1499" xr:uid="{00000000-0005-0000-0000-00005E060000}"/>
    <cellStyle name="Moneda 23 2 2 2" xfId="1500" xr:uid="{00000000-0005-0000-0000-00005F060000}"/>
    <cellStyle name="Moneda 23 2 3" xfId="1501" xr:uid="{00000000-0005-0000-0000-000060060000}"/>
    <cellStyle name="Moneda 23 2 3 2" xfId="1502" xr:uid="{00000000-0005-0000-0000-000061060000}"/>
    <cellStyle name="Moneda 23 2 4" xfId="1503" xr:uid="{00000000-0005-0000-0000-000062060000}"/>
    <cellStyle name="Moneda 23 2 4 2" xfId="1504" xr:uid="{00000000-0005-0000-0000-000063060000}"/>
    <cellStyle name="Moneda 23 2 5" xfId="1505" xr:uid="{00000000-0005-0000-0000-000064060000}"/>
    <cellStyle name="Moneda 23 3" xfId="1506" xr:uid="{00000000-0005-0000-0000-000065060000}"/>
    <cellStyle name="Moneda 23 3 2" xfId="1507" xr:uid="{00000000-0005-0000-0000-000066060000}"/>
    <cellStyle name="Moneda 23 4" xfId="1508" xr:uid="{00000000-0005-0000-0000-000067060000}"/>
    <cellStyle name="Moneda 23 4 2" xfId="1509" xr:uid="{00000000-0005-0000-0000-000068060000}"/>
    <cellStyle name="Moneda 23 5" xfId="1510" xr:uid="{00000000-0005-0000-0000-000069060000}"/>
    <cellStyle name="Moneda 23 5 2" xfId="1511" xr:uid="{00000000-0005-0000-0000-00006A060000}"/>
    <cellStyle name="Moneda 23 6" xfId="1512" xr:uid="{00000000-0005-0000-0000-00006B060000}"/>
    <cellStyle name="Moneda 23 7" xfId="1513" xr:uid="{00000000-0005-0000-0000-00006C060000}"/>
    <cellStyle name="Moneda 24" xfId="1514" xr:uid="{00000000-0005-0000-0000-00006D060000}"/>
    <cellStyle name="Moneda 24 2" xfId="1515" xr:uid="{00000000-0005-0000-0000-00006E060000}"/>
    <cellStyle name="Moneda 24 2 2" xfId="1516" xr:uid="{00000000-0005-0000-0000-00006F060000}"/>
    <cellStyle name="Moneda 24 2 2 2" xfId="1517" xr:uid="{00000000-0005-0000-0000-000070060000}"/>
    <cellStyle name="Moneda 24 2 3" xfId="1518" xr:uid="{00000000-0005-0000-0000-000071060000}"/>
    <cellStyle name="Moneda 24 2 3 2" xfId="1519" xr:uid="{00000000-0005-0000-0000-000072060000}"/>
    <cellStyle name="Moneda 24 2 4" xfId="1520" xr:uid="{00000000-0005-0000-0000-000073060000}"/>
    <cellStyle name="Moneda 24 2 4 2" xfId="1521" xr:uid="{00000000-0005-0000-0000-000074060000}"/>
    <cellStyle name="Moneda 24 2 5" xfId="1522" xr:uid="{00000000-0005-0000-0000-000075060000}"/>
    <cellStyle name="Moneda 24 3" xfId="1523" xr:uid="{00000000-0005-0000-0000-000076060000}"/>
    <cellStyle name="Moneda 24 3 2" xfId="1524" xr:uid="{00000000-0005-0000-0000-000077060000}"/>
    <cellStyle name="Moneda 24 4" xfId="1525" xr:uid="{00000000-0005-0000-0000-000078060000}"/>
    <cellStyle name="Moneda 24 4 2" xfId="1526" xr:uid="{00000000-0005-0000-0000-000079060000}"/>
    <cellStyle name="Moneda 24 5" xfId="1527" xr:uid="{00000000-0005-0000-0000-00007A060000}"/>
    <cellStyle name="Moneda 24 5 2" xfId="1528" xr:uid="{00000000-0005-0000-0000-00007B060000}"/>
    <cellStyle name="Moneda 24 6" xfId="1529" xr:uid="{00000000-0005-0000-0000-00007C060000}"/>
    <cellStyle name="Moneda 24 7" xfId="1530" xr:uid="{00000000-0005-0000-0000-00007D060000}"/>
    <cellStyle name="Moneda 25" xfId="1531" xr:uid="{00000000-0005-0000-0000-00007E060000}"/>
    <cellStyle name="Moneda 25 2" xfId="1532" xr:uid="{00000000-0005-0000-0000-00007F060000}"/>
    <cellStyle name="Moneda 25 2 2" xfId="1533" xr:uid="{00000000-0005-0000-0000-000080060000}"/>
    <cellStyle name="Moneda 25 3" xfId="1534" xr:uid="{00000000-0005-0000-0000-000081060000}"/>
    <cellStyle name="Moneda 25 3 2" xfId="1535" xr:uid="{00000000-0005-0000-0000-000082060000}"/>
    <cellStyle name="Moneda 25 4" xfId="1536" xr:uid="{00000000-0005-0000-0000-000083060000}"/>
    <cellStyle name="Moneda 25 4 2" xfId="1537" xr:uid="{00000000-0005-0000-0000-000084060000}"/>
    <cellStyle name="Moneda 25 5" xfId="1538" xr:uid="{00000000-0005-0000-0000-000085060000}"/>
    <cellStyle name="Moneda 26" xfId="1539" xr:uid="{00000000-0005-0000-0000-000086060000}"/>
    <cellStyle name="Moneda 26 2" xfId="1540" xr:uid="{00000000-0005-0000-0000-000087060000}"/>
    <cellStyle name="Moneda 26 2 2" xfId="1541" xr:uid="{00000000-0005-0000-0000-000088060000}"/>
    <cellStyle name="Moneda 26 3" xfId="1542" xr:uid="{00000000-0005-0000-0000-000089060000}"/>
    <cellStyle name="Moneda 26 3 2" xfId="1543" xr:uid="{00000000-0005-0000-0000-00008A060000}"/>
    <cellStyle name="Moneda 26 4" xfId="1544" xr:uid="{00000000-0005-0000-0000-00008B060000}"/>
    <cellStyle name="Moneda 26 4 2" xfId="1545" xr:uid="{00000000-0005-0000-0000-00008C060000}"/>
    <cellStyle name="Moneda 26 5" xfId="1546" xr:uid="{00000000-0005-0000-0000-00008D060000}"/>
    <cellStyle name="Moneda 27" xfId="1547" xr:uid="{00000000-0005-0000-0000-00008E060000}"/>
    <cellStyle name="Moneda 27 2" xfId="1548" xr:uid="{00000000-0005-0000-0000-00008F060000}"/>
    <cellStyle name="Moneda 27 2 2" xfId="1549" xr:uid="{00000000-0005-0000-0000-000090060000}"/>
    <cellStyle name="Moneda 27 3" xfId="1550" xr:uid="{00000000-0005-0000-0000-000091060000}"/>
    <cellStyle name="Moneda 27 3 2" xfId="1551" xr:uid="{00000000-0005-0000-0000-000092060000}"/>
    <cellStyle name="Moneda 27 4" xfId="1552" xr:uid="{00000000-0005-0000-0000-000093060000}"/>
    <cellStyle name="Moneda 27 4 2" xfId="1553" xr:uid="{00000000-0005-0000-0000-000094060000}"/>
    <cellStyle name="Moneda 27 5" xfId="1554" xr:uid="{00000000-0005-0000-0000-000095060000}"/>
    <cellStyle name="Moneda 28" xfId="1555" xr:uid="{00000000-0005-0000-0000-000096060000}"/>
    <cellStyle name="Moneda 28 2" xfId="1556" xr:uid="{00000000-0005-0000-0000-000097060000}"/>
    <cellStyle name="Moneda 28 2 2" xfId="1557" xr:uid="{00000000-0005-0000-0000-000098060000}"/>
    <cellStyle name="Moneda 28 3" xfId="1558" xr:uid="{00000000-0005-0000-0000-000099060000}"/>
    <cellStyle name="Moneda 28 3 2" xfId="1559" xr:uid="{00000000-0005-0000-0000-00009A060000}"/>
    <cellStyle name="Moneda 28 4" xfId="1560" xr:uid="{00000000-0005-0000-0000-00009B060000}"/>
    <cellStyle name="Moneda 28 4 2" xfId="1561" xr:uid="{00000000-0005-0000-0000-00009C060000}"/>
    <cellStyle name="Moneda 28 5" xfId="1562" xr:uid="{00000000-0005-0000-0000-00009D060000}"/>
    <cellStyle name="Moneda 29" xfId="1563" xr:uid="{00000000-0005-0000-0000-00009E060000}"/>
    <cellStyle name="Moneda 29 2" xfId="1564" xr:uid="{00000000-0005-0000-0000-00009F060000}"/>
    <cellStyle name="Moneda 29 2 2" xfId="1565" xr:uid="{00000000-0005-0000-0000-0000A0060000}"/>
    <cellStyle name="Moneda 29 3" xfId="1566" xr:uid="{00000000-0005-0000-0000-0000A1060000}"/>
    <cellStyle name="Moneda 29 3 2" xfId="1567" xr:uid="{00000000-0005-0000-0000-0000A2060000}"/>
    <cellStyle name="Moneda 29 4" xfId="1568" xr:uid="{00000000-0005-0000-0000-0000A3060000}"/>
    <cellStyle name="Moneda 29 4 2" xfId="1569" xr:uid="{00000000-0005-0000-0000-0000A4060000}"/>
    <cellStyle name="Moneda 29 5" xfId="1570" xr:uid="{00000000-0005-0000-0000-0000A5060000}"/>
    <cellStyle name="Moneda 3" xfId="14" xr:uid="{00000000-0005-0000-0000-0000A6060000}"/>
    <cellStyle name="Moneda 3 10" xfId="1571" xr:uid="{00000000-0005-0000-0000-0000A7060000}"/>
    <cellStyle name="Moneda 3 10 2" xfId="1572" xr:uid="{00000000-0005-0000-0000-0000A8060000}"/>
    <cellStyle name="Moneda 3 10 2 2" xfId="1573" xr:uid="{00000000-0005-0000-0000-0000A9060000}"/>
    <cellStyle name="Moneda 3 10 3" xfId="1574" xr:uid="{00000000-0005-0000-0000-0000AA060000}"/>
    <cellStyle name="Moneda 3 10 3 2" xfId="1575" xr:uid="{00000000-0005-0000-0000-0000AB060000}"/>
    <cellStyle name="Moneda 3 10 4" xfId="1576" xr:uid="{00000000-0005-0000-0000-0000AC060000}"/>
    <cellStyle name="Moneda 3 10 4 2" xfId="1577" xr:uid="{00000000-0005-0000-0000-0000AD060000}"/>
    <cellStyle name="Moneda 3 10 5" xfId="1578" xr:uid="{00000000-0005-0000-0000-0000AE060000}"/>
    <cellStyle name="Moneda 3 11" xfId="1579" xr:uid="{00000000-0005-0000-0000-0000AF060000}"/>
    <cellStyle name="Moneda 3 11 2" xfId="1580" xr:uid="{00000000-0005-0000-0000-0000B0060000}"/>
    <cellStyle name="Moneda 3 12" xfId="1581" xr:uid="{00000000-0005-0000-0000-0000B1060000}"/>
    <cellStyle name="Moneda 3 12 2" xfId="1582" xr:uid="{00000000-0005-0000-0000-0000B2060000}"/>
    <cellStyle name="Moneda 3 13" xfId="1583" xr:uid="{00000000-0005-0000-0000-0000B3060000}"/>
    <cellStyle name="Moneda 3 13 2" xfId="1584" xr:uid="{00000000-0005-0000-0000-0000B4060000}"/>
    <cellStyle name="Moneda 3 14" xfId="1585" xr:uid="{00000000-0005-0000-0000-0000B5060000}"/>
    <cellStyle name="Moneda 3 14 2" xfId="1586" xr:uid="{00000000-0005-0000-0000-0000B6060000}"/>
    <cellStyle name="Moneda 3 15" xfId="1587" xr:uid="{00000000-0005-0000-0000-0000B7060000}"/>
    <cellStyle name="Moneda 3 15 2" xfId="1588" xr:uid="{00000000-0005-0000-0000-0000B8060000}"/>
    <cellStyle name="Moneda 3 15 3" xfId="1589" xr:uid="{00000000-0005-0000-0000-0000B9060000}"/>
    <cellStyle name="Moneda 3 15 4" xfId="2916" xr:uid="{00000000-0005-0000-0000-0000BA060000}"/>
    <cellStyle name="Moneda 3 15 4 2" xfId="3016" xr:uid="{00000000-0005-0000-0000-0000BB060000}"/>
    <cellStyle name="Moneda 3 15 4 2 2" xfId="3220" xr:uid="{2CC2C2BE-982D-4939-A279-0F8F4A25AE25}"/>
    <cellStyle name="Moneda 3 15 4 3" xfId="3122" xr:uid="{E072CE6E-D1B2-427B-95CC-B9815E09BECF}"/>
    <cellStyle name="Moneda 3 15 5" xfId="2967" xr:uid="{00000000-0005-0000-0000-0000BC060000}"/>
    <cellStyle name="Moneda 3 15 5 2" xfId="3171" xr:uid="{C1AF70A2-3D94-41AA-83F9-28FD1B1B07BF}"/>
    <cellStyle name="Moneda 3 15 6" xfId="3068" xr:uid="{739416C6-EC86-4540-9DC7-623043CBA389}"/>
    <cellStyle name="Moneda 3 16" xfId="1590" xr:uid="{00000000-0005-0000-0000-0000BD060000}"/>
    <cellStyle name="Moneda 3 2" xfId="1591" xr:uid="{00000000-0005-0000-0000-0000BE060000}"/>
    <cellStyle name="Moneda 3 2 10" xfId="1592" xr:uid="{00000000-0005-0000-0000-0000BF060000}"/>
    <cellStyle name="Moneda 3 2 10 2" xfId="1593" xr:uid="{00000000-0005-0000-0000-0000C0060000}"/>
    <cellStyle name="Moneda 3 2 11" xfId="1594" xr:uid="{00000000-0005-0000-0000-0000C1060000}"/>
    <cellStyle name="Moneda 3 2 2" xfId="1595" xr:uid="{00000000-0005-0000-0000-0000C2060000}"/>
    <cellStyle name="Moneda 3 2 2 2" xfId="1596" xr:uid="{00000000-0005-0000-0000-0000C3060000}"/>
    <cellStyle name="Moneda 3 2 2 2 2" xfId="1597" xr:uid="{00000000-0005-0000-0000-0000C4060000}"/>
    <cellStyle name="Moneda 3 2 2 2 2 2" xfId="1598" xr:uid="{00000000-0005-0000-0000-0000C5060000}"/>
    <cellStyle name="Moneda 3 2 2 2 2 2 2" xfId="1599" xr:uid="{00000000-0005-0000-0000-0000C6060000}"/>
    <cellStyle name="Moneda 3 2 2 2 2 3" xfId="1600" xr:uid="{00000000-0005-0000-0000-0000C7060000}"/>
    <cellStyle name="Moneda 3 2 2 2 2 3 2" xfId="1601" xr:uid="{00000000-0005-0000-0000-0000C8060000}"/>
    <cellStyle name="Moneda 3 2 2 2 2 4" xfId="1602" xr:uid="{00000000-0005-0000-0000-0000C9060000}"/>
    <cellStyle name="Moneda 3 2 2 2 2 4 2" xfId="1603" xr:uid="{00000000-0005-0000-0000-0000CA060000}"/>
    <cellStyle name="Moneda 3 2 2 2 2 5" xfId="1604" xr:uid="{00000000-0005-0000-0000-0000CB060000}"/>
    <cellStyle name="Moneda 3 2 2 2 3" xfId="1605" xr:uid="{00000000-0005-0000-0000-0000CC060000}"/>
    <cellStyle name="Moneda 3 2 2 2 3 2" xfId="1606" xr:uid="{00000000-0005-0000-0000-0000CD060000}"/>
    <cellStyle name="Moneda 3 2 2 2 4" xfId="1607" xr:uid="{00000000-0005-0000-0000-0000CE060000}"/>
    <cellStyle name="Moneda 3 2 2 2 4 2" xfId="1608" xr:uid="{00000000-0005-0000-0000-0000CF060000}"/>
    <cellStyle name="Moneda 3 2 2 2 5" xfId="1609" xr:uid="{00000000-0005-0000-0000-0000D0060000}"/>
    <cellStyle name="Moneda 3 2 2 2 5 2" xfId="1610" xr:uid="{00000000-0005-0000-0000-0000D1060000}"/>
    <cellStyle name="Moneda 3 2 2 2 6" xfId="1611" xr:uid="{00000000-0005-0000-0000-0000D2060000}"/>
    <cellStyle name="Moneda 3 2 2 3" xfId="1612" xr:uid="{00000000-0005-0000-0000-0000D3060000}"/>
    <cellStyle name="Moneda 3 2 2 3 2" xfId="1613" xr:uid="{00000000-0005-0000-0000-0000D4060000}"/>
    <cellStyle name="Moneda 3 2 2 3 2 2" xfId="1614" xr:uid="{00000000-0005-0000-0000-0000D5060000}"/>
    <cellStyle name="Moneda 3 2 2 3 2 2 2" xfId="1615" xr:uid="{00000000-0005-0000-0000-0000D6060000}"/>
    <cellStyle name="Moneda 3 2 2 3 2 3" xfId="1616" xr:uid="{00000000-0005-0000-0000-0000D7060000}"/>
    <cellStyle name="Moneda 3 2 2 3 3" xfId="1617" xr:uid="{00000000-0005-0000-0000-0000D8060000}"/>
    <cellStyle name="Moneda 3 2 2 3 3 2" xfId="1618" xr:uid="{00000000-0005-0000-0000-0000D9060000}"/>
    <cellStyle name="Moneda 3 2 2 3 4" xfId="1619" xr:uid="{00000000-0005-0000-0000-0000DA060000}"/>
    <cellStyle name="Moneda 3 2 2 3 4 2" xfId="1620" xr:uid="{00000000-0005-0000-0000-0000DB060000}"/>
    <cellStyle name="Moneda 3 2 2 3 5" xfId="1621" xr:uid="{00000000-0005-0000-0000-0000DC060000}"/>
    <cellStyle name="Moneda 3 2 2 4" xfId="1622" xr:uid="{00000000-0005-0000-0000-0000DD060000}"/>
    <cellStyle name="Moneda 3 2 2 4 2" xfId="1623" xr:uid="{00000000-0005-0000-0000-0000DE060000}"/>
    <cellStyle name="Moneda 3 2 2 4 2 2" xfId="1624" xr:uid="{00000000-0005-0000-0000-0000DF060000}"/>
    <cellStyle name="Moneda 3 2 2 4 2 2 2" xfId="1625" xr:uid="{00000000-0005-0000-0000-0000E0060000}"/>
    <cellStyle name="Moneda 3 2 2 4 2 3" xfId="1626" xr:uid="{00000000-0005-0000-0000-0000E1060000}"/>
    <cellStyle name="Moneda 3 2 2 4 3" xfId="1627" xr:uid="{00000000-0005-0000-0000-0000E2060000}"/>
    <cellStyle name="Moneda 3 2 2 4 3 2" xfId="1628" xr:uid="{00000000-0005-0000-0000-0000E3060000}"/>
    <cellStyle name="Moneda 3 2 2 4 4" xfId="1629" xr:uid="{00000000-0005-0000-0000-0000E4060000}"/>
    <cellStyle name="Moneda 3 2 2 5" xfId="1630" xr:uid="{00000000-0005-0000-0000-0000E5060000}"/>
    <cellStyle name="Moneda 3 2 2 5 2" xfId="1631" xr:uid="{00000000-0005-0000-0000-0000E6060000}"/>
    <cellStyle name="Moneda 3 2 2 5 2 2" xfId="1632" xr:uid="{00000000-0005-0000-0000-0000E7060000}"/>
    <cellStyle name="Moneda 3 2 2 5 3" xfId="1633" xr:uid="{00000000-0005-0000-0000-0000E8060000}"/>
    <cellStyle name="Moneda 3 2 2 6" xfId="1634" xr:uid="{00000000-0005-0000-0000-0000E9060000}"/>
    <cellStyle name="Moneda 3 2 2 6 2" xfId="1635" xr:uid="{00000000-0005-0000-0000-0000EA060000}"/>
    <cellStyle name="Moneda 3 2 2 7" xfId="1636" xr:uid="{00000000-0005-0000-0000-0000EB060000}"/>
    <cellStyle name="Moneda 3 2 3" xfId="1637" xr:uid="{00000000-0005-0000-0000-0000EC060000}"/>
    <cellStyle name="Moneda 3 2 3 2" xfId="1638" xr:uid="{00000000-0005-0000-0000-0000ED060000}"/>
    <cellStyle name="Moneda 3 2 3 2 2" xfId="1639" xr:uid="{00000000-0005-0000-0000-0000EE060000}"/>
    <cellStyle name="Moneda 3 2 3 2 2 2" xfId="1640" xr:uid="{00000000-0005-0000-0000-0000EF060000}"/>
    <cellStyle name="Moneda 3 2 3 2 2 2 2" xfId="1641" xr:uid="{00000000-0005-0000-0000-0000F0060000}"/>
    <cellStyle name="Moneda 3 2 3 2 2 3" xfId="1642" xr:uid="{00000000-0005-0000-0000-0000F1060000}"/>
    <cellStyle name="Moneda 3 2 3 2 2 3 2" xfId="1643" xr:uid="{00000000-0005-0000-0000-0000F2060000}"/>
    <cellStyle name="Moneda 3 2 3 2 2 4" xfId="1644" xr:uid="{00000000-0005-0000-0000-0000F3060000}"/>
    <cellStyle name="Moneda 3 2 3 2 2 4 2" xfId="1645" xr:uid="{00000000-0005-0000-0000-0000F4060000}"/>
    <cellStyle name="Moneda 3 2 3 2 2 5" xfId="1646" xr:uid="{00000000-0005-0000-0000-0000F5060000}"/>
    <cellStyle name="Moneda 3 2 3 2 3" xfId="1647" xr:uid="{00000000-0005-0000-0000-0000F6060000}"/>
    <cellStyle name="Moneda 3 2 3 2 3 2" xfId="1648" xr:uid="{00000000-0005-0000-0000-0000F7060000}"/>
    <cellStyle name="Moneda 3 2 3 2 4" xfId="1649" xr:uid="{00000000-0005-0000-0000-0000F8060000}"/>
    <cellStyle name="Moneda 3 2 3 2 4 2" xfId="1650" xr:uid="{00000000-0005-0000-0000-0000F9060000}"/>
    <cellStyle name="Moneda 3 2 3 2 5" xfId="1651" xr:uid="{00000000-0005-0000-0000-0000FA060000}"/>
    <cellStyle name="Moneda 3 2 3 2 5 2" xfId="1652" xr:uid="{00000000-0005-0000-0000-0000FB060000}"/>
    <cellStyle name="Moneda 3 2 3 2 6" xfId="1653" xr:uid="{00000000-0005-0000-0000-0000FC060000}"/>
    <cellStyle name="Moneda 3 2 3 3" xfId="1654" xr:uid="{00000000-0005-0000-0000-0000FD060000}"/>
    <cellStyle name="Moneda 3 2 3 3 2" xfId="1655" xr:uid="{00000000-0005-0000-0000-0000FE060000}"/>
    <cellStyle name="Moneda 3 2 3 3 2 2" xfId="1656" xr:uid="{00000000-0005-0000-0000-0000FF060000}"/>
    <cellStyle name="Moneda 3 2 3 3 3" xfId="1657" xr:uid="{00000000-0005-0000-0000-000000070000}"/>
    <cellStyle name="Moneda 3 2 3 3 3 2" xfId="1658" xr:uid="{00000000-0005-0000-0000-000001070000}"/>
    <cellStyle name="Moneda 3 2 3 3 4" xfId="1659" xr:uid="{00000000-0005-0000-0000-000002070000}"/>
    <cellStyle name="Moneda 3 2 3 3 4 2" xfId="1660" xr:uid="{00000000-0005-0000-0000-000003070000}"/>
    <cellStyle name="Moneda 3 2 3 3 5" xfId="1661" xr:uid="{00000000-0005-0000-0000-000004070000}"/>
    <cellStyle name="Moneda 3 2 3 4" xfId="1662" xr:uid="{00000000-0005-0000-0000-000005070000}"/>
    <cellStyle name="Moneda 3 2 3 4 2" xfId="1663" xr:uid="{00000000-0005-0000-0000-000006070000}"/>
    <cellStyle name="Moneda 3 2 3 5" xfId="1664" xr:uid="{00000000-0005-0000-0000-000007070000}"/>
    <cellStyle name="Moneda 3 2 3 5 2" xfId="1665" xr:uid="{00000000-0005-0000-0000-000008070000}"/>
    <cellStyle name="Moneda 3 2 3 6" xfId="1666" xr:uid="{00000000-0005-0000-0000-000009070000}"/>
    <cellStyle name="Moneda 3 2 3 6 2" xfId="1667" xr:uid="{00000000-0005-0000-0000-00000A070000}"/>
    <cellStyle name="Moneda 3 2 3 7" xfId="1668" xr:uid="{00000000-0005-0000-0000-00000B070000}"/>
    <cellStyle name="Moneda 3 2 4" xfId="1669" xr:uid="{00000000-0005-0000-0000-00000C070000}"/>
    <cellStyle name="Moneda 3 2 4 2" xfId="1670" xr:uid="{00000000-0005-0000-0000-00000D070000}"/>
    <cellStyle name="Moneda 3 2 4 2 2" xfId="1671" xr:uid="{00000000-0005-0000-0000-00000E070000}"/>
    <cellStyle name="Moneda 3 2 4 2 2 2" xfId="1672" xr:uid="{00000000-0005-0000-0000-00000F070000}"/>
    <cellStyle name="Moneda 3 2 4 2 2 2 2" xfId="1673" xr:uid="{00000000-0005-0000-0000-000010070000}"/>
    <cellStyle name="Moneda 3 2 4 2 2 3" xfId="1674" xr:uid="{00000000-0005-0000-0000-000011070000}"/>
    <cellStyle name="Moneda 3 2 4 2 2 3 2" xfId="1675" xr:uid="{00000000-0005-0000-0000-000012070000}"/>
    <cellStyle name="Moneda 3 2 4 2 2 4" xfId="1676" xr:uid="{00000000-0005-0000-0000-000013070000}"/>
    <cellStyle name="Moneda 3 2 4 2 2 4 2" xfId="1677" xr:uid="{00000000-0005-0000-0000-000014070000}"/>
    <cellStyle name="Moneda 3 2 4 2 2 5" xfId="1678" xr:uid="{00000000-0005-0000-0000-000015070000}"/>
    <cellStyle name="Moneda 3 2 4 2 3" xfId="1679" xr:uid="{00000000-0005-0000-0000-000016070000}"/>
    <cellStyle name="Moneda 3 2 4 2 3 2" xfId="1680" xr:uid="{00000000-0005-0000-0000-000017070000}"/>
    <cellStyle name="Moneda 3 2 4 2 4" xfId="1681" xr:uid="{00000000-0005-0000-0000-000018070000}"/>
    <cellStyle name="Moneda 3 2 4 2 4 2" xfId="1682" xr:uid="{00000000-0005-0000-0000-000019070000}"/>
    <cellStyle name="Moneda 3 2 4 2 5" xfId="1683" xr:uid="{00000000-0005-0000-0000-00001A070000}"/>
    <cellStyle name="Moneda 3 2 4 2 5 2" xfId="1684" xr:uid="{00000000-0005-0000-0000-00001B070000}"/>
    <cellStyle name="Moneda 3 2 4 2 6" xfId="1685" xr:uid="{00000000-0005-0000-0000-00001C070000}"/>
    <cellStyle name="Moneda 3 2 4 3" xfId="1686" xr:uid="{00000000-0005-0000-0000-00001D070000}"/>
    <cellStyle name="Moneda 3 2 4 3 2" xfId="1687" xr:uid="{00000000-0005-0000-0000-00001E070000}"/>
    <cellStyle name="Moneda 3 2 4 3 2 2" xfId="1688" xr:uid="{00000000-0005-0000-0000-00001F070000}"/>
    <cellStyle name="Moneda 3 2 4 3 3" xfId="1689" xr:uid="{00000000-0005-0000-0000-000020070000}"/>
    <cellStyle name="Moneda 3 2 4 3 3 2" xfId="1690" xr:uid="{00000000-0005-0000-0000-000021070000}"/>
    <cellStyle name="Moneda 3 2 4 3 4" xfId="1691" xr:uid="{00000000-0005-0000-0000-000022070000}"/>
    <cellStyle name="Moneda 3 2 4 3 4 2" xfId="1692" xr:uid="{00000000-0005-0000-0000-000023070000}"/>
    <cellStyle name="Moneda 3 2 4 3 5" xfId="1693" xr:uid="{00000000-0005-0000-0000-000024070000}"/>
    <cellStyle name="Moneda 3 2 4 4" xfId="1694" xr:uid="{00000000-0005-0000-0000-000025070000}"/>
    <cellStyle name="Moneda 3 2 4 4 2" xfId="1695" xr:uid="{00000000-0005-0000-0000-000026070000}"/>
    <cellStyle name="Moneda 3 2 4 5" xfId="1696" xr:uid="{00000000-0005-0000-0000-000027070000}"/>
    <cellStyle name="Moneda 3 2 4 5 2" xfId="1697" xr:uid="{00000000-0005-0000-0000-000028070000}"/>
    <cellStyle name="Moneda 3 2 4 6" xfId="1698" xr:uid="{00000000-0005-0000-0000-000029070000}"/>
    <cellStyle name="Moneda 3 2 4 6 2" xfId="1699" xr:uid="{00000000-0005-0000-0000-00002A070000}"/>
    <cellStyle name="Moneda 3 2 4 7" xfId="1700" xr:uid="{00000000-0005-0000-0000-00002B070000}"/>
    <cellStyle name="Moneda 3 2 5" xfId="1701" xr:uid="{00000000-0005-0000-0000-00002C070000}"/>
    <cellStyle name="Moneda 3 2 5 2" xfId="1702" xr:uid="{00000000-0005-0000-0000-00002D070000}"/>
    <cellStyle name="Moneda 3 2 5 2 2" xfId="1703" xr:uid="{00000000-0005-0000-0000-00002E070000}"/>
    <cellStyle name="Moneda 3 2 5 2 2 2" xfId="1704" xr:uid="{00000000-0005-0000-0000-00002F070000}"/>
    <cellStyle name="Moneda 3 2 5 2 3" xfId="1705" xr:uid="{00000000-0005-0000-0000-000030070000}"/>
    <cellStyle name="Moneda 3 2 5 2 3 2" xfId="1706" xr:uid="{00000000-0005-0000-0000-000031070000}"/>
    <cellStyle name="Moneda 3 2 5 2 4" xfId="1707" xr:uid="{00000000-0005-0000-0000-000032070000}"/>
    <cellStyle name="Moneda 3 2 5 2 4 2" xfId="1708" xr:uid="{00000000-0005-0000-0000-000033070000}"/>
    <cellStyle name="Moneda 3 2 5 2 5" xfId="1709" xr:uid="{00000000-0005-0000-0000-000034070000}"/>
    <cellStyle name="Moneda 3 2 5 3" xfId="1710" xr:uid="{00000000-0005-0000-0000-000035070000}"/>
    <cellStyle name="Moneda 3 2 5 3 2" xfId="1711" xr:uid="{00000000-0005-0000-0000-000036070000}"/>
    <cellStyle name="Moneda 3 2 5 4" xfId="1712" xr:uid="{00000000-0005-0000-0000-000037070000}"/>
    <cellStyle name="Moneda 3 2 5 4 2" xfId="1713" xr:uid="{00000000-0005-0000-0000-000038070000}"/>
    <cellStyle name="Moneda 3 2 5 5" xfId="1714" xr:uid="{00000000-0005-0000-0000-000039070000}"/>
    <cellStyle name="Moneda 3 2 5 5 2" xfId="1715" xr:uid="{00000000-0005-0000-0000-00003A070000}"/>
    <cellStyle name="Moneda 3 2 5 6" xfId="1716" xr:uid="{00000000-0005-0000-0000-00003B070000}"/>
    <cellStyle name="Moneda 3 2 6" xfId="1717" xr:uid="{00000000-0005-0000-0000-00003C070000}"/>
    <cellStyle name="Moneda 3 2 6 2" xfId="1718" xr:uid="{00000000-0005-0000-0000-00003D070000}"/>
    <cellStyle name="Moneda 3 2 6 2 2" xfId="1719" xr:uid="{00000000-0005-0000-0000-00003E070000}"/>
    <cellStyle name="Moneda 3 2 6 2 3" xfId="1720" xr:uid="{00000000-0005-0000-0000-00003F070000}"/>
    <cellStyle name="Moneda 3 2 6 3" xfId="1721" xr:uid="{00000000-0005-0000-0000-000040070000}"/>
    <cellStyle name="Moneda 3 2 6 4" xfId="1722" xr:uid="{00000000-0005-0000-0000-000041070000}"/>
    <cellStyle name="Moneda 3 2 7" xfId="1723" xr:uid="{00000000-0005-0000-0000-000042070000}"/>
    <cellStyle name="Moneda 3 2 7 2" xfId="1724" xr:uid="{00000000-0005-0000-0000-000043070000}"/>
    <cellStyle name="Moneda 3 2 7 2 2" xfId="1725" xr:uid="{00000000-0005-0000-0000-000044070000}"/>
    <cellStyle name="Moneda 3 2 7 3" xfId="1726" xr:uid="{00000000-0005-0000-0000-000045070000}"/>
    <cellStyle name="Moneda 3 2 7 3 2" xfId="1727" xr:uid="{00000000-0005-0000-0000-000046070000}"/>
    <cellStyle name="Moneda 3 2 7 4" xfId="1728" xr:uid="{00000000-0005-0000-0000-000047070000}"/>
    <cellStyle name="Moneda 3 2 7 4 2" xfId="1729" xr:uid="{00000000-0005-0000-0000-000048070000}"/>
    <cellStyle name="Moneda 3 2 7 5" xfId="1730" xr:uid="{00000000-0005-0000-0000-000049070000}"/>
    <cellStyle name="Moneda 3 2 8" xfId="1731" xr:uid="{00000000-0005-0000-0000-00004A070000}"/>
    <cellStyle name="Moneda 3 2 8 2" xfId="1732" xr:uid="{00000000-0005-0000-0000-00004B070000}"/>
    <cellStyle name="Moneda 3 2 8 3" xfId="1733" xr:uid="{00000000-0005-0000-0000-00004C070000}"/>
    <cellStyle name="Moneda 3 2 9" xfId="1734" xr:uid="{00000000-0005-0000-0000-00004D070000}"/>
    <cellStyle name="Moneda 3 2 9 2" xfId="1735" xr:uid="{00000000-0005-0000-0000-00004E070000}"/>
    <cellStyle name="Moneda 3 3" xfId="1736" xr:uid="{00000000-0005-0000-0000-00004F070000}"/>
    <cellStyle name="Moneda 3 3 2" xfId="1737" xr:uid="{00000000-0005-0000-0000-000050070000}"/>
    <cellStyle name="Moneda 3 3 2 2" xfId="1738" xr:uid="{00000000-0005-0000-0000-000051070000}"/>
    <cellStyle name="Moneda 3 3 2 2 2" xfId="1739" xr:uid="{00000000-0005-0000-0000-000052070000}"/>
    <cellStyle name="Moneda 3 3 2 2 2 2" xfId="1740" xr:uid="{00000000-0005-0000-0000-000053070000}"/>
    <cellStyle name="Moneda 3 3 2 2 3" xfId="1741" xr:uid="{00000000-0005-0000-0000-000054070000}"/>
    <cellStyle name="Moneda 3 3 2 2 3 2" xfId="1742" xr:uid="{00000000-0005-0000-0000-000055070000}"/>
    <cellStyle name="Moneda 3 3 2 2 4" xfId="1743" xr:uid="{00000000-0005-0000-0000-000056070000}"/>
    <cellStyle name="Moneda 3 3 2 2 4 2" xfId="1744" xr:uid="{00000000-0005-0000-0000-000057070000}"/>
    <cellStyle name="Moneda 3 3 2 2 5" xfId="1745" xr:uid="{00000000-0005-0000-0000-000058070000}"/>
    <cellStyle name="Moneda 3 3 2 3" xfId="1746" xr:uid="{00000000-0005-0000-0000-000059070000}"/>
    <cellStyle name="Moneda 3 3 2 3 2" xfId="1747" xr:uid="{00000000-0005-0000-0000-00005A070000}"/>
    <cellStyle name="Moneda 3 3 2 4" xfId="1748" xr:uid="{00000000-0005-0000-0000-00005B070000}"/>
    <cellStyle name="Moneda 3 3 2 4 2" xfId="1749" xr:uid="{00000000-0005-0000-0000-00005C070000}"/>
    <cellStyle name="Moneda 3 3 2 5" xfId="1750" xr:uid="{00000000-0005-0000-0000-00005D070000}"/>
    <cellStyle name="Moneda 3 3 2 5 2" xfId="1751" xr:uid="{00000000-0005-0000-0000-00005E070000}"/>
    <cellStyle name="Moneda 3 3 2 6" xfId="1752" xr:uid="{00000000-0005-0000-0000-00005F070000}"/>
    <cellStyle name="Moneda 3 3 2 7" xfId="1753" xr:uid="{00000000-0005-0000-0000-000060070000}"/>
    <cellStyle name="Moneda 3 3 3" xfId="1754" xr:uid="{00000000-0005-0000-0000-000061070000}"/>
    <cellStyle name="Moneda 3 3 3 2" xfId="1755" xr:uid="{00000000-0005-0000-0000-000062070000}"/>
    <cellStyle name="Moneda 3 3 3 2 2" xfId="1756" xr:uid="{00000000-0005-0000-0000-000063070000}"/>
    <cellStyle name="Moneda 3 3 3 3" xfId="1757" xr:uid="{00000000-0005-0000-0000-000064070000}"/>
    <cellStyle name="Moneda 3 3 3 3 2" xfId="1758" xr:uid="{00000000-0005-0000-0000-000065070000}"/>
    <cellStyle name="Moneda 3 3 3 4" xfId="1759" xr:uid="{00000000-0005-0000-0000-000066070000}"/>
    <cellStyle name="Moneda 3 3 3 4 2" xfId="1760" xr:uid="{00000000-0005-0000-0000-000067070000}"/>
    <cellStyle name="Moneda 3 3 3 5" xfId="1761" xr:uid="{00000000-0005-0000-0000-000068070000}"/>
    <cellStyle name="Moneda 3 3 4" xfId="1762" xr:uid="{00000000-0005-0000-0000-000069070000}"/>
    <cellStyle name="Moneda 3 3 4 2" xfId="1763" xr:uid="{00000000-0005-0000-0000-00006A070000}"/>
    <cellStyle name="Moneda 3 3 5" xfId="1764" xr:uid="{00000000-0005-0000-0000-00006B070000}"/>
    <cellStyle name="Moneda 3 3 5 2" xfId="1765" xr:uid="{00000000-0005-0000-0000-00006C070000}"/>
    <cellStyle name="Moneda 3 3 6" xfId="1766" xr:uid="{00000000-0005-0000-0000-00006D070000}"/>
    <cellStyle name="Moneda 3 3 6 2" xfId="1767" xr:uid="{00000000-0005-0000-0000-00006E070000}"/>
    <cellStyle name="Moneda 3 3 7" xfId="1768" xr:uid="{00000000-0005-0000-0000-00006F070000}"/>
    <cellStyle name="Moneda 3 3 8" xfId="1769" xr:uid="{00000000-0005-0000-0000-000070070000}"/>
    <cellStyle name="Moneda 3 4" xfId="1770" xr:uid="{00000000-0005-0000-0000-000071070000}"/>
    <cellStyle name="Moneda 3 4 2" xfId="1771" xr:uid="{00000000-0005-0000-0000-000072070000}"/>
    <cellStyle name="Moneda 3 4 2 2" xfId="1772" xr:uid="{00000000-0005-0000-0000-000073070000}"/>
    <cellStyle name="Moneda 3 4 2 2 2" xfId="1773" xr:uid="{00000000-0005-0000-0000-000074070000}"/>
    <cellStyle name="Moneda 3 4 2 2 2 2" xfId="1774" xr:uid="{00000000-0005-0000-0000-000075070000}"/>
    <cellStyle name="Moneda 3 4 2 2 3" xfId="1775" xr:uid="{00000000-0005-0000-0000-000076070000}"/>
    <cellStyle name="Moneda 3 4 2 2 3 2" xfId="1776" xr:uid="{00000000-0005-0000-0000-000077070000}"/>
    <cellStyle name="Moneda 3 4 2 2 4" xfId="1777" xr:uid="{00000000-0005-0000-0000-000078070000}"/>
    <cellStyle name="Moneda 3 4 2 2 4 2" xfId="1778" xr:uid="{00000000-0005-0000-0000-000079070000}"/>
    <cellStyle name="Moneda 3 4 2 2 5" xfId="1779" xr:uid="{00000000-0005-0000-0000-00007A070000}"/>
    <cellStyle name="Moneda 3 4 2 3" xfId="1780" xr:uid="{00000000-0005-0000-0000-00007B070000}"/>
    <cellStyle name="Moneda 3 4 2 3 2" xfId="1781" xr:uid="{00000000-0005-0000-0000-00007C070000}"/>
    <cellStyle name="Moneda 3 4 2 4" xfId="1782" xr:uid="{00000000-0005-0000-0000-00007D070000}"/>
    <cellStyle name="Moneda 3 4 2 4 2" xfId="1783" xr:uid="{00000000-0005-0000-0000-00007E070000}"/>
    <cellStyle name="Moneda 3 4 2 5" xfId="1784" xr:uid="{00000000-0005-0000-0000-00007F070000}"/>
    <cellStyle name="Moneda 3 4 2 5 2" xfId="1785" xr:uid="{00000000-0005-0000-0000-000080070000}"/>
    <cellStyle name="Moneda 3 4 2 6" xfId="1786" xr:uid="{00000000-0005-0000-0000-000081070000}"/>
    <cellStyle name="Moneda 3 4 3" xfId="1787" xr:uid="{00000000-0005-0000-0000-000082070000}"/>
    <cellStyle name="Moneda 3 4 3 2" xfId="1788" xr:uid="{00000000-0005-0000-0000-000083070000}"/>
    <cellStyle name="Moneda 3 4 3 2 2" xfId="1789" xr:uid="{00000000-0005-0000-0000-000084070000}"/>
    <cellStyle name="Moneda 3 4 3 3" xfId="1790" xr:uid="{00000000-0005-0000-0000-000085070000}"/>
    <cellStyle name="Moneda 3 4 3 3 2" xfId="1791" xr:uid="{00000000-0005-0000-0000-000086070000}"/>
    <cellStyle name="Moneda 3 4 3 4" xfId="1792" xr:uid="{00000000-0005-0000-0000-000087070000}"/>
    <cellStyle name="Moneda 3 4 3 4 2" xfId="1793" xr:uid="{00000000-0005-0000-0000-000088070000}"/>
    <cellStyle name="Moneda 3 4 3 5" xfId="1794" xr:uid="{00000000-0005-0000-0000-000089070000}"/>
    <cellStyle name="Moneda 3 4 4" xfId="1795" xr:uid="{00000000-0005-0000-0000-00008A070000}"/>
    <cellStyle name="Moneda 3 4 4 2" xfId="1796" xr:uid="{00000000-0005-0000-0000-00008B070000}"/>
    <cellStyle name="Moneda 3 4 5" xfId="1797" xr:uid="{00000000-0005-0000-0000-00008C070000}"/>
    <cellStyle name="Moneda 3 4 5 2" xfId="1798" xr:uid="{00000000-0005-0000-0000-00008D070000}"/>
    <cellStyle name="Moneda 3 4 6" xfId="1799" xr:uid="{00000000-0005-0000-0000-00008E070000}"/>
    <cellStyle name="Moneda 3 4 6 2" xfId="1800" xr:uid="{00000000-0005-0000-0000-00008F070000}"/>
    <cellStyle name="Moneda 3 4 7" xfId="1801" xr:uid="{00000000-0005-0000-0000-000090070000}"/>
    <cellStyle name="Moneda 3 5" xfId="1802" xr:uid="{00000000-0005-0000-0000-000091070000}"/>
    <cellStyle name="Moneda 3 5 10" xfId="2968" xr:uid="{00000000-0005-0000-0000-000092070000}"/>
    <cellStyle name="Moneda 3 5 10 2" xfId="3172" xr:uid="{4C2B9A3F-1636-4BD4-813F-6703794BCFFE}"/>
    <cellStyle name="Moneda 3 5 11" xfId="3069" xr:uid="{84416163-1324-4BF9-BF26-AC1F35FD8515}"/>
    <cellStyle name="Moneda 3 5 2" xfId="1803" xr:uid="{00000000-0005-0000-0000-000093070000}"/>
    <cellStyle name="Moneda 3 5 2 2" xfId="1804" xr:uid="{00000000-0005-0000-0000-000094070000}"/>
    <cellStyle name="Moneda 3 5 2 2 2" xfId="1805" xr:uid="{00000000-0005-0000-0000-000095070000}"/>
    <cellStyle name="Moneda 3 5 2 2 2 2" xfId="1806" xr:uid="{00000000-0005-0000-0000-000096070000}"/>
    <cellStyle name="Moneda 3 5 2 2 3" xfId="1807" xr:uid="{00000000-0005-0000-0000-000097070000}"/>
    <cellStyle name="Moneda 3 5 2 2 3 2" xfId="1808" xr:uid="{00000000-0005-0000-0000-000098070000}"/>
    <cellStyle name="Moneda 3 5 2 2 4" xfId="1809" xr:uid="{00000000-0005-0000-0000-000099070000}"/>
    <cellStyle name="Moneda 3 5 2 2 4 2" xfId="1810" xr:uid="{00000000-0005-0000-0000-00009A070000}"/>
    <cellStyle name="Moneda 3 5 2 2 5" xfId="1811" xr:uid="{00000000-0005-0000-0000-00009B070000}"/>
    <cellStyle name="Moneda 3 5 2 3" xfId="1812" xr:uid="{00000000-0005-0000-0000-00009C070000}"/>
    <cellStyle name="Moneda 3 5 2 3 2" xfId="1813" xr:uid="{00000000-0005-0000-0000-00009D070000}"/>
    <cellStyle name="Moneda 3 5 2 4" xfId="1814" xr:uid="{00000000-0005-0000-0000-00009E070000}"/>
    <cellStyle name="Moneda 3 5 2 4 2" xfId="1815" xr:uid="{00000000-0005-0000-0000-00009F070000}"/>
    <cellStyle name="Moneda 3 5 2 5" xfId="1816" xr:uid="{00000000-0005-0000-0000-0000A0070000}"/>
    <cellStyle name="Moneda 3 5 2 5 2" xfId="1817" xr:uid="{00000000-0005-0000-0000-0000A1070000}"/>
    <cellStyle name="Moneda 3 5 2 6" xfId="1818" xr:uid="{00000000-0005-0000-0000-0000A2070000}"/>
    <cellStyle name="Moneda 3 5 3" xfId="1819" xr:uid="{00000000-0005-0000-0000-0000A3070000}"/>
    <cellStyle name="Moneda 3 5 3 2" xfId="1820" xr:uid="{00000000-0005-0000-0000-0000A4070000}"/>
    <cellStyle name="Moneda 3 5 3 2 2" xfId="1821" xr:uid="{00000000-0005-0000-0000-0000A5070000}"/>
    <cellStyle name="Moneda 3 5 3 3" xfId="1822" xr:uid="{00000000-0005-0000-0000-0000A6070000}"/>
    <cellStyle name="Moneda 3 5 3 3 2" xfId="1823" xr:uid="{00000000-0005-0000-0000-0000A7070000}"/>
    <cellStyle name="Moneda 3 5 3 4" xfId="1824" xr:uid="{00000000-0005-0000-0000-0000A8070000}"/>
    <cellStyle name="Moneda 3 5 3 4 2" xfId="1825" xr:uid="{00000000-0005-0000-0000-0000A9070000}"/>
    <cellStyle name="Moneda 3 5 3 5" xfId="1826" xr:uid="{00000000-0005-0000-0000-0000AA070000}"/>
    <cellStyle name="Moneda 3 5 4" xfId="1827" xr:uid="{00000000-0005-0000-0000-0000AB070000}"/>
    <cellStyle name="Moneda 3 5 4 2" xfId="1828" xr:uid="{00000000-0005-0000-0000-0000AC070000}"/>
    <cellStyle name="Moneda 3 5 5" xfId="1829" xr:uid="{00000000-0005-0000-0000-0000AD070000}"/>
    <cellStyle name="Moneda 3 5 5 2" xfId="1830" xr:uid="{00000000-0005-0000-0000-0000AE070000}"/>
    <cellStyle name="Moneda 3 5 6" xfId="1831" xr:uid="{00000000-0005-0000-0000-0000AF070000}"/>
    <cellStyle name="Moneda 3 5 6 2" xfId="1832" xr:uid="{00000000-0005-0000-0000-0000B0070000}"/>
    <cellStyle name="Moneda 3 5 7" xfId="1833" xr:uid="{00000000-0005-0000-0000-0000B1070000}"/>
    <cellStyle name="Moneda 3 5 8" xfId="1834" xr:uid="{00000000-0005-0000-0000-0000B2070000}"/>
    <cellStyle name="Moneda 3 5 9" xfId="2917" xr:uid="{00000000-0005-0000-0000-0000B3070000}"/>
    <cellStyle name="Moneda 3 5 9 2" xfId="3017" xr:uid="{00000000-0005-0000-0000-0000B4070000}"/>
    <cellStyle name="Moneda 3 5 9 2 2" xfId="3221" xr:uid="{D242D96D-8523-4869-B2F0-EEA9A0039716}"/>
    <cellStyle name="Moneda 3 5 9 3" xfId="3123" xr:uid="{914F34B2-F92F-48F4-883B-61DA9EA63A88}"/>
    <cellStyle name="Moneda 3 6" xfId="1835" xr:uid="{00000000-0005-0000-0000-0000B5070000}"/>
    <cellStyle name="Moneda 3 6 2" xfId="1836" xr:uid="{00000000-0005-0000-0000-0000B6070000}"/>
    <cellStyle name="Moneda 3 6 2 2" xfId="1837" xr:uid="{00000000-0005-0000-0000-0000B7070000}"/>
    <cellStyle name="Moneda 3 6 2 2 2" xfId="1838" xr:uid="{00000000-0005-0000-0000-0000B8070000}"/>
    <cellStyle name="Moneda 3 6 2 3" xfId="1839" xr:uid="{00000000-0005-0000-0000-0000B9070000}"/>
    <cellStyle name="Moneda 3 6 3" xfId="1840" xr:uid="{00000000-0005-0000-0000-0000BA070000}"/>
    <cellStyle name="Moneda 3 7" xfId="1841" xr:uid="{00000000-0005-0000-0000-0000BB070000}"/>
    <cellStyle name="Moneda 3 7 2" xfId="1842" xr:uid="{00000000-0005-0000-0000-0000BC070000}"/>
    <cellStyle name="Moneda 3 7 2 2" xfId="1843" xr:uid="{00000000-0005-0000-0000-0000BD070000}"/>
    <cellStyle name="Moneda 3 7 3" xfId="1844" xr:uid="{00000000-0005-0000-0000-0000BE070000}"/>
    <cellStyle name="Moneda 3 8" xfId="1845" xr:uid="{00000000-0005-0000-0000-0000BF070000}"/>
    <cellStyle name="Moneda 3 8 2" xfId="1846" xr:uid="{00000000-0005-0000-0000-0000C0070000}"/>
    <cellStyle name="Moneda 3 8 2 2" xfId="1847" xr:uid="{00000000-0005-0000-0000-0000C1070000}"/>
    <cellStyle name="Moneda 3 8 2 2 2" xfId="1848" xr:uid="{00000000-0005-0000-0000-0000C2070000}"/>
    <cellStyle name="Moneda 3 8 2 3" xfId="1849" xr:uid="{00000000-0005-0000-0000-0000C3070000}"/>
    <cellStyle name="Moneda 3 8 2 3 2" xfId="1850" xr:uid="{00000000-0005-0000-0000-0000C4070000}"/>
    <cellStyle name="Moneda 3 8 2 4" xfId="1851" xr:uid="{00000000-0005-0000-0000-0000C5070000}"/>
    <cellStyle name="Moneda 3 8 2 4 2" xfId="1852" xr:uid="{00000000-0005-0000-0000-0000C6070000}"/>
    <cellStyle name="Moneda 3 8 2 5" xfId="1853" xr:uid="{00000000-0005-0000-0000-0000C7070000}"/>
    <cellStyle name="Moneda 3 8 3" xfId="1854" xr:uid="{00000000-0005-0000-0000-0000C8070000}"/>
    <cellStyle name="Moneda 3 8 3 2" xfId="1855" xr:uid="{00000000-0005-0000-0000-0000C9070000}"/>
    <cellStyle name="Moneda 3 8 4" xfId="1856" xr:uid="{00000000-0005-0000-0000-0000CA070000}"/>
    <cellStyle name="Moneda 3 8 4 2" xfId="1857" xr:uid="{00000000-0005-0000-0000-0000CB070000}"/>
    <cellStyle name="Moneda 3 8 5" xfId="1858" xr:uid="{00000000-0005-0000-0000-0000CC070000}"/>
    <cellStyle name="Moneda 3 8 5 2" xfId="1859" xr:uid="{00000000-0005-0000-0000-0000CD070000}"/>
    <cellStyle name="Moneda 3 8 6" xfId="1860" xr:uid="{00000000-0005-0000-0000-0000CE070000}"/>
    <cellStyle name="Moneda 3 9" xfId="1861" xr:uid="{00000000-0005-0000-0000-0000CF070000}"/>
    <cellStyle name="Moneda 3 9 2" xfId="1862" xr:uid="{00000000-0005-0000-0000-0000D0070000}"/>
    <cellStyle name="Moneda 30" xfId="1863" xr:uid="{00000000-0005-0000-0000-0000D1070000}"/>
    <cellStyle name="Moneda 30 2" xfId="1864" xr:uid="{00000000-0005-0000-0000-0000D2070000}"/>
    <cellStyle name="Moneda 30 2 2" xfId="1865" xr:uid="{00000000-0005-0000-0000-0000D3070000}"/>
    <cellStyle name="Moneda 30 3" xfId="1866" xr:uid="{00000000-0005-0000-0000-0000D4070000}"/>
    <cellStyle name="Moneda 30 3 2" xfId="1867" xr:uid="{00000000-0005-0000-0000-0000D5070000}"/>
    <cellStyle name="Moneda 30 4" xfId="1868" xr:uid="{00000000-0005-0000-0000-0000D6070000}"/>
    <cellStyle name="Moneda 30 4 2" xfId="1869" xr:uid="{00000000-0005-0000-0000-0000D7070000}"/>
    <cellStyle name="Moneda 30 5" xfId="1870" xr:uid="{00000000-0005-0000-0000-0000D8070000}"/>
    <cellStyle name="Moneda 31" xfId="1871" xr:uid="{00000000-0005-0000-0000-0000D9070000}"/>
    <cellStyle name="Moneda 31 2" xfId="1872" xr:uid="{00000000-0005-0000-0000-0000DA070000}"/>
    <cellStyle name="Moneda 32" xfId="1873" xr:uid="{00000000-0005-0000-0000-0000DB070000}"/>
    <cellStyle name="Moneda 32 2" xfId="1874" xr:uid="{00000000-0005-0000-0000-0000DC070000}"/>
    <cellStyle name="Moneda 33" xfId="1875" xr:uid="{00000000-0005-0000-0000-0000DD070000}"/>
    <cellStyle name="Moneda 33 2" xfId="1876" xr:uid="{00000000-0005-0000-0000-0000DE070000}"/>
    <cellStyle name="Moneda 34" xfId="1877" xr:uid="{00000000-0005-0000-0000-0000DF070000}"/>
    <cellStyle name="Moneda 34 2" xfId="1878" xr:uid="{00000000-0005-0000-0000-0000E0070000}"/>
    <cellStyle name="Moneda 35" xfId="1879" xr:uid="{00000000-0005-0000-0000-0000E1070000}"/>
    <cellStyle name="Moneda 35 2" xfId="1880" xr:uid="{00000000-0005-0000-0000-0000E2070000}"/>
    <cellStyle name="Moneda 36" xfId="1881" xr:uid="{00000000-0005-0000-0000-0000E3070000}"/>
    <cellStyle name="Moneda 36 2" xfId="1882" xr:uid="{00000000-0005-0000-0000-0000E4070000}"/>
    <cellStyle name="Moneda 37" xfId="1883" xr:uid="{00000000-0005-0000-0000-0000E5070000}"/>
    <cellStyle name="Moneda 37 2" xfId="1884" xr:uid="{00000000-0005-0000-0000-0000E6070000}"/>
    <cellStyle name="Moneda 38" xfId="1885" xr:uid="{00000000-0005-0000-0000-0000E7070000}"/>
    <cellStyle name="Moneda 38 2" xfId="1886" xr:uid="{00000000-0005-0000-0000-0000E8070000}"/>
    <cellStyle name="Moneda 39" xfId="1887" xr:uid="{00000000-0005-0000-0000-0000E9070000}"/>
    <cellStyle name="Moneda 39 2" xfId="1888" xr:uid="{00000000-0005-0000-0000-0000EA070000}"/>
    <cellStyle name="Moneda 4" xfId="15" xr:uid="{00000000-0005-0000-0000-0000EB070000}"/>
    <cellStyle name="Moneda 4 2" xfId="1889" xr:uid="{00000000-0005-0000-0000-0000EC070000}"/>
    <cellStyle name="Moneda 4 3" xfId="1890" xr:uid="{00000000-0005-0000-0000-0000ED070000}"/>
    <cellStyle name="Moneda 4 4" xfId="1891" xr:uid="{00000000-0005-0000-0000-0000EE070000}"/>
    <cellStyle name="Moneda 40" xfId="1892" xr:uid="{00000000-0005-0000-0000-0000EF070000}"/>
    <cellStyle name="Moneda 40 2" xfId="1893" xr:uid="{00000000-0005-0000-0000-0000F0070000}"/>
    <cellStyle name="Moneda 41" xfId="1894" xr:uid="{00000000-0005-0000-0000-0000F1070000}"/>
    <cellStyle name="Moneda 41 2" xfId="1895" xr:uid="{00000000-0005-0000-0000-0000F2070000}"/>
    <cellStyle name="Moneda 42" xfId="1896" xr:uid="{00000000-0005-0000-0000-0000F3070000}"/>
    <cellStyle name="Moneda 42 2" xfId="1897" xr:uid="{00000000-0005-0000-0000-0000F4070000}"/>
    <cellStyle name="Moneda 43" xfId="1898" xr:uid="{00000000-0005-0000-0000-0000F5070000}"/>
    <cellStyle name="Moneda 43 2" xfId="1899" xr:uid="{00000000-0005-0000-0000-0000F6070000}"/>
    <cellStyle name="Moneda 44" xfId="1900" xr:uid="{00000000-0005-0000-0000-0000F7070000}"/>
    <cellStyle name="Moneda 44 2" xfId="1901" xr:uid="{00000000-0005-0000-0000-0000F8070000}"/>
    <cellStyle name="Moneda 45" xfId="1902" xr:uid="{00000000-0005-0000-0000-0000F9070000}"/>
    <cellStyle name="Moneda 45 2" xfId="1903" xr:uid="{00000000-0005-0000-0000-0000FA070000}"/>
    <cellStyle name="Moneda 46" xfId="1904" xr:uid="{00000000-0005-0000-0000-0000FB070000}"/>
    <cellStyle name="Moneda 46 2" xfId="1905" xr:uid="{00000000-0005-0000-0000-0000FC070000}"/>
    <cellStyle name="Moneda 47" xfId="1906" xr:uid="{00000000-0005-0000-0000-0000FD070000}"/>
    <cellStyle name="Moneda 47 2" xfId="1907" xr:uid="{00000000-0005-0000-0000-0000FE070000}"/>
    <cellStyle name="Moneda 48" xfId="1908" xr:uid="{00000000-0005-0000-0000-0000FF070000}"/>
    <cellStyle name="Moneda 48 2" xfId="1909" xr:uid="{00000000-0005-0000-0000-000000080000}"/>
    <cellStyle name="Moneda 49" xfId="1910" xr:uid="{00000000-0005-0000-0000-000001080000}"/>
    <cellStyle name="Moneda 5" xfId="1911" xr:uid="{00000000-0005-0000-0000-000002080000}"/>
    <cellStyle name="Moneda 5 2" xfId="1912" xr:uid="{00000000-0005-0000-0000-000003080000}"/>
    <cellStyle name="Moneda 5 3" xfId="1913" xr:uid="{00000000-0005-0000-0000-000004080000}"/>
    <cellStyle name="Moneda 5 4" xfId="1914" xr:uid="{00000000-0005-0000-0000-000005080000}"/>
    <cellStyle name="Moneda 5 5" xfId="1915" xr:uid="{00000000-0005-0000-0000-000006080000}"/>
    <cellStyle name="Moneda 50" xfId="1916" xr:uid="{00000000-0005-0000-0000-000007080000}"/>
    <cellStyle name="Moneda 51" xfId="1917" xr:uid="{00000000-0005-0000-0000-000008080000}"/>
    <cellStyle name="Moneda 52" xfId="1918" xr:uid="{00000000-0005-0000-0000-000009080000}"/>
    <cellStyle name="Moneda 53" xfId="2870" xr:uid="{00000000-0005-0000-0000-00000A080000}"/>
    <cellStyle name="Moneda 54" xfId="2921" xr:uid="{00000000-0005-0000-0000-00000B080000}"/>
    <cellStyle name="Moneda 55" xfId="3021" xr:uid="{5A400C23-E94C-48B4-AE38-9D394292C6CA}"/>
    <cellStyle name="Moneda 56" xfId="3073" xr:uid="{37E3F030-9F94-443F-84C8-178D9597BA27}"/>
    <cellStyle name="Moneda 57" xfId="3225" xr:uid="{7A8ED579-DD3B-455A-9121-76CC7218444D}"/>
    <cellStyle name="Moneda 58" xfId="3228" xr:uid="{F4F8975E-0344-40DD-A8B9-78587702BBFC}"/>
    <cellStyle name="Moneda 59" xfId="3224" xr:uid="{E1F2208D-C60F-4CD9-B1B1-4EBEDA2EFF87}"/>
    <cellStyle name="Moneda 6" xfId="1919" xr:uid="{00000000-0005-0000-0000-00000C080000}"/>
    <cellStyle name="Moneda 6 10" xfId="1920" xr:uid="{00000000-0005-0000-0000-00000D080000}"/>
    <cellStyle name="Moneda 6 10 2" xfId="1921" xr:uid="{00000000-0005-0000-0000-00000E080000}"/>
    <cellStyle name="Moneda 6 11" xfId="1922" xr:uid="{00000000-0005-0000-0000-00000F080000}"/>
    <cellStyle name="Moneda 6 11 2" xfId="1923" xr:uid="{00000000-0005-0000-0000-000010080000}"/>
    <cellStyle name="Moneda 6 12" xfId="1924" xr:uid="{00000000-0005-0000-0000-000011080000}"/>
    <cellStyle name="Moneda 6 2" xfId="1925" xr:uid="{00000000-0005-0000-0000-000012080000}"/>
    <cellStyle name="Moneda 6 2 10" xfId="1926" xr:uid="{00000000-0005-0000-0000-000013080000}"/>
    <cellStyle name="Moneda 6 2 11" xfId="1927" xr:uid="{00000000-0005-0000-0000-000014080000}"/>
    <cellStyle name="Moneda 6 2 2" xfId="1928" xr:uid="{00000000-0005-0000-0000-000015080000}"/>
    <cellStyle name="Moneda 6 2 2 2" xfId="1929" xr:uid="{00000000-0005-0000-0000-000016080000}"/>
    <cellStyle name="Moneda 6 2 2 2 2" xfId="1930" xr:uid="{00000000-0005-0000-0000-000017080000}"/>
    <cellStyle name="Moneda 6 2 2 2 2 2" xfId="1931" xr:uid="{00000000-0005-0000-0000-000018080000}"/>
    <cellStyle name="Moneda 6 2 2 2 2 2 2" xfId="1932" xr:uid="{00000000-0005-0000-0000-000019080000}"/>
    <cellStyle name="Moneda 6 2 2 2 2 3" xfId="1933" xr:uid="{00000000-0005-0000-0000-00001A080000}"/>
    <cellStyle name="Moneda 6 2 2 2 2 3 2" xfId="1934" xr:uid="{00000000-0005-0000-0000-00001B080000}"/>
    <cellStyle name="Moneda 6 2 2 2 2 4" xfId="1935" xr:uid="{00000000-0005-0000-0000-00001C080000}"/>
    <cellStyle name="Moneda 6 2 2 2 2 4 2" xfId="1936" xr:uid="{00000000-0005-0000-0000-00001D080000}"/>
    <cellStyle name="Moneda 6 2 2 2 2 5" xfId="1937" xr:uid="{00000000-0005-0000-0000-00001E080000}"/>
    <cellStyle name="Moneda 6 2 2 2 3" xfId="1938" xr:uid="{00000000-0005-0000-0000-00001F080000}"/>
    <cellStyle name="Moneda 6 2 2 2 3 2" xfId="1939" xr:uid="{00000000-0005-0000-0000-000020080000}"/>
    <cellStyle name="Moneda 6 2 2 2 4" xfId="1940" xr:uid="{00000000-0005-0000-0000-000021080000}"/>
    <cellStyle name="Moneda 6 2 2 2 4 2" xfId="1941" xr:uid="{00000000-0005-0000-0000-000022080000}"/>
    <cellStyle name="Moneda 6 2 2 2 5" xfId="1942" xr:uid="{00000000-0005-0000-0000-000023080000}"/>
    <cellStyle name="Moneda 6 2 2 2 5 2" xfId="1943" xr:uid="{00000000-0005-0000-0000-000024080000}"/>
    <cellStyle name="Moneda 6 2 2 2 6" xfId="1944" xr:uid="{00000000-0005-0000-0000-000025080000}"/>
    <cellStyle name="Moneda 6 2 2 3" xfId="1945" xr:uid="{00000000-0005-0000-0000-000026080000}"/>
    <cellStyle name="Moneda 6 2 2 3 2" xfId="1946" xr:uid="{00000000-0005-0000-0000-000027080000}"/>
    <cellStyle name="Moneda 6 2 2 3 2 2" xfId="1947" xr:uid="{00000000-0005-0000-0000-000028080000}"/>
    <cellStyle name="Moneda 6 2 2 3 3" xfId="1948" xr:uid="{00000000-0005-0000-0000-000029080000}"/>
    <cellStyle name="Moneda 6 2 2 3 3 2" xfId="1949" xr:uid="{00000000-0005-0000-0000-00002A080000}"/>
    <cellStyle name="Moneda 6 2 2 3 4" xfId="1950" xr:uid="{00000000-0005-0000-0000-00002B080000}"/>
    <cellStyle name="Moneda 6 2 2 3 4 2" xfId="1951" xr:uid="{00000000-0005-0000-0000-00002C080000}"/>
    <cellStyle name="Moneda 6 2 2 3 5" xfId="1952" xr:uid="{00000000-0005-0000-0000-00002D080000}"/>
    <cellStyle name="Moneda 6 2 2 4" xfId="1953" xr:uid="{00000000-0005-0000-0000-00002E080000}"/>
    <cellStyle name="Moneda 6 2 2 4 2" xfId="1954" xr:uid="{00000000-0005-0000-0000-00002F080000}"/>
    <cellStyle name="Moneda 6 2 2 5" xfId="1955" xr:uid="{00000000-0005-0000-0000-000030080000}"/>
    <cellStyle name="Moneda 6 2 2 5 2" xfId="1956" xr:uid="{00000000-0005-0000-0000-000031080000}"/>
    <cellStyle name="Moneda 6 2 2 6" xfId="1957" xr:uid="{00000000-0005-0000-0000-000032080000}"/>
    <cellStyle name="Moneda 6 2 2 6 2" xfId="1958" xr:uid="{00000000-0005-0000-0000-000033080000}"/>
    <cellStyle name="Moneda 6 2 2 7" xfId="1959" xr:uid="{00000000-0005-0000-0000-000034080000}"/>
    <cellStyle name="Moneda 6 2 3" xfId="1960" xr:uid="{00000000-0005-0000-0000-000035080000}"/>
    <cellStyle name="Moneda 6 2 3 2" xfId="1961" xr:uid="{00000000-0005-0000-0000-000036080000}"/>
    <cellStyle name="Moneda 6 2 3 2 2" xfId="1962" xr:uid="{00000000-0005-0000-0000-000037080000}"/>
    <cellStyle name="Moneda 6 2 3 2 2 2" xfId="1963" xr:uid="{00000000-0005-0000-0000-000038080000}"/>
    <cellStyle name="Moneda 6 2 3 2 2 2 2" xfId="1964" xr:uid="{00000000-0005-0000-0000-000039080000}"/>
    <cellStyle name="Moneda 6 2 3 2 2 3" xfId="1965" xr:uid="{00000000-0005-0000-0000-00003A080000}"/>
    <cellStyle name="Moneda 6 2 3 2 2 3 2" xfId="1966" xr:uid="{00000000-0005-0000-0000-00003B080000}"/>
    <cellStyle name="Moneda 6 2 3 2 2 4" xfId="1967" xr:uid="{00000000-0005-0000-0000-00003C080000}"/>
    <cellStyle name="Moneda 6 2 3 2 2 4 2" xfId="1968" xr:uid="{00000000-0005-0000-0000-00003D080000}"/>
    <cellStyle name="Moneda 6 2 3 2 2 5" xfId="1969" xr:uid="{00000000-0005-0000-0000-00003E080000}"/>
    <cellStyle name="Moneda 6 2 3 2 3" xfId="1970" xr:uid="{00000000-0005-0000-0000-00003F080000}"/>
    <cellStyle name="Moneda 6 2 3 2 3 2" xfId="1971" xr:uid="{00000000-0005-0000-0000-000040080000}"/>
    <cellStyle name="Moneda 6 2 3 2 4" xfId="1972" xr:uid="{00000000-0005-0000-0000-000041080000}"/>
    <cellStyle name="Moneda 6 2 3 2 4 2" xfId="1973" xr:uid="{00000000-0005-0000-0000-000042080000}"/>
    <cellStyle name="Moneda 6 2 3 2 5" xfId="1974" xr:uid="{00000000-0005-0000-0000-000043080000}"/>
    <cellStyle name="Moneda 6 2 3 2 5 2" xfId="1975" xr:uid="{00000000-0005-0000-0000-000044080000}"/>
    <cellStyle name="Moneda 6 2 3 2 6" xfId="1976" xr:uid="{00000000-0005-0000-0000-000045080000}"/>
    <cellStyle name="Moneda 6 2 3 3" xfId="1977" xr:uid="{00000000-0005-0000-0000-000046080000}"/>
    <cellStyle name="Moneda 6 2 3 3 2" xfId="1978" xr:uid="{00000000-0005-0000-0000-000047080000}"/>
    <cellStyle name="Moneda 6 2 3 3 2 2" xfId="1979" xr:uid="{00000000-0005-0000-0000-000048080000}"/>
    <cellStyle name="Moneda 6 2 3 3 3" xfId="1980" xr:uid="{00000000-0005-0000-0000-000049080000}"/>
    <cellStyle name="Moneda 6 2 3 3 3 2" xfId="1981" xr:uid="{00000000-0005-0000-0000-00004A080000}"/>
    <cellStyle name="Moneda 6 2 3 3 4" xfId="1982" xr:uid="{00000000-0005-0000-0000-00004B080000}"/>
    <cellStyle name="Moneda 6 2 3 3 4 2" xfId="1983" xr:uid="{00000000-0005-0000-0000-00004C080000}"/>
    <cellStyle name="Moneda 6 2 3 3 5" xfId="1984" xr:uid="{00000000-0005-0000-0000-00004D080000}"/>
    <cellStyle name="Moneda 6 2 3 4" xfId="1985" xr:uid="{00000000-0005-0000-0000-00004E080000}"/>
    <cellStyle name="Moneda 6 2 3 4 2" xfId="1986" xr:uid="{00000000-0005-0000-0000-00004F080000}"/>
    <cellStyle name="Moneda 6 2 3 5" xfId="1987" xr:uid="{00000000-0005-0000-0000-000050080000}"/>
    <cellStyle name="Moneda 6 2 3 5 2" xfId="1988" xr:uid="{00000000-0005-0000-0000-000051080000}"/>
    <cellStyle name="Moneda 6 2 3 6" xfId="1989" xr:uid="{00000000-0005-0000-0000-000052080000}"/>
    <cellStyle name="Moneda 6 2 3 6 2" xfId="1990" xr:uid="{00000000-0005-0000-0000-000053080000}"/>
    <cellStyle name="Moneda 6 2 3 7" xfId="1991" xr:uid="{00000000-0005-0000-0000-000054080000}"/>
    <cellStyle name="Moneda 6 2 4" xfId="1992" xr:uid="{00000000-0005-0000-0000-000055080000}"/>
    <cellStyle name="Moneda 6 2 4 2" xfId="1993" xr:uid="{00000000-0005-0000-0000-000056080000}"/>
    <cellStyle name="Moneda 6 2 4 2 2" xfId="1994" xr:uid="{00000000-0005-0000-0000-000057080000}"/>
    <cellStyle name="Moneda 6 2 4 2 2 2" xfId="1995" xr:uid="{00000000-0005-0000-0000-000058080000}"/>
    <cellStyle name="Moneda 6 2 4 2 2 2 2" xfId="1996" xr:uid="{00000000-0005-0000-0000-000059080000}"/>
    <cellStyle name="Moneda 6 2 4 2 2 3" xfId="1997" xr:uid="{00000000-0005-0000-0000-00005A080000}"/>
    <cellStyle name="Moneda 6 2 4 2 2 3 2" xfId="1998" xr:uid="{00000000-0005-0000-0000-00005B080000}"/>
    <cellStyle name="Moneda 6 2 4 2 2 4" xfId="1999" xr:uid="{00000000-0005-0000-0000-00005C080000}"/>
    <cellStyle name="Moneda 6 2 4 2 2 4 2" xfId="2000" xr:uid="{00000000-0005-0000-0000-00005D080000}"/>
    <cellStyle name="Moneda 6 2 4 2 2 5" xfId="2001" xr:uid="{00000000-0005-0000-0000-00005E080000}"/>
    <cellStyle name="Moneda 6 2 4 2 3" xfId="2002" xr:uid="{00000000-0005-0000-0000-00005F080000}"/>
    <cellStyle name="Moneda 6 2 4 2 3 2" xfId="2003" xr:uid="{00000000-0005-0000-0000-000060080000}"/>
    <cellStyle name="Moneda 6 2 4 2 4" xfId="2004" xr:uid="{00000000-0005-0000-0000-000061080000}"/>
    <cellStyle name="Moneda 6 2 4 2 4 2" xfId="2005" xr:uid="{00000000-0005-0000-0000-000062080000}"/>
    <cellStyle name="Moneda 6 2 4 2 5" xfId="2006" xr:uid="{00000000-0005-0000-0000-000063080000}"/>
    <cellStyle name="Moneda 6 2 4 2 5 2" xfId="2007" xr:uid="{00000000-0005-0000-0000-000064080000}"/>
    <cellStyle name="Moneda 6 2 4 2 6" xfId="2008" xr:uid="{00000000-0005-0000-0000-000065080000}"/>
    <cellStyle name="Moneda 6 2 4 3" xfId="2009" xr:uid="{00000000-0005-0000-0000-000066080000}"/>
    <cellStyle name="Moneda 6 2 4 3 2" xfId="2010" xr:uid="{00000000-0005-0000-0000-000067080000}"/>
    <cellStyle name="Moneda 6 2 4 3 2 2" xfId="2011" xr:uid="{00000000-0005-0000-0000-000068080000}"/>
    <cellStyle name="Moneda 6 2 4 3 3" xfId="2012" xr:uid="{00000000-0005-0000-0000-000069080000}"/>
    <cellStyle name="Moneda 6 2 4 3 3 2" xfId="2013" xr:uid="{00000000-0005-0000-0000-00006A080000}"/>
    <cellStyle name="Moneda 6 2 4 3 4" xfId="2014" xr:uid="{00000000-0005-0000-0000-00006B080000}"/>
    <cellStyle name="Moneda 6 2 4 3 4 2" xfId="2015" xr:uid="{00000000-0005-0000-0000-00006C080000}"/>
    <cellStyle name="Moneda 6 2 4 3 5" xfId="2016" xr:uid="{00000000-0005-0000-0000-00006D080000}"/>
    <cellStyle name="Moneda 6 2 4 4" xfId="2017" xr:uid="{00000000-0005-0000-0000-00006E080000}"/>
    <cellStyle name="Moneda 6 2 4 4 2" xfId="2018" xr:uid="{00000000-0005-0000-0000-00006F080000}"/>
    <cellStyle name="Moneda 6 2 4 5" xfId="2019" xr:uid="{00000000-0005-0000-0000-000070080000}"/>
    <cellStyle name="Moneda 6 2 4 5 2" xfId="2020" xr:uid="{00000000-0005-0000-0000-000071080000}"/>
    <cellStyle name="Moneda 6 2 4 6" xfId="2021" xr:uid="{00000000-0005-0000-0000-000072080000}"/>
    <cellStyle name="Moneda 6 2 4 6 2" xfId="2022" xr:uid="{00000000-0005-0000-0000-000073080000}"/>
    <cellStyle name="Moneda 6 2 4 7" xfId="2023" xr:uid="{00000000-0005-0000-0000-000074080000}"/>
    <cellStyle name="Moneda 6 2 5" xfId="2024" xr:uid="{00000000-0005-0000-0000-000075080000}"/>
    <cellStyle name="Moneda 6 2 5 2" xfId="2025" xr:uid="{00000000-0005-0000-0000-000076080000}"/>
    <cellStyle name="Moneda 6 2 5 2 2" xfId="2026" xr:uid="{00000000-0005-0000-0000-000077080000}"/>
    <cellStyle name="Moneda 6 2 5 2 2 2" xfId="2027" xr:uid="{00000000-0005-0000-0000-000078080000}"/>
    <cellStyle name="Moneda 6 2 5 2 3" xfId="2028" xr:uid="{00000000-0005-0000-0000-000079080000}"/>
    <cellStyle name="Moneda 6 2 5 2 3 2" xfId="2029" xr:uid="{00000000-0005-0000-0000-00007A080000}"/>
    <cellStyle name="Moneda 6 2 5 2 4" xfId="2030" xr:uid="{00000000-0005-0000-0000-00007B080000}"/>
    <cellStyle name="Moneda 6 2 5 2 4 2" xfId="2031" xr:uid="{00000000-0005-0000-0000-00007C080000}"/>
    <cellStyle name="Moneda 6 2 5 2 5" xfId="2032" xr:uid="{00000000-0005-0000-0000-00007D080000}"/>
    <cellStyle name="Moneda 6 2 5 3" xfId="2033" xr:uid="{00000000-0005-0000-0000-00007E080000}"/>
    <cellStyle name="Moneda 6 2 5 3 2" xfId="2034" xr:uid="{00000000-0005-0000-0000-00007F080000}"/>
    <cellStyle name="Moneda 6 2 5 4" xfId="2035" xr:uid="{00000000-0005-0000-0000-000080080000}"/>
    <cellStyle name="Moneda 6 2 5 4 2" xfId="2036" xr:uid="{00000000-0005-0000-0000-000081080000}"/>
    <cellStyle name="Moneda 6 2 5 5" xfId="2037" xr:uid="{00000000-0005-0000-0000-000082080000}"/>
    <cellStyle name="Moneda 6 2 5 5 2" xfId="2038" xr:uid="{00000000-0005-0000-0000-000083080000}"/>
    <cellStyle name="Moneda 6 2 5 6" xfId="2039" xr:uid="{00000000-0005-0000-0000-000084080000}"/>
    <cellStyle name="Moneda 6 2 6" xfId="2040" xr:uid="{00000000-0005-0000-0000-000085080000}"/>
    <cellStyle name="Moneda 6 2 6 2" xfId="2041" xr:uid="{00000000-0005-0000-0000-000086080000}"/>
    <cellStyle name="Moneda 6 2 6 2 2" xfId="2042" xr:uid="{00000000-0005-0000-0000-000087080000}"/>
    <cellStyle name="Moneda 6 2 6 3" xfId="2043" xr:uid="{00000000-0005-0000-0000-000088080000}"/>
    <cellStyle name="Moneda 6 2 6 3 2" xfId="2044" xr:uid="{00000000-0005-0000-0000-000089080000}"/>
    <cellStyle name="Moneda 6 2 6 4" xfId="2045" xr:uid="{00000000-0005-0000-0000-00008A080000}"/>
    <cellStyle name="Moneda 6 2 6 4 2" xfId="2046" xr:uid="{00000000-0005-0000-0000-00008B080000}"/>
    <cellStyle name="Moneda 6 2 6 5" xfId="2047" xr:uid="{00000000-0005-0000-0000-00008C080000}"/>
    <cellStyle name="Moneda 6 2 7" xfId="2048" xr:uid="{00000000-0005-0000-0000-00008D080000}"/>
    <cellStyle name="Moneda 6 2 7 2" xfId="2049" xr:uid="{00000000-0005-0000-0000-00008E080000}"/>
    <cellStyle name="Moneda 6 2 8" xfId="2050" xr:uid="{00000000-0005-0000-0000-00008F080000}"/>
    <cellStyle name="Moneda 6 2 8 2" xfId="2051" xr:uid="{00000000-0005-0000-0000-000090080000}"/>
    <cellStyle name="Moneda 6 2 9" xfId="2052" xr:uid="{00000000-0005-0000-0000-000091080000}"/>
    <cellStyle name="Moneda 6 2 9 2" xfId="2053" xr:uid="{00000000-0005-0000-0000-000092080000}"/>
    <cellStyle name="Moneda 6 3" xfId="2054" xr:uid="{00000000-0005-0000-0000-000093080000}"/>
    <cellStyle name="Moneda 6 3 2" xfId="2055" xr:uid="{00000000-0005-0000-0000-000094080000}"/>
    <cellStyle name="Moneda 6 3 2 2" xfId="2056" xr:uid="{00000000-0005-0000-0000-000095080000}"/>
    <cellStyle name="Moneda 6 3 2 2 2" xfId="2057" xr:uid="{00000000-0005-0000-0000-000096080000}"/>
    <cellStyle name="Moneda 6 3 2 2 2 2" xfId="2058" xr:uid="{00000000-0005-0000-0000-000097080000}"/>
    <cellStyle name="Moneda 6 3 2 2 3" xfId="2059" xr:uid="{00000000-0005-0000-0000-000098080000}"/>
    <cellStyle name="Moneda 6 3 2 2 3 2" xfId="2060" xr:uid="{00000000-0005-0000-0000-000099080000}"/>
    <cellStyle name="Moneda 6 3 2 2 4" xfId="2061" xr:uid="{00000000-0005-0000-0000-00009A080000}"/>
    <cellStyle name="Moneda 6 3 2 2 4 2" xfId="2062" xr:uid="{00000000-0005-0000-0000-00009B080000}"/>
    <cellStyle name="Moneda 6 3 2 2 5" xfId="2063" xr:uid="{00000000-0005-0000-0000-00009C080000}"/>
    <cellStyle name="Moneda 6 3 2 3" xfId="2064" xr:uid="{00000000-0005-0000-0000-00009D080000}"/>
    <cellStyle name="Moneda 6 3 2 3 2" xfId="2065" xr:uid="{00000000-0005-0000-0000-00009E080000}"/>
    <cellStyle name="Moneda 6 3 2 4" xfId="2066" xr:uid="{00000000-0005-0000-0000-00009F080000}"/>
    <cellStyle name="Moneda 6 3 2 4 2" xfId="2067" xr:uid="{00000000-0005-0000-0000-0000A0080000}"/>
    <cellStyle name="Moneda 6 3 2 5" xfId="2068" xr:uid="{00000000-0005-0000-0000-0000A1080000}"/>
    <cellStyle name="Moneda 6 3 2 5 2" xfId="2069" xr:uid="{00000000-0005-0000-0000-0000A2080000}"/>
    <cellStyle name="Moneda 6 3 2 6" xfId="2070" xr:uid="{00000000-0005-0000-0000-0000A3080000}"/>
    <cellStyle name="Moneda 6 3 3" xfId="2071" xr:uid="{00000000-0005-0000-0000-0000A4080000}"/>
    <cellStyle name="Moneda 6 3 3 2" xfId="2072" xr:uid="{00000000-0005-0000-0000-0000A5080000}"/>
    <cellStyle name="Moneda 6 3 3 2 2" xfId="2073" xr:uid="{00000000-0005-0000-0000-0000A6080000}"/>
    <cellStyle name="Moneda 6 3 3 3" xfId="2074" xr:uid="{00000000-0005-0000-0000-0000A7080000}"/>
    <cellStyle name="Moneda 6 3 3 3 2" xfId="2075" xr:uid="{00000000-0005-0000-0000-0000A8080000}"/>
    <cellStyle name="Moneda 6 3 3 4" xfId="2076" xr:uid="{00000000-0005-0000-0000-0000A9080000}"/>
    <cellStyle name="Moneda 6 3 3 4 2" xfId="2077" xr:uid="{00000000-0005-0000-0000-0000AA080000}"/>
    <cellStyle name="Moneda 6 3 3 5" xfId="2078" xr:uid="{00000000-0005-0000-0000-0000AB080000}"/>
    <cellStyle name="Moneda 6 3 4" xfId="2079" xr:uid="{00000000-0005-0000-0000-0000AC080000}"/>
    <cellStyle name="Moneda 6 3 4 2" xfId="2080" xr:uid="{00000000-0005-0000-0000-0000AD080000}"/>
    <cellStyle name="Moneda 6 3 5" xfId="2081" xr:uid="{00000000-0005-0000-0000-0000AE080000}"/>
    <cellStyle name="Moneda 6 3 5 2" xfId="2082" xr:uid="{00000000-0005-0000-0000-0000AF080000}"/>
    <cellStyle name="Moneda 6 3 6" xfId="2083" xr:uid="{00000000-0005-0000-0000-0000B0080000}"/>
    <cellStyle name="Moneda 6 3 6 2" xfId="2084" xr:uid="{00000000-0005-0000-0000-0000B1080000}"/>
    <cellStyle name="Moneda 6 3 7" xfId="2085" xr:uid="{00000000-0005-0000-0000-0000B2080000}"/>
    <cellStyle name="Moneda 6 4" xfId="2086" xr:uid="{00000000-0005-0000-0000-0000B3080000}"/>
    <cellStyle name="Moneda 6 4 2" xfId="2087" xr:uid="{00000000-0005-0000-0000-0000B4080000}"/>
    <cellStyle name="Moneda 6 4 2 2" xfId="2088" xr:uid="{00000000-0005-0000-0000-0000B5080000}"/>
    <cellStyle name="Moneda 6 4 2 2 2" xfId="2089" xr:uid="{00000000-0005-0000-0000-0000B6080000}"/>
    <cellStyle name="Moneda 6 4 2 2 2 2" xfId="2090" xr:uid="{00000000-0005-0000-0000-0000B7080000}"/>
    <cellStyle name="Moneda 6 4 2 2 3" xfId="2091" xr:uid="{00000000-0005-0000-0000-0000B8080000}"/>
    <cellStyle name="Moneda 6 4 2 2 3 2" xfId="2092" xr:uid="{00000000-0005-0000-0000-0000B9080000}"/>
    <cellStyle name="Moneda 6 4 2 2 4" xfId="2093" xr:uid="{00000000-0005-0000-0000-0000BA080000}"/>
    <cellStyle name="Moneda 6 4 2 2 4 2" xfId="2094" xr:uid="{00000000-0005-0000-0000-0000BB080000}"/>
    <cellStyle name="Moneda 6 4 2 2 5" xfId="2095" xr:uid="{00000000-0005-0000-0000-0000BC080000}"/>
    <cellStyle name="Moneda 6 4 2 3" xfId="2096" xr:uid="{00000000-0005-0000-0000-0000BD080000}"/>
    <cellStyle name="Moneda 6 4 2 3 2" xfId="2097" xr:uid="{00000000-0005-0000-0000-0000BE080000}"/>
    <cellStyle name="Moneda 6 4 2 4" xfId="2098" xr:uid="{00000000-0005-0000-0000-0000BF080000}"/>
    <cellStyle name="Moneda 6 4 2 4 2" xfId="2099" xr:uid="{00000000-0005-0000-0000-0000C0080000}"/>
    <cellStyle name="Moneda 6 4 2 5" xfId="2100" xr:uid="{00000000-0005-0000-0000-0000C1080000}"/>
    <cellStyle name="Moneda 6 4 2 5 2" xfId="2101" xr:uid="{00000000-0005-0000-0000-0000C2080000}"/>
    <cellStyle name="Moneda 6 4 2 6" xfId="2102" xr:uid="{00000000-0005-0000-0000-0000C3080000}"/>
    <cellStyle name="Moneda 6 4 3" xfId="2103" xr:uid="{00000000-0005-0000-0000-0000C4080000}"/>
    <cellStyle name="Moneda 6 4 3 2" xfId="2104" xr:uid="{00000000-0005-0000-0000-0000C5080000}"/>
    <cellStyle name="Moneda 6 4 3 2 2" xfId="2105" xr:uid="{00000000-0005-0000-0000-0000C6080000}"/>
    <cellStyle name="Moneda 6 4 3 3" xfId="2106" xr:uid="{00000000-0005-0000-0000-0000C7080000}"/>
    <cellStyle name="Moneda 6 4 3 3 2" xfId="2107" xr:uid="{00000000-0005-0000-0000-0000C8080000}"/>
    <cellStyle name="Moneda 6 4 3 4" xfId="2108" xr:uid="{00000000-0005-0000-0000-0000C9080000}"/>
    <cellStyle name="Moneda 6 4 3 4 2" xfId="2109" xr:uid="{00000000-0005-0000-0000-0000CA080000}"/>
    <cellStyle name="Moneda 6 4 3 5" xfId="2110" xr:uid="{00000000-0005-0000-0000-0000CB080000}"/>
    <cellStyle name="Moneda 6 4 4" xfId="2111" xr:uid="{00000000-0005-0000-0000-0000CC080000}"/>
    <cellStyle name="Moneda 6 4 4 2" xfId="2112" xr:uid="{00000000-0005-0000-0000-0000CD080000}"/>
    <cellStyle name="Moneda 6 4 5" xfId="2113" xr:uid="{00000000-0005-0000-0000-0000CE080000}"/>
    <cellStyle name="Moneda 6 4 5 2" xfId="2114" xr:uid="{00000000-0005-0000-0000-0000CF080000}"/>
    <cellStyle name="Moneda 6 4 6" xfId="2115" xr:uid="{00000000-0005-0000-0000-0000D0080000}"/>
    <cellStyle name="Moneda 6 4 6 2" xfId="2116" xr:uid="{00000000-0005-0000-0000-0000D1080000}"/>
    <cellStyle name="Moneda 6 4 7" xfId="2117" xr:uid="{00000000-0005-0000-0000-0000D2080000}"/>
    <cellStyle name="Moneda 6 5" xfId="2118" xr:uid="{00000000-0005-0000-0000-0000D3080000}"/>
    <cellStyle name="Moneda 6 5 2" xfId="2119" xr:uid="{00000000-0005-0000-0000-0000D4080000}"/>
    <cellStyle name="Moneda 6 5 2 2" xfId="2120" xr:uid="{00000000-0005-0000-0000-0000D5080000}"/>
    <cellStyle name="Moneda 6 5 2 2 2" xfId="2121" xr:uid="{00000000-0005-0000-0000-0000D6080000}"/>
    <cellStyle name="Moneda 6 5 2 2 2 2" xfId="2122" xr:uid="{00000000-0005-0000-0000-0000D7080000}"/>
    <cellStyle name="Moneda 6 5 2 2 3" xfId="2123" xr:uid="{00000000-0005-0000-0000-0000D8080000}"/>
    <cellStyle name="Moneda 6 5 2 2 3 2" xfId="2124" xr:uid="{00000000-0005-0000-0000-0000D9080000}"/>
    <cellStyle name="Moneda 6 5 2 2 4" xfId="2125" xr:uid="{00000000-0005-0000-0000-0000DA080000}"/>
    <cellStyle name="Moneda 6 5 2 2 4 2" xfId="2126" xr:uid="{00000000-0005-0000-0000-0000DB080000}"/>
    <cellStyle name="Moneda 6 5 2 2 5" xfId="2127" xr:uid="{00000000-0005-0000-0000-0000DC080000}"/>
    <cellStyle name="Moneda 6 5 2 3" xfId="2128" xr:uid="{00000000-0005-0000-0000-0000DD080000}"/>
    <cellStyle name="Moneda 6 5 2 3 2" xfId="2129" xr:uid="{00000000-0005-0000-0000-0000DE080000}"/>
    <cellStyle name="Moneda 6 5 2 4" xfId="2130" xr:uid="{00000000-0005-0000-0000-0000DF080000}"/>
    <cellStyle name="Moneda 6 5 2 4 2" xfId="2131" xr:uid="{00000000-0005-0000-0000-0000E0080000}"/>
    <cellStyle name="Moneda 6 5 2 5" xfId="2132" xr:uid="{00000000-0005-0000-0000-0000E1080000}"/>
    <cellStyle name="Moneda 6 5 2 5 2" xfId="2133" xr:uid="{00000000-0005-0000-0000-0000E2080000}"/>
    <cellStyle name="Moneda 6 5 2 6" xfId="2134" xr:uid="{00000000-0005-0000-0000-0000E3080000}"/>
    <cellStyle name="Moneda 6 5 3" xfId="2135" xr:uid="{00000000-0005-0000-0000-0000E4080000}"/>
    <cellStyle name="Moneda 6 5 3 2" xfId="2136" xr:uid="{00000000-0005-0000-0000-0000E5080000}"/>
    <cellStyle name="Moneda 6 5 3 2 2" xfId="2137" xr:uid="{00000000-0005-0000-0000-0000E6080000}"/>
    <cellStyle name="Moneda 6 5 3 3" xfId="2138" xr:uid="{00000000-0005-0000-0000-0000E7080000}"/>
    <cellStyle name="Moneda 6 5 3 3 2" xfId="2139" xr:uid="{00000000-0005-0000-0000-0000E8080000}"/>
    <cellStyle name="Moneda 6 5 3 4" xfId="2140" xr:uid="{00000000-0005-0000-0000-0000E9080000}"/>
    <cellStyle name="Moneda 6 5 3 4 2" xfId="2141" xr:uid="{00000000-0005-0000-0000-0000EA080000}"/>
    <cellStyle name="Moneda 6 5 3 5" xfId="2142" xr:uid="{00000000-0005-0000-0000-0000EB080000}"/>
    <cellStyle name="Moneda 6 5 4" xfId="2143" xr:uid="{00000000-0005-0000-0000-0000EC080000}"/>
    <cellStyle name="Moneda 6 5 4 2" xfId="2144" xr:uid="{00000000-0005-0000-0000-0000ED080000}"/>
    <cellStyle name="Moneda 6 5 5" xfId="2145" xr:uid="{00000000-0005-0000-0000-0000EE080000}"/>
    <cellStyle name="Moneda 6 5 5 2" xfId="2146" xr:uid="{00000000-0005-0000-0000-0000EF080000}"/>
    <cellStyle name="Moneda 6 5 6" xfId="2147" xr:uid="{00000000-0005-0000-0000-0000F0080000}"/>
    <cellStyle name="Moneda 6 5 6 2" xfId="2148" xr:uid="{00000000-0005-0000-0000-0000F1080000}"/>
    <cellStyle name="Moneda 6 5 7" xfId="2149" xr:uid="{00000000-0005-0000-0000-0000F2080000}"/>
    <cellStyle name="Moneda 6 6" xfId="2150" xr:uid="{00000000-0005-0000-0000-0000F3080000}"/>
    <cellStyle name="Moneda 6 6 2" xfId="2151" xr:uid="{00000000-0005-0000-0000-0000F4080000}"/>
    <cellStyle name="Moneda 6 6 2 2" xfId="2152" xr:uid="{00000000-0005-0000-0000-0000F5080000}"/>
    <cellStyle name="Moneda 6 6 2 2 2" xfId="2153" xr:uid="{00000000-0005-0000-0000-0000F6080000}"/>
    <cellStyle name="Moneda 6 6 2 3" xfId="2154" xr:uid="{00000000-0005-0000-0000-0000F7080000}"/>
    <cellStyle name="Moneda 6 6 2 3 2" xfId="2155" xr:uid="{00000000-0005-0000-0000-0000F8080000}"/>
    <cellStyle name="Moneda 6 6 2 4" xfId="2156" xr:uid="{00000000-0005-0000-0000-0000F9080000}"/>
    <cellStyle name="Moneda 6 6 2 4 2" xfId="2157" xr:uid="{00000000-0005-0000-0000-0000FA080000}"/>
    <cellStyle name="Moneda 6 6 2 5" xfId="2158" xr:uid="{00000000-0005-0000-0000-0000FB080000}"/>
    <cellStyle name="Moneda 6 6 3" xfId="2159" xr:uid="{00000000-0005-0000-0000-0000FC080000}"/>
    <cellStyle name="Moneda 6 6 3 2" xfId="2160" xr:uid="{00000000-0005-0000-0000-0000FD080000}"/>
    <cellStyle name="Moneda 6 6 4" xfId="2161" xr:uid="{00000000-0005-0000-0000-0000FE080000}"/>
    <cellStyle name="Moneda 6 6 4 2" xfId="2162" xr:uid="{00000000-0005-0000-0000-0000FF080000}"/>
    <cellStyle name="Moneda 6 6 5" xfId="2163" xr:uid="{00000000-0005-0000-0000-000000090000}"/>
    <cellStyle name="Moneda 6 6 5 2" xfId="2164" xr:uid="{00000000-0005-0000-0000-000001090000}"/>
    <cellStyle name="Moneda 6 6 6" xfId="2165" xr:uid="{00000000-0005-0000-0000-000002090000}"/>
    <cellStyle name="Moneda 6 7" xfId="2166" xr:uid="{00000000-0005-0000-0000-000003090000}"/>
    <cellStyle name="Moneda 6 7 2" xfId="2167" xr:uid="{00000000-0005-0000-0000-000004090000}"/>
    <cellStyle name="Moneda 6 7 2 2" xfId="2168" xr:uid="{00000000-0005-0000-0000-000005090000}"/>
    <cellStyle name="Moneda 6 7 3" xfId="2169" xr:uid="{00000000-0005-0000-0000-000006090000}"/>
    <cellStyle name="Moneda 6 7 3 2" xfId="2170" xr:uid="{00000000-0005-0000-0000-000007090000}"/>
    <cellStyle name="Moneda 6 7 4" xfId="2171" xr:uid="{00000000-0005-0000-0000-000008090000}"/>
    <cellStyle name="Moneda 6 7 4 2" xfId="2172" xr:uid="{00000000-0005-0000-0000-000009090000}"/>
    <cellStyle name="Moneda 6 7 5" xfId="2173" xr:uid="{00000000-0005-0000-0000-00000A090000}"/>
    <cellStyle name="Moneda 6 8" xfId="2174" xr:uid="{00000000-0005-0000-0000-00000B090000}"/>
    <cellStyle name="Moneda 6 8 2" xfId="2175" xr:uid="{00000000-0005-0000-0000-00000C090000}"/>
    <cellStyle name="Moneda 6 9" xfId="2176" xr:uid="{00000000-0005-0000-0000-00000D090000}"/>
    <cellStyle name="Moneda 6 9 2" xfId="2177" xr:uid="{00000000-0005-0000-0000-00000E090000}"/>
    <cellStyle name="Moneda 7" xfId="2178" xr:uid="{00000000-0005-0000-0000-00000F090000}"/>
    <cellStyle name="Moneda 7 10" xfId="2179" xr:uid="{00000000-0005-0000-0000-000010090000}"/>
    <cellStyle name="Moneda 7 10 2" xfId="2180" xr:uid="{00000000-0005-0000-0000-000011090000}"/>
    <cellStyle name="Moneda 7 11" xfId="2181" xr:uid="{00000000-0005-0000-0000-000012090000}"/>
    <cellStyle name="Moneda 7 12" xfId="2182" xr:uid="{00000000-0005-0000-0000-000013090000}"/>
    <cellStyle name="Moneda 7 2" xfId="2183" xr:uid="{00000000-0005-0000-0000-000014090000}"/>
    <cellStyle name="Moneda 7 2 10" xfId="2184" xr:uid="{00000000-0005-0000-0000-000015090000}"/>
    <cellStyle name="Moneda 7 2 11" xfId="2185" xr:uid="{00000000-0005-0000-0000-000016090000}"/>
    <cellStyle name="Moneda 7 2 2" xfId="2186" xr:uid="{00000000-0005-0000-0000-000017090000}"/>
    <cellStyle name="Moneda 7 2 2 2" xfId="2187" xr:uid="{00000000-0005-0000-0000-000018090000}"/>
    <cellStyle name="Moneda 7 2 2 2 2" xfId="2188" xr:uid="{00000000-0005-0000-0000-000019090000}"/>
    <cellStyle name="Moneda 7 2 2 2 2 2" xfId="2189" xr:uid="{00000000-0005-0000-0000-00001A090000}"/>
    <cellStyle name="Moneda 7 2 2 2 2 2 2" xfId="2190" xr:uid="{00000000-0005-0000-0000-00001B090000}"/>
    <cellStyle name="Moneda 7 2 2 2 2 3" xfId="2191" xr:uid="{00000000-0005-0000-0000-00001C090000}"/>
    <cellStyle name="Moneda 7 2 2 2 2 3 2" xfId="2192" xr:uid="{00000000-0005-0000-0000-00001D090000}"/>
    <cellStyle name="Moneda 7 2 2 2 2 4" xfId="2193" xr:uid="{00000000-0005-0000-0000-00001E090000}"/>
    <cellStyle name="Moneda 7 2 2 2 2 4 2" xfId="2194" xr:uid="{00000000-0005-0000-0000-00001F090000}"/>
    <cellStyle name="Moneda 7 2 2 2 2 5" xfId="2195" xr:uid="{00000000-0005-0000-0000-000020090000}"/>
    <cellStyle name="Moneda 7 2 2 2 3" xfId="2196" xr:uid="{00000000-0005-0000-0000-000021090000}"/>
    <cellStyle name="Moneda 7 2 2 2 3 2" xfId="2197" xr:uid="{00000000-0005-0000-0000-000022090000}"/>
    <cellStyle name="Moneda 7 2 2 2 4" xfId="2198" xr:uid="{00000000-0005-0000-0000-000023090000}"/>
    <cellStyle name="Moneda 7 2 2 2 4 2" xfId="2199" xr:uid="{00000000-0005-0000-0000-000024090000}"/>
    <cellStyle name="Moneda 7 2 2 2 5" xfId="2200" xr:uid="{00000000-0005-0000-0000-000025090000}"/>
    <cellStyle name="Moneda 7 2 2 2 5 2" xfId="2201" xr:uid="{00000000-0005-0000-0000-000026090000}"/>
    <cellStyle name="Moneda 7 2 2 2 6" xfId="2202" xr:uid="{00000000-0005-0000-0000-000027090000}"/>
    <cellStyle name="Moneda 7 2 2 3" xfId="2203" xr:uid="{00000000-0005-0000-0000-000028090000}"/>
    <cellStyle name="Moneda 7 2 2 3 2" xfId="2204" xr:uid="{00000000-0005-0000-0000-000029090000}"/>
    <cellStyle name="Moneda 7 2 2 3 2 2" xfId="2205" xr:uid="{00000000-0005-0000-0000-00002A090000}"/>
    <cellStyle name="Moneda 7 2 2 3 3" xfId="2206" xr:uid="{00000000-0005-0000-0000-00002B090000}"/>
    <cellStyle name="Moneda 7 2 2 3 3 2" xfId="2207" xr:uid="{00000000-0005-0000-0000-00002C090000}"/>
    <cellStyle name="Moneda 7 2 2 3 4" xfId="2208" xr:uid="{00000000-0005-0000-0000-00002D090000}"/>
    <cellStyle name="Moneda 7 2 2 3 4 2" xfId="2209" xr:uid="{00000000-0005-0000-0000-00002E090000}"/>
    <cellStyle name="Moneda 7 2 2 3 5" xfId="2210" xr:uid="{00000000-0005-0000-0000-00002F090000}"/>
    <cellStyle name="Moneda 7 2 2 4" xfId="2211" xr:uid="{00000000-0005-0000-0000-000030090000}"/>
    <cellStyle name="Moneda 7 2 2 4 2" xfId="2212" xr:uid="{00000000-0005-0000-0000-000031090000}"/>
    <cellStyle name="Moneda 7 2 2 5" xfId="2213" xr:uid="{00000000-0005-0000-0000-000032090000}"/>
    <cellStyle name="Moneda 7 2 2 5 2" xfId="2214" xr:uid="{00000000-0005-0000-0000-000033090000}"/>
    <cellStyle name="Moneda 7 2 2 6" xfId="2215" xr:uid="{00000000-0005-0000-0000-000034090000}"/>
    <cellStyle name="Moneda 7 2 2 6 2" xfId="2216" xr:uid="{00000000-0005-0000-0000-000035090000}"/>
    <cellStyle name="Moneda 7 2 2 7" xfId="2217" xr:uid="{00000000-0005-0000-0000-000036090000}"/>
    <cellStyle name="Moneda 7 2 3" xfId="2218" xr:uid="{00000000-0005-0000-0000-000037090000}"/>
    <cellStyle name="Moneda 7 2 3 2" xfId="2219" xr:uid="{00000000-0005-0000-0000-000038090000}"/>
    <cellStyle name="Moneda 7 2 3 2 2" xfId="2220" xr:uid="{00000000-0005-0000-0000-000039090000}"/>
    <cellStyle name="Moneda 7 2 3 2 2 2" xfId="2221" xr:uid="{00000000-0005-0000-0000-00003A090000}"/>
    <cellStyle name="Moneda 7 2 3 2 2 2 2" xfId="2222" xr:uid="{00000000-0005-0000-0000-00003B090000}"/>
    <cellStyle name="Moneda 7 2 3 2 2 3" xfId="2223" xr:uid="{00000000-0005-0000-0000-00003C090000}"/>
    <cellStyle name="Moneda 7 2 3 2 2 3 2" xfId="2224" xr:uid="{00000000-0005-0000-0000-00003D090000}"/>
    <cellStyle name="Moneda 7 2 3 2 2 4" xfId="2225" xr:uid="{00000000-0005-0000-0000-00003E090000}"/>
    <cellStyle name="Moneda 7 2 3 2 2 4 2" xfId="2226" xr:uid="{00000000-0005-0000-0000-00003F090000}"/>
    <cellStyle name="Moneda 7 2 3 2 2 5" xfId="2227" xr:uid="{00000000-0005-0000-0000-000040090000}"/>
    <cellStyle name="Moneda 7 2 3 2 3" xfId="2228" xr:uid="{00000000-0005-0000-0000-000041090000}"/>
    <cellStyle name="Moneda 7 2 3 2 3 2" xfId="2229" xr:uid="{00000000-0005-0000-0000-000042090000}"/>
    <cellStyle name="Moneda 7 2 3 2 4" xfId="2230" xr:uid="{00000000-0005-0000-0000-000043090000}"/>
    <cellStyle name="Moneda 7 2 3 2 4 2" xfId="2231" xr:uid="{00000000-0005-0000-0000-000044090000}"/>
    <cellStyle name="Moneda 7 2 3 2 5" xfId="2232" xr:uid="{00000000-0005-0000-0000-000045090000}"/>
    <cellStyle name="Moneda 7 2 3 2 5 2" xfId="2233" xr:uid="{00000000-0005-0000-0000-000046090000}"/>
    <cellStyle name="Moneda 7 2 3 2 6" xfId="2234" xr:uid="{00000000-0005-0000-0000-000047090000}"/>
    <cellStyle name="Moneda 7 2 3 3" xfId="2235" xr:uid="{00000000-0005-0000-0000-000048090000}"/>
    <cellStyle name="Moneda 7 2 3 3 2" xfId="2236" xr:uid="{00000000-0005-0000-0000-000049090000}"/>
    <cellStyle name="Moneda 7 2 3 3 2 2" xfId="2237" xr:uid="{00000000-0005-0000-0000-00004A090000}"/>
    <cellStyle name="Moneda 7 2 3 3 3" xfId="2238" xr:uid="{00000000-0005-0000-0000-00004B090000}"/>
    <cellStyle name="Moneda 7 2 3 3 3 2" xfId="2239" xr:uid="{00000000-0005-0000-0000-00004C090000}"/>
    <cellStyle name="Moneda 7 2 3 3 4" xfId="2240" xr:uid="{00000000-0005-0000-0000-00004D090000}"/>
    <cellStyle name="Moneda 7 2 3 3 4 2" xfId="2241" xr:uid="{00000000-0005-0000-0000-00004E090000}"/>
    <cellStyle name="Moneda 7 2 3 3 5" xfId="2242" xr:uid="{00000000-0005-0000-0000-00004F090000}"/>
    <cellStyle name="Moneda 7 2 3 4" xfId="2243" xr:uid="{00000000-0005-0000-0000-000050090000}"/>
    <cellStyle name="Moneda 7 2 3 4 2" xfId="2244" xr:uid="{00000000-0005-0000-0000-000051090000}"/>
    <cellStyle name="Moneda 7 2 3 5" xfId="2245" xr:uid="{00000000-0005-0000-0000-000052090000}"/>
    <cellStyle name="Moneda 7 2 3 5 2" xfId="2246" xr:uid="{00000000-0005-0000-0000-000053090000}"/>
    <cellStyle name="Moneda 7 2 3 6" xfId="2247" xr:uid="{00000000-0005-0000-0000-000054090000}"/>
    <cellStyle name="Moneda 7 2 3 6 2" xfId="2248" xr:uid="{00000000-0005-0000-0000-000055090000}"/>
    <cellStyle name="Moneda 7 2 3 7" xfId="2249" xr:uid="{00000000-0005-0000-0000-000056090000}"/>
    <cellStyle name="Moneda 7 2 4" xfId="2250" xr:uid="{00000000-0005-0000-0000-000057090000}"/>
    <cellStyle name="Moneda 7 2 4 2" xfId="2251" xr:uid="{00000000-0005-0000-0000-000058090000}"/>
    <cellStyle name="Moneda 7 2 4 2 2" xfId="2252" xr:uid="{00000000-0005-0000-0000-000059090000}"/>
    <cellStyle name="Moneda 7 2 4 2 2 2" xfId="2253" xr:uid="{00000000-0005-0000-0000-00005A090000}"/>
    <cellStyle name="Moneda 7 2 4 2 2 2 2" xfId="2254" xr:uid="{00000000-0005-0000-0000-00005B090000}"/>
    <cellStyle name="Moneda 7 2 4 2 2 3" xfId="2255" xr:uid="{00000000-0005-0000-0000-00005C090000}"/>
    <cellStyle name="Moneda 7 2 4 2 2 3 2" xfId="2256" xr:uid="{00000000-0005-0000-0000-00005D090000}"/>
    <cellStyle name="Moneda 7 2 4 2 2 4" xfId="2257" xr:uid="{00000000-0005-0000-0000-00005E090000}"/>
    <cellStyle name="Moneda 7 2 4 2 2 4 2" xfId="2258" xr:uid="{00000000-0005-0000-0000-00005F090000}"/>
    <cellStyle name="Moneda 7 2 4 2 2 5" xfId="2259" xr:uid="{00000000-0005-0000-0000-000060090000}"/>
    <cellStyle name="Moneda 7 2 4 2 3" xfId="2260" xr:uid="{00000000-0005-0000-0000-000061090000}"/>
    <cellStyle name="Moneda 7 2 4 2 3 2" xfId="2261" xr:uid="{00000000-0005-0000-0000-000062090000}"/>
    <cellStyle name="Moneda 7 2 4 2 4" xfId="2262" xr:uid="{00000000-0005-0000-0000-000063090000}"/>
    <cellStyle name="Moneda 7 2 4 2 4 2" xfId="2263" xr:uid="{00000000-0005-0000-0000-000064090000}"/>
    <cellStyle name="Moneda 7 2 4 2 5" xfId="2264" xr:uid="{00000000-0005-0000-0000-000065090000}"/>
    <cellStyle name="Moneda 7 2 4 2 5 2" xfId="2265" xr:uid="{00000000-0005-0000-0000-000066090000}"/>
    <cellStyle name="Moneda 7 2 4 2 6" xfId="2266" xr:uid="{00000000-0005-0000-0000-000067090000}"/>
    <cellStyle name="Moneda 7 2 4 3" xfId="2267" xr:uid="{00000000-0005-0000-0000-000068090000}"/>
    <cellStyle name="Moneda 7 2 4 3 2" xfId="2268" xr:uid="{00000000-0005-0000-0000-000069090000}"/>
    <cellStyle name="Moneda 7 2 4 3 2 2" xfId="2269" xr:uid="{00000000-0005-0000-0000-00006A090000}"/>
    <cellStyle name="Moneda 7 2 4 3 3" xfId="2270" xr:uid="{00000000-0005-0000-0000-00006B090000}"/>
    <cellStyle name="Moneda 7 2 4 3 3 2" xfId="2271" xr:uid="{00000000-0005-0000-0000-00006C090000}"/>
    <cellStyle name="Moneda 7 2 4 3 4" xfId="2272" xr:uid="{00000000-0005-0000-0000-00006D090000}"/>
    <cellStyle name="Moneda 7 2 4 3 4 2" xfId="2273" xr:uid="{00000000-0005-0000-0000-00006E090000}"/>
    <cellStyle name="Moneda 7 2 4 3 5" xfId="2274" xr:uid="{00000000-0005-0000-0000-00006F090000}"/>
    <cellStyle name="Moneda 7 2 4 4" xfId="2275" xr:uid="{00000000-0005-0000-0000-000070090000}"/>
    <cellStyle name="Moneda 7 2 4 4 2" xfId="2276" xr:uid="{00000000-0005-0000-0000-000071090000}"/>
    <cellStyle name="Moneda 7 2 4 5" xfId="2277" xr:uid="{00000000-0005-0000-0000-000072090000}"/>
    <cellStyle name="Moneda 7 2 4 5 2" xfId="2278" xr:uid="{00000000-0005-0000-0000-000073090000}"/>
    <cellStyle name="Moneda 7 2 4 6" xfId="2279" xr:uid="{00000000-0005-0000-0000-000074090000}"/>
    <cellStyle name="Moneda 7 2 4 6 2" xfId="2280" xr:uid="{00000000-0005-0000-0000-000075090000}"/>
    <cellStyle name="Moneda 7 2 4 7" xfId="2281" xr:uid="{00000000-0005-0000-0000-000076090000}"/>
    <cellStyle name="Moneda 7 2 5" xfId="2282" xr:uid="{00000000-0005-0000-0000-000077090000}"/>
    <cellStyle name="Moneda 7 2 5 2" xfId="2283" xr:uid="{00000000-0005-0000-0000-000078090000}"/>
    <cellStyle name="Moneda 7 2 5 2 2" xfId="2284" xr:uid="{00000000-0005-0000-0000-000079090000}"/>
    <cellStyle name="Moneda 7 2 5 2 2 2" xfId="2285" xr:uid="{00000000-0005-0000-0000-00007A090000}"/>
    <cellStyle name="Moneda 7 2 5 2 3" xfId="2286" xr:uid="{00000000-0005-0000-0000-00007B090000}"/>
    <cellStyle name="Moneda 7 2 5 2 3 2" xfId="2287" xr:uid="{00000000-0005-0000-0000-00007C090000}"/>
    <cellStyle name="Moneda 7 2 5 2 4" xfId="2288" xr:uid="{00000000-0005-0000-0000-00007D090000}"/>
    <cellStyle name="Moneda 7 2 5 2 4 2" xfId="2289" xr:uid="{00000000-0005-0000-0000-00007E090000}"/>
    <cellStyle name="Moneda 7 2 5 2 5" xfId="2290" xr:uid="{00000000-0005-0000-0000-00007F090000}"/>
    <cellStyle name="Moneda 7 2 5 3" xfId="2291" xr:uid="{00000000-0005-0000-0000-000080090000}"/>
    <cellStyle name="Moneda 7 2 5 3 2" xfId="2292" xr:uid="{00000000-0005-0000-0000-000081090000}"/>
    <cellStyle name="Moneda 7 2 5 4" xfId="2293" xr:uid="{00000000-0005-0000-0000-000082090000}"/>
    <cellStyle name="Moneda 7 2 5 4 2" xfId="2294" xr:uid="{00000000-0005-0000-0000-000083090000}"/>
    <cellStyle name="Moneda 7 2 5 5" xfId="2295" xr:uid="{00000000-0005-0000-0000-000084090000}"/>
    <cellStyle name="Moneda 7 2 5 5 2" xfId="2296" xr:uid="{00000000-0005-0000-0000-000085090000}"/>
    <cellStyle name="Moneda 7 2 5 6" xfId="2297" xr:uid="{00000000-0005-0000-0000-000086090000}"/>
    <cellStyle name="Moneda 7 2 6" xfId="2298" xr:uid="{00000000-0005-0000-0000-000087090000}"/>
    <cellStyle name="Moneda 7 2 6 2" xfId="2299" xr:uid="{00000000-0005-0000-0000-000088090000}"/>
    <cellStyle name="Moneda 7 2 6 2 2" xfId="2300" xr:uid="{00000000-0005-0000-0000-000089090000}"/>
    <cellStyle name="Moneda 7 2 6 3" xfId="2301" xr:uid="{00000000-0005-0000-0000-00008A090000}"/>
    <cellStyle name="Moneda 7 2 6 3 2" xfId="2302" xr:uid="{00000000-0005-0000-0000-00008B090000}"/>
    <cellStyle name="Moneda 7 2 6 4" xfId="2303" xr:uid="{00000000-0005-0000-0000-00008C090000}"/>
    <cellStyle name="Moneda 7 2 6 4 2" xfId="2304" xr:uid="{00000000-0005-0000-0000-00008D090000}"/>
    <cellStyle name="Moneda 7 2 6 5" xfId="2305" xr:uid="{00000000-0005-0000-0000-00008E090000}"/>
    <cellStyle name="Moneda 7 2 7" xfId="2306" xr:uid="{00000000-0005-0000-0000-00008F090000}"/>
    <cellStyle name="Moneda 7 2 7 2" xfId="2307" xr:uid="{00000000-0005-0000-0000-000090090000}"/>
    <cellStyle name="Moneda 7 2 8" xfId="2308" xr:uid="{00000000-0005-0000-0000-000091090000}"/>
    <cellStyle name="Moneda 7 2 8 2" xfId="2309" xr:uid="{00000000-0005-0000-0000-000092090000}"/>
    <cellStyle name="Moneda 7 2 9" xfId="2310" xr:uid="{00000000-0005-0000-0000-000093090000}"/>
    <cellStyle name="Moneda 7 2 9 2" xfId="2311" xr:uid="{00000000-0005-0000-0000-000094090000}"/>
    <cellStyle name="Moneda 7 3" xfId="2312" xr:uid="{00000000-0005-0000-0000-000095090000}"/>
    <cellStyle name="Moneda 7 3 2" xfId="2313" xr:uid="{00000000-0005-0000-0000-000096090000}"/>
    <cellStyle name="Moneda 7 3 2 2" xfId="2314" xr:uid="{00000000-0005-0000-0000-000097090000}"/>
    <cellStyle name="Moneda 7 3 2 2 2" xfId="2315" xr:uid="{00000000-0005-0000-0000-000098090000}"/>
    <cellStyle name="Moneda 7 3 2 2 2 2" xfId="2316" xr:uid="{00000000-0005-0000-0000-000099090000}"/>
    <cellStyle name="Moneda 7 3 2 2 3" xfId="2317" xr:uid="{00000000-0005-0000-0000-00009A090000}"/>
    <cellStyle name="Moneda 7 3 2 2 3 2" xfId="2318" xr:uid="{00000000-0005-0000-0000-00009B090000}"/>
    <cellStyle name="Moneda 7 3 2 2 4" xfId="2319" xr:uid="{00000000-0005-0000-0000-00009C090000}"/>
    <cellStyle name="Moneda 7 3 2 2 4 2" xfId="2320" xr:uid="{00000000-0005-0000-0000-00009D090000}"/>
    <cellStyle name="Moneda 7 3 2 2 5" xfId="2321" xr:uid="{00000000-0005-0000-0000-00009E090000}"/>
    <cellStyle name="Moneda 7 3 2 3" xfId="2322" xr:uid="{00000000-0005-0000-0000-00009F090000}"/>
    <cellStyle name="Moneda 7 3 2 3 2" xfId="2323" xr:uid="{00000000-0005-0000-0000-0000A0090000}"/>
    <cellStyle name="Moneda 7 3 2 4" xfId="2324" xr:uid="{00000000-0005-0000-0000-0000A1090000}"/>
    <cellStyle name="Moneda 7 3 2 4 2" xfId="2325" xr:uid="{00000000-0005-0000-0000-0000A2090000}"/>
    <cellStyle name="Moneda 7 3 2 5" xfId="2326" xr:uid="{00000000-0005-0000-0000-0000A3090000}"/>
    <cellStyle name="Moneda 7 3 2 5 2" xfId="2327" xr:uid="{00000000-0005-0000-0000-0000A4090000}"/>
    <cellStyle name="Moneda 7 3 2 6" xfId="2328" xr:uid="{00000000-0005-0000-0000-0000A5090000}"/>
    <cellStyle name="Moneda 7 3 3" xfId="2329" xr:uid="{00000000-0005-0000-0000-0000A6090000}"/>
    <cellStyle name="Moneda 7 3 3 2" xfId="2330" xr:uid="{00000000-0005-0000-0000-0000A7090000}"/>
    <cellStyle name="Moneda 7 3 3 2 2" xfId="2331" xr:uid="{00000000-0005-0000-0000-0000A8090000}"/>
    <cellStyle name="Moneda 7 3 3 3" xfId="2332" xr:uid="{00000000-0005-0000-0000-0000A9090000}"/>
    <cellStyle name="Moneda 7 3 3 3 2" xfId="2333" xr:uid="{00000000-0005-0000-0000-0000AA090000}"/>
    <cellStyle name="Moneda 7 3 3 4" xfId="2334" xr:uid="{00000000-0005-0000-0000-0000AB090000}"/>
    <cellStyle name="Moneda 7 3 3 4 2" xfId="2335" xr:uid="{00000000-0005-0000-0000-0000AC090000}"/>
    <cellStyle name="Moneda 7 3 3 5" xfId="2336" xr:uid="{00000000-0005-0000-0000-0000AD090000}"/>
    <cellStyle name="Moneda 7 3 4" xfId="2337" xr:uid="{00000000-0005-0000-0000-0000AE090000}"/>
    <cellStyle name="Moneda 7 3 4 2" xfId="2338" xr:uid="{00000000-0005-0000-0000-0000AF090000}"/>
    <cellStyle name="Moneda 7 3 5" xfId="2339" xr:uid="{00000000-0005-0000-0000-0000B0090000}"/>
    <cellStyle name="Moneda 7 3 5 2" xfId="2340" xr:uid="{00000000-0005-0000-0000-0000B1090000}"/>
    <cellStyle name="Moneda 7 3 6" xfId="2341" xr:uid="{00000000-0005-0000-0000-0000B2090000}"/>
    <cellStyle name="Moneda 7 3 6 2" xfId="2342" xr:uid="{00000000-0005-0000-0000-0000B3090000}"/>
    <cellStyle name="Moneda 7 3 7" xfId="2343" xr:uid="{00000000-0005-0000-0000-0000B4090000}"/>
    <cellStyle name="Moneda 7 4" xfId="2344" xr:uid="{00000000-0005-0000-0000-0000B5090000}"/>
    <cellStyle name="Moneda 7 4 2" xfId="2345" xr:uid="{00000000-0005-0000-0000-0000B6090000}"/>
    <cellStyle name="Moneda 7 4 2 2" xfId="2346" xr:uid="{00000000-0005-0000-0000-0000B7090000}"/>
    <cellStyle name="Moneda 7 4 2 2 2" xfId="2347" xr:uid="{00000000-0005-0000-0000-0000B8090000}"/>
    <cellStyle name="Moneda 7 4 2 2 2 2" xfId="2348" xr:uid="{00000000-0005-0000-0000-0000B9090000}"/>
    <cellStyle name="Moneda 7 4 2 2 3" xfId="2349" xr:uid="{00000000-0005-0000-0000-0000BA090000}"/>
    <cellStyle name="Moneda 7 4 2 2 3 2" xfId="2350" xr:uid="{00000000-0005-0000-0000-0000BB090000}"/>
    <cellStyle name="Moneda 7 4 2 2 4" xfId="2351" xr:uid="{00000000-0005-0000-0000-0000BC090000}"/>
    <cellStyle name="Moneda 7 4 2 2 4 2" xfId="2352" xr:uid="{00000000-0005-0000-0000-0000BD090000}"/>
    <cellStyle name="Moneda 7 4 2 2 5" xfId="2353" xr:uid="{00000000-0005-0000-0000-0000BE090000}"/>
    <cellStyle name="Moneda 7 4 2 3" xfId="2354" xr:uid="{00000000-0005-0000-0000-0000BF090000}"/>
    <cellStyle name="Moneda 7 4 2 3 2" xfId="2355" xr:uid="{00000000-0005-0000-0000-0000C0090000}"/>
    <cellStyle name="Moneda 7 4 2 4" xfId="2356" xr:uid="{00000000-0005-0000-0000-0000C1090000}"/>
    <cellStyle name="Moneda 7 4 2 4 2" xfId="2357" xr:uid="{00000000-0005-0000-0000-0000C2090000}"/>
    <cellStyle name="Moneda 7 4 2 5" xfId="2358" xr:uid="{00000000-0005-0000-0000-0000C3090000}"/>
    <cellStyle name="Moneda 7 4 2 5 2" xfId="2359" xr:uid="{00000000-0005-0000-0000-0000C4090000}"/>
    <cellStyle name="Moneda 7 4 2 6" xfId="2360" xr:uid="{00000000-0005-0000-0000-0000C5090000}"/>
    <cellStyle name="Moneda 7 4 3" xfId="2361" xr:uid="{00000000-0005-0000-0000-0000C6090000}"/>
    <cellStyle name="Moneda 7 4 3 2" xfId="2362" xr:uid="{00000000-0005-0000-0000-0000C7090000}"/>
    <cellStyle name="Moneda 7 4 3 2 2" xfId="2363" xr:uid="{00000000-0005-0000-0000-0000C8090000}"/>
    <cellStyle name="Moneda 7 4 3 3" xfId="2364" xr:uid="{00000000-0005-0000-0000-0000C9090000}"/>
    <cellStyle name="Moneda 7 4 3 3 2" xfId="2365" xr:uid="{00000000-0005-0000-0000-0000CA090000}"/>
    <cellStyle name="Moneda 7 4 3 4" xfId="2366" xr:uid="{00000000-0005-0000-0000-0000CB090000}"/>
    <cellStyle name="Moneda 7 4 3 4 2" xfId="2367" xr:uid="{00000000-0005-0000-0000-0000CC090000}"/>
    <cellStyle name="Moneda 7 4 3 5" xfId="2368" xr:uid="{00000000-0005-0000-0000-0000CD090000}"/>
    <cellStyle name="Moneda 7 4 4" xfId="2369" xr:uid="{00000000-0005-0000-0000-0000CE090000}"/>
    <cellStyle name="Moneda 7 4 4 2" xfId="2370" xr:uid="{00000000-0005-0000-0000-0000CF090000}"/>
    <cellStyle name="Moneda 7 4 5" xfId="2371" xr:uid="{00000000-0005-0000-0000-0000D0090000}"/>
    <cellStyle name="Moneda 7 4 5 2" xfId="2372" xr:uid="{00000000-0005-0000-0000-0000D1090000}"/>
    <cellStyle name="Moneda 7 4 6" xfId="2373" xr:uid="{00000000-0005-0000-0000-0000D2090000}"/>
    <cellStyle name="Moneda 7 4 6 2" xfId="2374" xr:uid="{00000000-0005-0000-0000-0000D3090000}"/>
    <cellStyle name="Moneda 7 4 7" xfId="2375" xr:uid="{00000000-0005-0000-0000-0000D4090000}"/>
    <cellStyle name="Moneda 7 5" xfId="2376" xr:uid="{00000000-0005-0000-0000-0000D5090000}"/>
    <cellStyle name="Moneda 7 5 2" xfId="2377" xr:uid="{00000000-0005-0000-0000-0000D6090000}"/>
    <cellStyle name="Moneda 7 5 2 2" xfId="2378" xr:uid="{00000000-0005-0000-0000-0000D7090000}"/>
    <cellStyle name="Moneda 7 5 2 2 2" xfId="2379" xr:uid="{00000000-0005-0000-0000-0000D8090000}"/>
    <cellStyle name="Moneda 7 5 2 2 2 2" xfId="2380" xr:uid="{00000000-0005-0000-0000-0000D9090000}"/>
    <cellStyle name="Moneda 7 5 2 2 3" xfId="2381" xr:uid="{00000000-0005-0000-0000-0000DA090000}"/>
    <cellStyle name="Moneda 7 5 2 2 3 2" xfId="2382" xr:uid="{00000000-0005-0000-0000-0000DB090000}"/>
    <cellStyle name="Moneda 7 5 2 2 4" xfId="2383" xr:uid="{00000000-0005-0000-0000-0000DC090000}"/>
    <cellStyle name="Moneda 7 5 2 2 4 2" xfId="2384" xr:uid="{00000000-0005-0000-0000-0000DD090000}"/>
    <cellStyle name="Moneda 7 5 2 2 5" xfId="2385" xr:uid="{00000000-0005-0000-0000-0000DE090000}"/>
    <cellStyle name="Moneda 7 5 2 3" xfId="2386" xr:uid="{00000000-0005-0000-0000-0000DF090000}"/>
    <cellStyle name="Moneda 7 5 2 3 2" xfId="2387" xr:uid="{00000000-0005-0000-0000-0000E0090000}"/>
    <cellStyle name="Moneda 7 5 2 4" xfId="2388" xr:uid="{00000000-0005-0000-0000-0000E1090000}"/>
    <cellStyle name="Moneda 7 5 2 4 2" xfId="2389" xr:uid="{00000000-0005-0000-0000-0000E2090000}"/>
    <cellStyle name="Moneda 7 5 2 5" xfId="2390" xr:uid="{00000000-0005-0000-0000-0000E3090000}"/>
    <cellStyle name="Moneda 7 5 2 5 2" xfId="2391" xr:uid="{00000000-0005-0000-0000-0000E4090000}"/>
    <cellStyle name="Moneda 7 5 2 6" xfId="2392" xr:uid="{00000000-0005-0000-0000-0000E5090000}"/>
    <cellStyle name="Moneda 7 5 3" xfId="2393" xr:uid="{00000000-0005-0000-0000-0000E6090000}"/>
    <cellStyle name="Moneda 7 5 3 2" xfId="2394" xr:uid="{00000000-0005-0000-0000-0000E7090000}"/>
    <cellStyle name="Moneda 7 5 3 2 2" xfId="2395" xr:uid="{00000000-0005-0000-0000-0000E8090000}"/>
    <cellStyle name="Moneda 7 5 3 3" xfId="2396" xr:uid="{00000000-0005-0000-0000-0000E9090000}"/>
    <cellStyle name="Moneda 7 5 3 3 2" xfId="2397" xr:uid="{00000000-0005-0000-0000-0000EA090000}"/>
    <cellStyle name="Moneda 7 5 3 4" xfId="2398" xr:uid="{00000000-0005-0000-0000-0000EB090000}"/>
    <cellStyle name="Moneda 7 5 3 4 2" xfId="2399" xr:uid="{00000000-0005-0000-0000-0000EC090000}"/>
    <cellStyle name="Moneda 7 5 3 5" xfId="2400" xr:uid="{00000000-0005-0000-0000-0000ED090000}"/>
    <cellStyle name="Moneda 7 5 4" xfId="2401" xr:uid="{00000000-0005-0000-0000-0000EE090000}"/>
    <cellStyle name="Moneda 7 5 4 2" xfId="2402" xr:uid="{00000000-0005-0000-0000-0000EF090000}"/>
    <cellStyle name="Moneda 7 5 5" xfId="2403" xr:uid="{00000000-0005-0000-0000-0000F0090000}"/>
    <cellStyle name="Moneda 7 5 5 2" xfId="2404" xr:uid="{00000000-0005-0000-0000-0000F1090000}"/>
    <cellStyle name="Moneda 7 5 6" xfId="2405" xr:uid="{00000000-0005-0000-0000-0000F2090000}"/>
    <cellStyle name="Moneda 7 5 6 2" xfId="2406" xr:uid="{00000000-0005-0000-0000-0000F3090000}"/>
    <cellStyle name="Moneda 7 5 7" xfId="2407" xr:uid="{00000000-0005-0000-0000-0000F4090000}"/>
    <cellStyle name="Moneda 7 6" xfId="2408" xr:uid="{00000000-0005-0000-0000-0000F5090000}"/>
    <cellStyle name="Moneda 7 6 2" xfId="2409" xr:uid="{00000000-0005-0000-0000-0000F6090000}"/>
    <cellStyle name="Moneda 7 6 2 2" xfId="2410" xr:uid="{00000000-0005-0000-0000-0000F7090000}"/>
    <cellStyle name="Moneda 7 6 2 2 2" xfId="2411" xr:uid="{00000000-0005-0000-0000-0000F8090000}"/>
    <cellStyle name="Moneda 7 6 2 3" xfId="2412" xr:uid="{00000000-0005-0000-0000-0000F9090000}"/>
    <cellStyle name="Moneda 7 6 2 3 2" xfId="2413" xr:uid="{00000000-0005-0000-0000-0000FA090000}"/>
    <cellStyle name="Moneda 7 6 2 4" xfId="2414" xr:uid="{00000000-0005-0000-0000-0000FB090000}"/>
    <cellStyle name="Moneda 7 6 2 4 2" xfId="2415" xr:uid="{00000000-0005-0000-0000-0000FC090000}"/>
    <cellStyle name="Moneda 7 6 2 5" xfId="2416" xr:uid="{00000000-0005-0000-0000-0000FD090000}"/>
    <cellStyle name="Moneda 7 6 3" xfId="2417" xr:uid="{00000000-0005-0000-0000-0000FE090000}"/>
    <cellStyle name="Moneda 7 6 3 2" xfId="2418" xr:uid="{00000000-0005-0000-0000-0000FF090000}"/>
    <cellStyle name="Moneda 7 6 4" xfId="2419" xr:uid="{00000000-0005-0000-0000-0000000A0000}"/>
    <cellStyle name="Moneda 7 6 4 2" xfId="2420" xr:uid="{00000000-0005-0000-0000-0000010A0000}"/>
    <cellStyle name="Moneda 7 6 5" xfId="2421" xr:uid="{00000000-0005-0000-0000-0000020A0000}"/>
    <cellStyle name="Moneda 7 6 5 2" xfId="2422" xr:uid="{00000000-0005-0000-0000-0000030A0000}"/>
    <cellStyle name="Moneda 7 6 6" xfId="2423" xr:uid="{00000000-0005-0000-0000-0000040A0000}"/>
    <cellStyle name="Moneda 7 7" xfId="2424" xr:uid="{00000000-0005-0000-0000-0000050A0000}"/>
    <cellStyle name="Moneda 7 7 2" xfId="2425" xr:uid="{00000000-0005-0000-0000-0000060A0000}"/>
    <cellStyle name="Moneda 7 7 2 2" xfId="2426" xr:uid="{00000000-0005-0000-0000-0000070A0000}"/>
    <cellStyle name="Moneda 7 7 3" xfId="2427" xr:uid="{00000000-0005-0000-0000-0000080A0000}"/>
    <cellStyle name="Moneda 7 7 3 2" xfId="2428" xr:uid="{00000000-0005-0000-0000-0000090A0000}"/>
    <cellStyle name="Moneda 7 7 4" xfId="2429" xr:uid="{00000000-0005-0000-0000-00000A0A0000}"/>
    <cellStyle name="Moneda 7 7 4 2" xfId="2430" xr:uid="{00000000-0005-0000-0000-00000B0A0000}"/>
    <cellStyle name="Moneda 7 7 5" xfId="2431" xr:uid="{00000000-0005-0000-0000-00000C0A0000}"/>
    <cellStyle name="Moneda 7 8" xfId="2432" xr:uid="{00000000-0005-0000-0000-00000D0A0000}"/>
    <cellStyle name="Moneda 7 8 2" xfId="2433" xr:uid="{00000000-0005-0000-0000-00000E0A0000}"/>
    <cellStyle name="Moneda 7 9" xfId="2434" xr:uid="{00000000-0005-0000-0000-00000F0A0000}"/>
    <cellStyle name="Moneda 7 9 2" xfId="2435" xr:uid="{00000000-0005-0000-0000-0000100A0000}"/>
    <cellStyle name="Moneda 8" xfId="2436" xr:uid="{00000000-0005-0000-0000-0000110A0000}"/>
    <cellStyle name="Moneda 8 10" xfId="2437" xr:uid="{00000000-0005-0000-0000-0000120A0000}"/>
    <cellStyle name="Moneda 8 10 2" xfId="2438" xr:uid="{00000000-0005-0000-0000-0000130A0000}"/>
    <cellStyle name="Moneda 8 11" xfId="2439" xr:uid="{00000000-0005-0000-0000-0000140A0000}"/>
    <cellStyle name="Moneda 8 11 2" xfId="2440" xr:uid="{00000000-0005-0000-0000-0000150A0000}"/>
    <cellStyle name="Moneda 8 12" xfId="2441" xr:uid="{00000000-0005-0000-0000-0000160A0000}"/>
    <cellStyle name="Moneda 8 13" xfId="2442" xr:uid="{00000000-0005-0000-0000-0000170A0000}"/>
    <cellStyle name="Moneda 8 2" xfId="2443" xr:uid="{00000000-0005-0000-0000-0000180A0000}"/>
    <cellStyle name="Moneda 8 2 10" xfId="2444" xr:uid="{00000000-0005-0000-0000-0000190A0000}"/>
    <cellStyle name="Moneda 8 2 11" xfId="2445" xr:uid="{00000000-0005-0000-0000-00001A0A0000}"/>
    <cellStyle name="Moneda 8 2 2" xfId="2446" xr:uid="{00000000-0005-0000-0000-00001B0A0000}"/>
    <cellStyle name="Moneda 8 2 2 2" xfId="2447" xr:uid="{00000000-0005-0000-0000-00001C0A0000}"/>
    <cellStyle name="Moneda 8 2 2 2 2" xfId="2448" xr:uid="{00000000-0005-0000-0000-00001D0A0000}"/>
    <cellStyle name="Moneda 8 2 2 2 2 2" xfId="2449" xr:uid="{00000000-0005-0000-0000-00001E0A0000}"/>
    <cellStyle name="Moneda 8 2 2 2 2 2 2" xfId="2450" xr:uid="{00000000-0005-0000-0000-00001F0A0000}"/>
    <cellStyle name="Moneda 8 2 2 2 2 3" xfId="2451" xr:uid="{00000000-0005-0000-0000-0000200A0000}"/>
    <cellStyle name="Moneda 8 2 2 2 2 3 2" xfId="2452" xr:uid="{00000000-0005-0000-0000-0000210A0000}"/>
    <cellStyle name="Moneda 8 2 2 2 2 4" xfId="2453" xr:uid="{00000000-0005-0000-0000-0000220A0000}"/>
    <cellStyle name="Moneda 8 2 2 2 2 4 2" xfId="2454" xr:uid="{00000000-0005-0000-0000-0000230A0000}"/>
    <cellStyle name="Moneda 8 2 2 2 2 5" xfId="2455" xr:uid="{00000000-0005-0000-0000-0000240A0000}"/>
    <cellStyle name="Moneda 8 2 2 2 3" xfId="2456" xr:uid="{00000000-0005-0000-0000-0000250A0000}"/>
    <cellStyle name="Moneda 8 2 2 2 3 2" xfId="2457" xr:uid="{00000000-0005-0000-0000-0000260A0000}"/>
    <cellStyle name="Moneda 8 2 2 2 4" xfId="2458" xr:uid="{00000000-0005-0000-0000-0000270A0000}"/>
    <cellStyle name="Moneda 8 2 2 2 4 2" xfId="2459" xr:uid="{00000000-0005-0000-0000-0000280A0000}"/>
    <cellStyle name="Moneda 8 2 2 2 5" xfId="2460" xr:uid="{00000000-0005-0000-0000-0000290A0000}"/>
    <cellStyle name="Moneda 8 2 2 2 5 2" xfId="2461" xr:uid="{00000000-0005-0000-0000-00002A0A0000}"/>
    <cellStyle name="Moneda 8 2 2 2 6" xfId="2462" xr:uid="{00000000-0005-0000-0000-00002B0A0000}"/>
    <cellStyle name="Moneda 8 2 2 3" xfId="2463" xr:uid="{00000000-0005-0000-0000-00002C0A0000}"/>
    <cellStyle name="Moneda 8 2 2 3 2" xfId="2464" xr:uid="{00000000-0005-0000-0000-00002D0A0000}"/>
    <cellStyle name="Moneda 8 2 2 3 2 2" xfId="2465" xr:uid="{00000000-0005-0000-0000-00002E0A0000}"/>
    <cellStyle name="Moneda 8 2 2 3 3" xfId="2466" xr:uid="{00000000-0005-0000-0000-00002F0A0000}"/>
    <cellStyle name="Moneda 8 2 2 3 3 2" xfId="2467" xr:uid="{00000000-0005-0000-0000-0000300A0000}"/>
    <cellStyle name="Moneda 8 2 2 3 4" xfId="2468" xr:uid="{00000000-0005-0000-0000-0000310A0000}"/>
    <cellStyle name="Moneda 8 2 2 3 4 2" xfId="2469" xr:uid="{00000000-0005-0000-0000-0000320A0000}"/>
    <cellStyle name="Moneda 8 2 2 3 5" xfId="2470" xr:uid="{00000000-0005-0000-0000-0000330A0000}"/>
    <cellStyle name="Moneda 8 2 2 4" xfId="2471" xr:uid="{00000000-0005-0000-0000-0000340A0000}"/>
    <cellStyle name="Moneda 8 2 2 4 2" xfId="2472" xr:uid="{00000000-0005-0000-0000-0000350A0000}"/>
    <cellStyle name="Moneda 8 2 2 5" xfId="2473" xr:uid="{00000000-0005-0000-0000-0000360A0000}"/>
    <cellStyle name="Moneda 8 2 2 5 2" xfId="2474" xr:uid="{00000000-0005-0000-0000-0000370A0000}"/>
    <cellStyle name="Moneda 8 2 2 6" xfId="2475" xr:uid="{00000000-0005-0000-0000-0000380A0000}"/>
    <cellStyle name="Moneda 8 2 2 6 2" xfId="2476" xr:uid="{00000000-0005-0000-0000-0000390A0000}"/>
    <cellStyle name="Moneda 8 2 2 7" xfId="2477" xr:uid="{00000000-0005-0000-0000-00003A0A0000}"/>
    <cellStyle name="Moneda 8 2 3" xfId="2478" xr:uid="{00000000-0005-0000-0000-00003B0A0000}"/>
    <cellStyle name="Moneda 8 2 3 2" xfId="2479" xr:uid="{00000000-0005-0000-0000-00003C0A0000}"/>
    <cellStyle name="Moneda 8 2 3 2 2" xfId="2480" xr:uid="{00000000-0005-0000-0000-00003D0A0000}"/>
    <cellStyle name="Moneda 8 2 3 2 2 2" xfId="2481" xr:uid="{00000000-0005-0000-0000-00003E0A0000}"/>
    <cellStyle name="Moneda 8 2 3 2 2 2 2" xfId="2482" xr:uid="{00000000-0005-0000-0000-00003F0A0000}"/>
    <cellStyle name="Moneda 8 2 3 2 2 3" xfId="2483" xr:uid="{00000000-0005-0000-0000-0000400A0000}"/>
    <cellStyle name="Moneda 8 2 3 2 2 3 2" xfId="2484" xr:uid="{00000000-0005-0000-0000-0000410A0000}"/>
    <cellStyle name="Moneda 8 2 3 2 2 4" xfId="2485" xr:uid="{00000000-0005-0000-0000-0000420A0000}"/>
    <cellStyle name="Moneda 8 2 3 2 2 4 2" xfId="2486" xr:uid="{00000000-0005-0000-0000-0000430A0000}"/>
    <cellStyle name="Moneda 8 2 3 2 2 5" xfId="2487" xr:uid="{00000000-0005-0000-0000-0000440A0000}"/>
    <cellStyle name="Moneda 8 2 3 2 3" xfId="2488" xr:uid="{00000000-0005-0000-0000-0000450A0000}"/>
    <cellStyle name="Moneda 8 2 3 2 3 2" xfId="2489" xr:uid="{00000000-0005-0000-0000-0000460A0000}"/>
    <cellStyle name="Moneda 8 2 3 2 4" xfId="2490" xr:uid="{00000000-0005-0000-0000-0000470A0000}"/>
    <cellStyle name="Moneda 8 2 3 2 4 2" xfId="2491" xr:uid="{00000000-0005-0000-0000-0000480A0000}"/>
    <cellStyle name="Moneda 8 2 3 2 5" xfId="2492" xr:uid="{00000000-0005-0000-0000-0000490A0000}"/>
    <cellStyle name="Moneda 8 2 3 2 5 2" xfId="2493" xr:uid="{00000000-0005-0000-0000-00004A0A0000}"/>
    <cellStyle name="Moneda 8 2 3 2 6" xfId="2494" xr:uid="{00000000-0005-0000-0000-00004B0A0000}"/>
    <cellStyle name="Moneda 8 2 3 3" xfId="2495" xr:uid="{00000000-0005-0000-0000-00004C0A0000}"/>
    <cellStyle name="Moneda 8 2 3 3 2" xfId="2496" xr:uid="{00000000-0005-0000-0000-00004D0A0000}"/>
    <cellStyle name="Moneda 8 2 3 3 2 2" xfId="2497" xr:uid="{00000000-0005-0000-0000-00004E0A0000}"/>
    <cellStyle name="Moneda 8 2 3 3 3" xfId="2498" xr:uid="{00000000-0005-0000-0000-00004F0A0000}"/>
    <cellStyle name="Moneda 8 2 3 3 3 2" xfId="2499" xr:uid="{00000000-0005-0000-0000-0000500A0000}"/>
    <cellStyle name="Moneda 8 2 3 3 4" xfId="2500" xr:uid="{00000000-0005-0000-0000-0000510A0000}"/>
    <cellStyle name="Moneda 8 2 3 3 4 2" xfId="2501" xr:uid="{00000000-0005-0000-0000-0000520A0000}"/>
    <cellStyle name="Moneda 8 2 3 3 5" xfId="2502" xr:uid="{00000000-0005-0000-0000-0000530A0000}"/>
    <cellStyle name="Moneda 8 2 3 4" xfId="2503" xr:uid="{00000000-0005-0000-0000-0000540A0000}"/>
    <cellStyle name="Moneda 8 2 3 4 2" xfId="2504" xr:uid="{00000000-0005-0000-0000-0000550A0000}"/>
    <cellStyle name="Moneda 8 2 3 5" xfId="2505" xr:uid="{00000000-0005-0000-0000-0000560A0000}"/>
    <cellStyle name="Moneda 8 2 3 5 2" xfId="2506" xr:uid="{00000000-0005-0000-0000-0000570A0000}"/>
    <cellStyle name="Moneda 8 2 3 6" xfId="2507" xr:uid="{00000000-0005-0000-0000-0000580A0000}"/>
    <cellStyle name="Moneda 8 2 3 6 2" xfId="2508" xr:uid="{00000000-0005-0000-0000-0000590A0000}"/>
    <cellStyle name="Moneda 8 2 3 7" xfId="2509" xr:uid="{00000000-0005-0000-0000-00005A0A0000}"/>
    <cellStyle name="Moneda 8 2 4" xfId="2510" xr:uid="{00000000-0005-0000-0000-00005B0A0000}"/>
    <cellStyle name="Moneda 8 2 4 2" xfId="2511" xr:uid="{00000000-0005-0000-0000-00005C0A0000}"/>
    <cellStyle name="Moneda 8 2 4 2 2" xfId="2512" xr:uid="{00000000-0005-0000-0000-00005D0A0000}"/>
    <cellStyle name="Moneda 8 2 4 2 2 2" xfId="2513" xr:uid="{00000000-0005-0000-0000-00005E0A0000}"/>
    <cellStyle name="Moneda 8 2 4 2 2 2 2" xfId="2514" xr:uid="{00000000-0005-0000-0000-00005F0A0000}"/>
    <cellStyle name="Moneda 8 2 4 2 2 3" xfId="2515" xr:uid="{00000000-0005-0000-0000-0000600A0000}"/>
    <cellStyle name="Moneda 8 2 4 2 2 3 2" xfId="2516" xr:uid="{00000000-0005-0000-0000-0000610A0000}"/>
    <cellStyle name="Moneda 8 2 4 2 2 4" xfId="2517" xr:uid="{00000000-0005-0000-0000-0000620A0000}"/>
    <cellStyle name="Moneda 8 2 4 2 2 4 2" xfId="2518" xr:uid="{00000000-0005-0000-0000-0000630A0000}"/>
    <cellStyle name="Moneda 8 2 4 2 2 5" xfId="2519" xr:uid="{00000000-0005-0000-0000-0000640A0000}"/>
    <cellStyle name="Moneda 8 2 4 2 3" xfId="2520" xr:uid="{00000000-0005-0000-0000-0000650A0000}"/>
    <cellStyle name="Moneda 8 2 4 2 3 2" xfId="2521" xr:uid="{00000000-0005-0000-0000-0000660A0000}"/>
    <cellStyle name="Moneda 8 2 4 2 4" xfId="2522" xr:uid="{00000000-0005-0000-0000-0000670A0000}"/>
    <cellStyle name="Moneda 8 2 4 2 4 2" xfId="2523" xr:uid="{00000000-0005-0000-0000-0000680A0000}"/>
    <cellStyle name="Moneda 8 2 4 2 5" xfId="2524" xr:uid="{00000000-0005-0000-0000-0000690A0000}"/>
    <cellStyle name="Moneda 8 2 4 2 5 2" xfId="2525" xr:uid="{00000000-0005-0000-0000-00006A0A0000}"/>
    <cellStyle name="Moneda 8 2 4 2 6" xfId="2526" xr:uid="{00000000-0005-0000-0000-00006B0A0000}"/>
    <cellStyle name="Moneda 8 2 4 3" xfId="2527" xr:uid="{00000000-0005-0000-0000-00006C0A0000}"/>
    <cellStyle name="Moneda 8 2 4 3 2" xfId="2528" xr:uid="{00000000-0005-0000-0000-00006D0A0000}"/>
    <cellStyle name="Moneda 8 2 4 3 2 2" xfId="2529" xr:uid="{00000000-0005-0000-0000-00006E0A0000}"/>
    <cellStyle name="Moneda 8 2 4 3 3" xfId="2530" xr:uid="{00000000-0005-0000-0000-00006F0A0000}"/>
    <cellStyle name="Moneda 8 2 4 3 3 2" xfId="2531" xr:uid="{00000000-0005-0000-0000-0000700A0000}"/>
    <cellStyle name="Moneda 8 2 4 3 4" xfId="2532" xr:uid="{00000000-0005-0000-0000-0000710A0000}"/>
    <cellStyle name="Moneda 8 2 4 3 4 2" xfId="2533" xr:uid="{00000000-0005-0000-0000-0000720A0000}"/>
    <cellStyle name="Moneda 8 2 4 3 5" xfId="2534" xr:uid="{00000000-0005-0000-0000-0000730A0000}"/>
    <cellStyle name="Moneda 8 2 4 4" xfId="2535" xr:uid="{00000000-0005-0000-0000-0000740A0000}"/>
    <cellStyle name="Moneda 8 2 4 4 2" xfId="2536" xr:uid="{00000000-0005-0000-0000-0000750A0000}"/>
    <cellStyle name="Moneda 8 2 4 5" xfId="2537" xr:uid="{00000000-0005-0000-0000-0000760A0000}"/>
    <cellStyle name="Moneda 8 2 4 5 2" xfId="2538" xr:uid="{00000000-0005-0000-0000-0000770A0000}"/>
    <cellStyle name="Moneda 8 2 4 6" xfId="2539" xr:uid="{00000000-0005-0000-0000-0000780A0000}"/>
    <cellStyle name="Moneda 8 2 4 6 2" xfId="2540" xr:uid="{00000000-0005-0000-0000-0000790A0000}"/>
    <cellStyle name="Moneda 8 2 4 7" xfId="2541" xr:uid="{00000000-0005-0000-0000-00007A0A0000}"/>
    <cellStyle name="Moneda 8 2 5" xfId="2542" xr:uid="{00000000-0005-0000-0000-00007B0A0000}"/>
    <cellStyle name="Moneda 8 2 5 2" xfId="2543" xr:uid="{00000000-0005-0000-0000-00007C0A0000}"/>
    <cellStyle name="Moneda 8 2 5 2 2" xfId="2544" xr:uid="{00000000-0005-0000-0000-00007D0A0000}"/>
    <cellStyle name="Moneda 8 2 5 2 2 2" xfId="2545" xr:uid="{00000000-0005-0000-0000-00007E0A0000}"/>
    <cellStyle name="Moneda 8 2 5 2 3" xfId="2546" xr:uid="{00000000-0005-0000-0000-00007F0A0000}"/>
    <cellStyle name="Moneda 8 2 5 2 3 2" xfId="2547" xr:uid="{00000000-0005-0000-0000-0000800A0000}"/>
    <cellStyle name="Moneda 8 2 5 2 4" xfId="2548" xr:uid="{00000000-0005-0000-0000-0000810A0000}"/>
    <cellStyle name="Moneda 8 2 5 2 4 2" xfId="2549" xr:uid="{00000000-0005-0000-0000-0000820A0000}"/>
    <cellStyle name="Moneda 8 2 5 2 5" xfId="2550" xr:uid="{00000000-0005-0000-0000-0000830A0000}"/>
    <cellStyle name="Moneda 8 2 5 3" xfId="2551" xr:uid="{00000000-0005-0000-0000-0000840A0000}"/>
    <cellStyle name="Moneda 8 2 5 3 2" xfId="2552" xr:uid="{00000000-0005-0000-0000-0000850A0000}"/>
    <cellStyle name="Moneda 8 2 5 4" xfId="2553" xr:uid="{00000000-0005-0000-0000-0000860A0000}"/>
    <cellStyle name="Moneda 8 2 5 4 2" xfId="2554" xr:uid="{00000000-0005-0000-0000-0000870A0000}"/>
    <cellStyle name="Moneda 8 2 5 5" xfId="2555" xr:uid="{00000000-0005-0000-0000-0000880A0000}"/>
    <cellStyle name="Moneda 8 2 5 5 2" xfId="2556" xr:uid="{00000000-0005-0000-0000-0000890A0000}"/>
    <cellStyle name="Moneda 8 2 5 6" xfId="2557" xr:uid="{00000000-0005-0000-0000-00008A0A0000}"/>
    <cellStyle name="Moneda 8 2 6" xfId="2558" xr:uid="{00000000-0005-0000-0000-00008B0A0000}"/>
    <cellStyle name="Moneda 8 2 6 2" xfId="2559" xr:uid="{00000000-0005-0000-0000-00008C0A0000}"/>
    <cellStyle name="Moneda 8 2 6 2 2" xfId="2560" xr:uid="{00000000-0005-0000-0000-00008D0A0000}"/>
    <cellStyle name="Moneda 8 2 6 3" xfId="2561" xr:uid="{00000000-0005-0000-0000-00008E0A0000}"/>
    <cellStyle name="Moneda 8 2 6 3 2" xfId="2562" xr:uid="{00000000-0005-0000-0000-00008F0A0000}"/>
    <cellStyle name="Moneda 8 2 6 4" xfId="2563" xr:uid="{00000000-0005-0000-0000-0000900A0000}"/>
    <cellStyle name="Moneda 8 2 6 4 2" xfId="2564" xr:uid="{00000000-0005-0000-0000-0000910A0000}"/>
    <cellStyle name="Moneda 8 2 6 5" xfId="2565" xr:uid="{00000000-0005-0000-0000-0000920A0000}"/>
    <cellStyle name="Moneda 8 2 7" xfId="2566" xr:uid="{00000000-0005-0000-0000-0000930A0000}"/>
    <cellStyle name="Moneda 8 2 7 2" xfId="2567" xr:uid="{00000000-0005-0000-0000-0000940A0000}"/>
    <cellStyle name="Moneda 8 2 8" xfId="2568" xr:uid="{00000000-0005-0000-0000-0000950A0000}"/>
    <cellStyle name="Moneda 8 2 8 2" xfId="2569" xr:uid="{00000000-0005-0000-0000-0000960A0000}"/>
    <cellStyle name="Moneda 8 2 9" xfId="2570" xr:uid="{00000000-0005-0000-0000-0000970A0000}"/>
    <cellStyle name="Moneda 8 2 9 2" xfId="2571" xr:uid="{00000000-0005-0000-0000-0000980A0000}"/>
    <cellStyle name="Moneda 8 3" xfId="2572" xr:uid="{00000000-0005-0000-0000-0000990A0000}"/>
    <cellStyle name="Moneda 8 3 2" xfId="2573" xr:uid="{00000000-0005-0000-0000-00009A0A0000}"/>
    <cellStyle name="Moneda 8 3 2 2" xfId="2574" xr:uid="{00000000-0005-0000-0000-00009B0A0000}"/>
    <cellStyle name="Moneda 8 3 2 2 2" xfId="2575" xr:uid="{00000000-0005-0000-0000-00009C0A0000}"/>
    <cellStyle name="Moneda 8 3 2 2 2 2" xfId="2576" xr:uid="{00000000-0005-0000-0000-00009D0A0000}"/>
    <cellStyle name="Moneda 8 3 2 2 3" xfId="2577" xr:uid="{00000000-0005-0000-0000-00009E0A0000}"/>
    <cellStyle name="Moneda 8 3 2 2 3 2" xfId="2578" xr:uid="{00000000-0005-0000-0000-00009F0A0000}"/>
    <cellStyle name="Moneda 8 3 2 2 4" xfId="2579" xr:uid="{00000000-0005-0000-0000-0000A00A0000}"/>
    <cellStyle name="Moneda 8 3 2 2 4 2" xfId="2580" xr:uid="{00000000-0005-0000-0000-0000A10A0000}"/>
    <cellStyle name="Moneda 8 3 2 2 5" xfId="2581" xr:uid="{00000000-0005-0000-0000-0000A20A0000}"/>
    <cellStyle name="Moneda 8 3 2 3" xfId="2582" xr:uid="{00000000-0005-0000-0000-0000A30A0000}"/>
    <cellStyle name="Moneda 8 3 2 3 2" xfId="2583" xr:uid="{00000000-0005-0000-0000-0000A40A0000}"/>
    <cellStyle name="Moneda 8 3 2 4" xfId="2584" xr:uid="{00000000-0005-0000-0000-0000A50A0000}"/>
    <cellStyle name="Moneda 8 3 2 4 2" xfId="2585" xr:uid="{00000000-0005-0000-0000-0000A60A0000}"/>
    <cellStyle name="Moneda 8 3 2 5" xfId="2586" xr:uid="{00000000-0005-0000-0000-0000A70A0000}"/>
    <cellStyle name="Moneda 8 3 2 5 2" xfId="2587" xr:uid="{00000000-0005-0000-0000-0000A80A0000}"/>
    <cellStyle name="Moneda 8 3 2 6" xfId="2588" xr:uid="{00000000-0005-0000-0000-0000A90A0000}"/>
    <cellStyle name="Moneda 8 3 3" xfId="2589" xr:uid="{00000000-0005-0000-0000-0000AA0A0000}"/>
    <cellStyle name="Moneda 8 3 3 2" xfId="2590" xr:uid="{00000000-0005-0000-0000-0000AB0A0000}"/>
    <cellStyle name="Moneda 8 3 3 2 2" xfId="2591" xr:uid="{00000000-0005-0000-0000-0000AC0A0000}"/>
    <cellStyle name="Moneda 8 3 3 3" xfId="2592" xr:uid="{00000000-0005-0000-0000-0000AD0A0000}"/>
    <cellStyle name="Moneda 8 3 3 3 2" xfId="2593" xr:uid="{00000000-0005-0000-0000-0000AE0A0000}"/>
    <cellStyle name="Moneda 8 3 3 4" xfId="2594" xr:uid="{00000000-0005-0000-0000-0000AF0A0000}"/>
    <cellStyle name="Moneda 8 3 3 4 2" xfId="2595" xr:uid="{00000000-0005-0000-0000-0000B00A0000}"/>
    <cellStyle name="Moneda 8 3 3 5" xfId="2596" xr:uid="{00000000-0005-0000-0000-0000B10A0000}"/>
    <cellStyle name="Moneda 8 3 4" xfId="2597" xr:uid="{00000000-0005-0000-0000-0000B20A0000}"/>
    <cellStyle name="Moneda 8 3 4 2" xfId="2598" xr:uid="{00000000-0005-0000-0000-0000B30A0000}"/>
    <cellStyle name="Moneda 8 3 5" xfId="2599" xr:uid="{00000000-0005-0000-0000-0000B40A0000}"/>
    <cellStyle name="Moneda 8 3 5 2" xfId="2600" xr:uid="{00000000-0005-0000-0000-0000B50A0000}"/>
    <cellStyle name="Moneda 8 3 6" xfId="2601" xr:uid="{00000000-0005-0000-0000-0000B60A0000}"/>
    <cellStyle name="Moneda 8 3 6 2" xfId="2602" xr:uid="{00000000-0005-0000-0000-0000B70A0000}"/>
    <cellStyle name="Moneda 8 3 7" xfId="2603" xr:uid="{00000000-0005-0000-0000-0000B80A0000}"/>
    <cellStyle name="Moneda 8 4" xfId="2604" xr:uid="{00000000-0005-0000-0000-0000B90A0000}"/>
    <cellStyle name="Moneda 8 4 2" xfId="2605" xr:uid="{00000000-0005-0000-0000-0000BA0A0000}"/>
    <cellStyle name="Moneda 8 4 2 2" xfId="2606" xr:uid="{00000000-0005-0000-0000-0000BB0A0000}"/>
    <cellStyle name="Moneda 8 4 2 2 2" xfId="2607" xr:uid="{00000000-0005-0000-0000-0000BC0A0000}"/>
    <cellStyle name="Moneda 8 4 2 2 2 2" xfId="2608" xr:uid="{00000000-0005-0000-0000-0000BD0A0000}"/>
    <cellStyle name="Moneda 8 4 2 2 3" xfId="2609" xr:uid="{00000000-0005-0000-0000-0000BE0A0000}"/>
    <cellStyle name="Moneda 8 4 2 2 3 2" xfId="2610" xr:uid="{00000000-0005-0000-0000-0000BF0A0000}"/>
    <cellStyle name="Moneda 8 4 2 2 4" xfId="2611" xr:uid="{00000000-0005-0000-0000-0000C00A0000}"/>
    <cellStyle name="Moneda 8 4 2 2 4 2" xfId="2612" xr:uid="{00000000-0005-0000-0000-0000C10A0000}"/>
    <cellStyle name="Moneda 8 4 2 2 5" xfId="2613" xr:uid="{00000000-0005-0000-0000-0000C20A0000}"/>
    <cellStyle name="Moneda 8 4 2 3" xfId="2614" xr:uid="{00000000-0005-0000-0000-0000C30A0000}"/>
    <cellStyle name="Moneda 8 4 2 3 2" xfId="2615" xr:uid="{00000000-0005-0000-0000-0000C40A0000}"/>
    <cellStyle name="Moneda 8 4 2 4" xfId="2616" xr:uid="{00000000-0005-0000-0000-0000C50A0000}"/>
    <cellStyle name="Moneda 8 4 2 4 2" xfId="2617" xr:uid="{00000000-0005-0000-0000-0000C60A0000}"/>
    <cellStyle name="Moneda 8 4 2 5" xfId="2618" xr:uid="{00000000-0005-0000-0000-0000C70A0000}"/>
    <cellStyle name="Moneda 8 4 2 5 2" xfId="2619" xr:uid="{00000000-0005-0000-0000-0000C80A0000}"/>
    <cellStyle name="Moneda 8 4 2 6" xfId="2620" xr:uid="{00000000-0005-0000-0000-0000C90A0000}"/>
    <cellStyle name="Moneda 8 4 3" xfId="2621" xr:uid="{00000000-0005-0000-0000-0000CA0A0000}"/>
    <cellStyle name="Moneda 8 4 3 2" xfId="2622" xr:uid="{00000000-0005-0000-0000-0000CB0A0000}"/>
    <cellStyle name="Moneda 8 4 3 2 2" xfId="2623" xr:uid="{00000000-0005-0000-0000-0000CC0A0000}"/>
    <cellStyle name="Moneda 8 4 3 3" xfId="2624" xr:uid="{00000000-0005-0000-0000-0000CD0A0000}"/>
    <cellStyle name="Moneda 8 4 3 3 2" xfId="2625" xr:uid="{00000000-0005-0000-0000-0000CE0A0000}"/>
    <cellStyle name="Moneda 8 4 3 4" xfId="2626" xr:uid="{00000000-0005-0000-0000-0000CF0A0000}"/>
    <cellStyle name="Moneda 8 4 3 4 2" xfId="2627" xr:uid="{00000000-0005-0000-0000-0000D00A0000}"/>
    <cellStyle name="Moneda 8 4 3 5" xfId="2628" xr:uid="{00000000-0005-0000-0000-0000D10A0000}"/>
    <cellStyle name="Moneda 8 4 4" xfId="2629" xr:uid="{00000000-0005-0000-0000-0000D20A0000}"/>
    <cellStyle name="Moneda 8 4 4 2" xfId="2630" xr:uid="{00000000-0005-0000-0000-0000D30A0000}"/>
    <cellStyle name="Moneda 8 4 5" xfId="2631" xr:uid="{00000000-0005-0000-0000-0000D40A0000}"/>
    <cellStyle name="Moneda 8 4 5 2" xfId="2632" xr:uid="{00000000-0005-0000-0000-0000D50A0000}"/>
    <cellStyle name="Moneda 8 4 6" xfId="2633" xr:uid="{00000000-0005-0000-0000-0000D60A0000}"/>
    <cellStyle name="Moneda 8 4 6 2" xfId="2634" xr:uid="{00000000-0005-0000-0000-0000D70A0000}"/>
    <cellStyle name="Moneda 8 4 7" xfId="2635" xr:uid="{00000000-0005-0000-0000-0000D80A0000}"/>
    <cellStyle name="Moneda 8 5" xfId="2636" xr:uid="{00000000-0005-0000-0000-0000D90A0000}"/>
    <cellStyle name="Moneda 8 5 2" xfId="2637" xr:uid="{00000000-0005-0000-0000-0000DA0A0000}"/>
    <cellStyle name="Moneda 8 5 2 2" xfId="2638" xr:uid="{00000000-0005-0000-0000-0000DB0A0000}"/>
    <cellStyle name="Moneda 8 5 2 2 2" xfId="2639" xr:uid="{00000000-0005-0000-0000-0000DC0A0000}"/>
    <cellStyle name="Moneda 8 5 2 2 2 2" xfId="2640" xr:uid="{00000000-0005-0000-0000-0000DD0A0000}"/>
    <cellStyle name="Moneda 8 5 2 2 3" xfId="2641" xr:uid="{00000000-0005-0000-0000-0000DE0A0000}"/>
    <cellStyle name="Moneda 8 5 2 2 3 2" xfId="2642" xr:uid="{00000000-0005-0000-0000-0000DF0A0000}"/>
    <cellStyle name="Moneda 8 5 2 2 4" xfId="2643" xr:uid="{00000000-0005-0000-0000-0000E00A0000}"/>
    <cellStyle name="Moneda 8 5 2 2 4 2" xfId="2644" xr:uid="{00000000-0005-0000-0000-0000E10A0000}"/>
    <cellStyle name="Moneda 8 5 2 2 5" xfId="2645" xr:uid="{00000000-0005-0000-0000-0000E20A0000}"/>
    <cellStyle name="Moneda 8 5 2 3" xfId="2646" xr:uid="{00000000-0005-0000-0000-0000E30A0000}"/>
    <cellStyle name="Moneda 8 5 2 3 2" xfId="2647" xr:uid="{00000000-0005-0000-0000-0000E40A0000}"/>
    <cellStyle name="Moneda 8 5 2 4" xfId="2648" xr:uid="{00000000-0005-0000-0000-0000E50A0000}"/>
    <cellStyle name="Moneda 8 5 2 4 2" xfId="2649" xr:uid="{00000000-0005-0000-0000-0000E60A0000}"/>
    <cellStyle name="Moneda 8 5 2 5" xfId="2650" xr:uid="{00000000-0005-0000-0000-0000E70A0000}"/>
    <cellStyle name="Moneda 8 5 2 5 2" xfId="2651" xr:uid="{00000000-0005-0000-0000-0000E80A0000}"/>
    <cellStyle name="Moneda 8 5 2 6" xfId="2652" xr:uid="{00000000-0005-0000-0000-0000E90A0000}"/>
    <cellStyle name="Moneda 8 5 3" xfId="2653" xr:uid="{00000000-0005-0000-0000-0000EA0A0000}"/>
    <cellStyle name="Moneda 8 5 3 2" xfId="2654" xr:uid="{00000000-0005-0000-0000-0000EB0A0000}"/>
    <cellStyle name="Moneda 8 5 3 2 2" xfId="2655" xr:uid="{00000000-0005-0000-0000-0000EC0A0000}"/>
    <cellStyle name="Moneda 8 5 3 3" xfId="2656" xr:uid="{00000000-0005-0000-0000-0000ED0A0000}"/>
    <cellStyle name="Moneda 8 5 3 3 2" xfId="2657" xr:uid="{00000000-0005-0000-0000-0000EE0A0000}"/>
    <cellStyle name="Moneda 8 5 3 4" xfId="2658" xr:uid="{00000000-0005-0000-0000-0000EF0A0000}"/>
    <cellStyle name="Moneda 8 5 3 4 2" xfId="2659" xr:uid="{00000000-0005-0000-0000-0000F00A0000}"/>
    <cellStyle name="Moneda 8 5 3 5" xfId="2660" xr:uid="{00000000-0005-0000-0000-0000F10A0000}"/>
    <cellStyle name="Moneda 8 5 4" xfId="2661" xr:uid="{00000000-0005-0000-0000-0000F20A0000}"/>
    <cellStyle name="Moneda 8 5 4 2" xfId="2662" xr:uid="{00000000-0005-0000-0000-0000F30A0000}"/>
    <cellStyle name="Moneda 8 5 5" xfId="2663" xr:uid="{00000000-0005-0000-0000-0000F40A0000}"/>
    <cellStyle name="Moneda 8 5 5 2" xfId="2664" xr:uid="{00000000-0005-0000-0000-0000F50A0000}"/>
    <cellStyle name="Moneda 8 5 6" xfId="2665" xr:uid="{00000000-0005-0000-0000-0000F60A0000}"/>
    <cellStyle name="Moneda 8 5 6 2" xfId="2666" xr:uid="{00000000-0005-0000-0000-0000F70A0000}"/>
    <cellStyle name="Moneda 8 5 7" xfId="2667" xr:uid="{00000000-0005-0000-0000-0000F80A0000}"/>
    <cellStyle name="Moneda 8 6" xfId="2668" xr:uid="{00000000-0005-0000-0000-0000F90A0000}"/>
    <cellStyle name="Moneda 8 6 2" xfId="2669" xr:uid="{00000000-0005-0000-0000-0000FA0A0000}"/>
    <cellStyle name="Moneda 8 6 2 2" xfId="2670" xr:uid="{00000000-0005-0000-0000-0000FB0A0000}"/>
    <cellStyle name="Moneda 8 6 2 2 2" xfId="2671" xr:uid="{00000000-0005-0000-0000-0000FC0A0000}"/>
    <cellStyle name="Moneda 8 6 2 3" xfId="2672" xr:uid="{00000000-0005-0000-0000-0000FD0A0000}"/>
    <cellStyle name="Moneda 8 6 2 3 2" xfId="2673" xr:uid="{00000000-0005-0000-0000-0000FE0A0000}"/>
    <cellStyle name="Moneda 8 6 2 4" xfId="2674" xr:uid="{00000000-0005-0000-0000-0000FF0A0000}"/>
    <cellStyle name="Moneda 8 6 2 4 2" xfId="2675" xr:uid="{00000000-0005-0000-0000-0000000B0000}"/>
    <cellStyle name="Moneda 8 6 2 5" xfId="2676" xr:uid="{00000000-0005-0000-0000-0000010B0000}"/>
    <cellStyle name="Moneda 8 6 3" xfId="2677" xr:uid="{00000000-0005-0000-0000-0000020B0000}"/>
    <cellStyle name="Moneda 8 6 3 2" xfId="2678" xr:uid="{00000000-0005-0000-0000-0000030B0000}"/>
    <cellStyle name="Moneda 8 6 4" xfId="2679" xr:uid="{00000000-0005-0000-0000-0000040B0000}"/>
    <cellStyle name="Moneda 8 6 4 2" xfId="2680" xr:uid="{00000000-0005-0000-0000-0000050B0000}"/>
    <cellStyle name="Moneda 8 6 5" xfId="2681" xr:uid="{00000000-0005-0000-0000-0000060B0000}"/>
    <cellStyle name="Moneda 8 6 5 2" xfId="2682" xr:uid="{00000000-0005-0000-0000-0000070B0000}"/>
    <cellStyle name="Moneda 8 6 6" xfId="2683" xr:uid="{00000000-0005-0000-0000-0000080B0000}"/>
    <cellStyle name="Moneda 8 7" xfId="2684" xr:uid="{00000000-0005-0000-0000-0000090B0000}"/>
    <cellStyle name="Moneda 8 7 2" xfId="2685" xr:uid="{00000000-0005-0000-0000-00000A0B0000}"/>
    <cellStyle name="Moneda 8 7 2 2" xfId="2686" xr:uid="{00000000-0005-0000-0000-00000B0B0000}"/>
    <cellStyle name="Moneda 8 7 3" xfId="2687" xr:uid="{00000000-0005-0000-0000-00000C0B0000}"/>
    <cellStyle name="Moneda 8 7 3 2" xfId="2688" xr:uid="{00000000-0005-0000-0000-00000D0B0000}"/>
    <cellStyle name="Moneda 8 7 4" xfId="2689" xr:uid="{00000000-0005-0000-0000-00000E0B0000}"/>
    <cellStyle name="Moneda 8 7 4 2" xfId="2690" xr:uid="{00000000-0005-0000-0000-00000F0B0000}"/>
    <cellStyle name="Moneda 8 7 5" xfId="2691" xr:uid="{00000000-0005-0000-0000-0000100B0000}"/>
    <cellStyle name="Moneda 8 8" xfId="2692" xr:uid="{00000000-0005-0000-0000-0000110B0000}"/>
    <cellStyle name="Moneda 8 8 2" xfId="2693" xr:uid="{00000000-0005-0000-0000-0000120B0000}"/>
    <cellStyle name="Moneda 8 8 2 2" xfId="2694" xr:uid="{00000000-0005-0000-0000-0000130B0000}"/>
    <cellStyle name="Moneda 8 8 3" xfId="2695" xr:uid="{00000000-0005-0000-0000-0000140B0000}"/>
    <cellStyle name="Moneda 8 8 3 2" xfId="2696" xr:uid="{00000000-0005-0000-0000-0000150B0000}"/>
    <cellStyle name="Moneda 8 8 4" xfId="2697" xr:uid="{00000000-0005-0000-0000-0000160B0000}"/>
    <cellStyle name="Moneda 8 8 4 2" xfId="2698" xr:uid="{00000000-0005-0000-0000-0000170B0000}"/>
    <cellStyle name="Moneda 8 8 5" xfId="2699" xr:uid="{00000000-0005-0000-0000-0000180B0000}"/>
    <cellStyle name="Moneda 8 9" xfId="2700" xr:uid="{00000000-0005-0000-0000-0000190B0000}"/>
    <cellStyle name="Moneda 8 9 2" xfId="2701" xr:uid="{00000000-0005-0000-0000-00001A0B0000}"/>
    <cellStyle name="Moneda 9" xfId="2702" xr:uid="{00000000-0005-0000-0000-00001B0B0000}"/>
    <cellStyle name="Moneda 9 10" xfId="2703" xr:uid="{00000000-0005-0000-0000-00001C0B0000}"/>
    <cellStyle name="Moneda 9 11" xfId="2704" xr:uid="{00000000-0005-0000-0000-00001D0B0000}"/>
    <cellStyle name="Moneda 9 2" xfId="2705" xr:uid="{00000000-0005-0000-0000-00001E0B0000}"/>
    <cellStyle name="Moneda 9 2 2" xfId="2706" xr:uid="{00000000-0005-0000-0000-00001F0B0000}"/>
    <cellStyle name="Moneda 9 2 2 2" xfId="2707" xr:uid="{00000000-0005-0000-0000-0000200B0000}"/>
    <cellStyle name="Moneda 9 2 2 2 2" xfId="2708" xr:uid="{00000000-0005-0000-0000-0000210B0000}"/>
    <cellStyle name="Moneda 9 2 2 2 2 2" xfId="2709" xr:uid="{00000000-0005-0000-0000-0000220B0000}"/>
    <cellStyle name="Moneda 9 2 2 2 3" xfId="2710" xr:uid="{00000000-0005-0000-0000-0000230B0000}"/>
    <cellStyle name="Moneda 9 2 2 2 3 2" xfId="2711" xr:uid="{00000000-0005-0000-0000-0000240B0000}"/>
    <cellStyle name="Moneda 9 2 2 2 4" xfId="2712" xr:uid="{00000000-0005-0000-0000-0000250B0000}"/>
    <cellStyle name="Moneda 9 2 2 2 4 2" xfId="2713" xr:uid="{00000000-0005-0000-0000-0000260B0000}"/>
    <cellStyle name="Moneda 9 2 2 2 5" xfId="2714" xr:uid="{00000000-0005-0000-0000-0000270B0000}"/>
    <cellStyle name="Moneda 9 2 2 3" xfId="2715" xr:uid="{00000000-0005-0000-0000-0000280B0000}"/>
    <cellStyle name="Moneda 9 2 2 3 2" xfId="2716" xr:uid="{00000000-0005-0000-0000-0000290B0000}"/>
    <cellStyle name="Moneda 9 2 2 4" xfId="2717" xr:uid="{00000000-0005-0000-0000-00002A0B0000}"/>
    <cellStyle name="Moneda 9 2 2 4 2" xfId="2718" xr:uid="{00000000-0005-0000-0000-00002B0B0000}"/>
    <cellStyle name="Moneda 9 2 2 5" xfId="2719" xr:uid="{00000000-0005-0000-0000-00002C0B0000}"/>
    <cellStyle name="Moneda 9 2 2 5 2" xfId="2720" xr:uid="{00000000-0005-0000-0000-00002D0B0000}"/>
    <cellStyle name="Moneda 9 2 2 6" xfId="2721" xr:uid="{00000000-0005-0000-0000-00002E0B0000}"/>
    <cellStyle name="Moneda 9 2 3" xfId="2722" xr:uid="{00000000-0005-0000-0000-00002F0B0000}"/>
    <cellStyle name="Moneda 9 2 3 2" xfId="2723" xr:uid="{00000000-0005-0000-0000-0000300B0000}"/>
    <cellStyle name="Moneda 9 2 3 2 2" xfId="2724" xr:uid="{00000000-0005-0000-0000-0000310B0000}"/>
    <cellStyle name="Moneda 9 2 3 3" xfId="2725" xr:uid="{00000000-0005-0000-0000-0000320B0000}"/>
    <cellStyle name="Moneda 9 2 3 3 2" xfId="2726" xr:uid="{00000000-0005-0000-0000-0000330B0000}"/>
    <cellStyle name="Moneda 9 2 3 4" xfId="2727" xr:uid="{00000000-0005-0000-0000-0000340B0000}"/>
    <cellStyle name="Moneda 9 2 3 4 2" xfId="2728" xr:uid="{00000000-0005-0000-0000-0000350B0000}"/>
    <cellStyle name="Moneda 9 2 3 5" xfId="2729" xr:uid="{00000000-0005-0000-0000-0000360B0000}"/>
    <cellStyle name="Moneda 9 2 4" xfId="2730" xr:uid="{00000000-0005-0000-0000-0000370B0000}"/>
    <cellStyle name="Moneda 9 2 4 2" xfId="2731" xr:uid="{00000000-0005-0000-0000-0000380B0000}"/>
    <cellStyle name="Moneda 9 2 5" xfId="2732" xr:uid="{00000000-0005-0000-0000-0000390B0000}"/>
    <cellStyle name="Moneda 9 2 5 2" xfId="2733" xr:uid="{00000000-0005-0000-0000-00003A0B0000}"/>
    <cellStyle name="Moneda 9 2 6" xfId="2734" xr:uid="{00000000-0005-0000-0000-00003B0B0000}"/>
    <cellStyle name="Moneda 9 2 6 2" xfId="2735" xr:uid="{00000000-0005-0000-0000-00003C0B0000}"/>
    <cellStyle name="Moneda 9 2 7" xfId="2736" xr:uid="{00000000-0005-0000-0000-00003D0B0000}"/>
    <cellStyle name="Moneda 9 2 8" xfId="2737" xr:uid="{00000000-0005-0000-0000-00003E0B0000}"/>
    <cellStyle name="Moneda 9 3" xfId="2738" xr:uid="{00000000-0005-0000-0000-00003F0B0000}"/>
    <cellStyle name="Moneda 9 3 2" xfId="2739" xr:uid="{00000000-0005-0000-0000-0000400B0000}"/>
    <cellStyle name="Moneda 9 3 2 2" xfId="2740" xr:uid="{00000000-0005-0000-0000-0000410B0000}"/>
    <cellStyle name="Moneda 9 3 2 2 2" xfId="2741" xr:uid="{00000000-0005-0000-0000-0000420B0000}"/>
    <cellStyle name="Moneda 9 3 2 2 2 2" xfId="2742" xr:uid="{00000000-0005-0000-0000-0000430B0000}"/>
    <cellStyle name="Moneda 9 3 2 2 3" xfId="2743" xr:uid="{00000000-0005-0000-0000-0000440B0000}"/>
    <cellStyle name="Moneda 9 3 2 2 3 2" xfId="2744" xr:uid="{00000000-0005-0000-0000-0000450B0000}"/>
    <cellStyle name="Moneda 9 3 2 2 4" xfId="2745" xr:uid="{00000000-0005-0000-0000-0000460B0000}"/>
    <cellStyle name="Moneda 9 3 2 2 4 2" xfId="2746" xr:uid="{00000000-0005-0000-0000-0000470B0000}"/>
    <cellStyle name="Moneda 9 3 2 2 5" xfId="2747" xr:uid="{00000000-0005-0000-0000-0000480B0000}"/>
    <cellStyle name="Moneda 9 3 2 3" xfId="2748" xr:uid="{00000000-0005-0000-0000-0000490B0000}"/>
    <cellStyle name="Moneda 9 3 2 3 2" xfId="2749" xr:uid="{00000000-0005-0000-0000-00004A0B0000}"/>
    <cellStyle name="Moneda 9 3 2 4" xfId="2750" xr:uid="{00000000-0005-0000-0000-00004B0B0000}"/>
    <cellStyle name="Moneda 9 3 2 4 2" xfId="2751" xr:uid="{00000000-0005-0000-0000-00004C0B0000}"/>
    <cellStyle name="Moneda 9 3 2 5" xfId="2752" xr:uid="{00000000-0005-0000-0000-00004D0B0000}"/>
    <cellStyle name="Moneda 9 3 2 5 2" xfId="2753" xr:uid="{00000000-0005-0000-0000-00004E0B0000}"/>
    <cellStyle name="Moneda 9 3 2 6" xfId="2754" xr:uid="{00000000-0005-0000-0000-00004F0B0000}"/>
    <cellStyle name="Moneda 9 3 3" xfId="2755" xr:uid="{00000000-0005-0000-0000-0000500B0000}"/>
    <cellStyle name="Moneda 9 3 3 2" xfId="2756" xr:uid="{00000000-0005-0000-0000-0000510B0000}"/>
    <cellStyle name="Moneda 9 3 3 2 2" xfId="2757" xr:uid="{00000000-0005-0000-0000-0000520B0000}"/>
    <cellStyle name="Moneda 9 3 3 3" xfId="2758" xr:uid="{00000000-0005-0000-0000-0000530B0000}"/>
    <cellStyle name="Moneda 9 3 3 3 2" xfId="2759" xr:uid="{00000000-0005-0000-0000-0000540B0000}"/>
    <cellStyle name="Moneda 9 3 3 4" xfId="2760" xr:uid="{00000000-0005-0000-0000-0000550B0000}"/>
    <cellStyle name="Moneda 9 3 3 4 2" xfId="2761" xr:uid="{00000000-0005-0000-0000-0000560B0000}"/>
    <cellStyle name="Moneda 9 3 3 5" xfId="2762" xr:uid="{00000000-0005-0000-0000-0000570B0000}"/>
    <cellStyle name="Moneda 9 3 4" xfId="2763" xr:uid="{00000000-0005-0000-0000-0000580B0000}"/>
    <cellStyle name="Moneda 9 3 4 2" xfId="2764" xr:uid="{00000000-0005-0000-0000-0000590B0000}"/>
    <cellStyle name="Moneda 9 3 5" xfId="2765" xr:uid="{00000000-0005-0000-0000-00005A0B0000}"/>
    <cellStyle name="Moneda 9 3 5 2" xfId="2766" xr:uid="{00000000-0005-0000-0000-00005B0B0000}"/>
    <cellStyle name="Moneda 9 3 6" xfId="2767" xr:uid="{00000000-0005-0000-0000-00005C0B0000}"/>
    <cellStyle name="Moneda 9 3 6 2" xfId="2768" xr:uid="{00000000-0005-0000-0000-00005D0B0000}"/>
    <cellStyle name="Moneda 9 3 7" xfId="2769" xr:uid="{00000000-0005-0000-0000-00005E0B0000}"/>
    <cellStyle name="Moneda 9 4" xfId="2770" xr:uid="{00000000-0005-0000-0000-00005F0B0000}"/>
    <cellStyle name="Moneda 9 4 2" xfId="2771" xr:uid="{00000000-0005-0000-0000-0000600B0000}"/>
    <cellStyle name="Moneda 9 4 2 2" xfId="2772" xr:uid="{00000000-0005-0000-0000-0000610B0000}"/>
    <cellStyle name="Moneda 9 4 2 2 2" xfId="2773" xr:uid="{00000000-0005-0000-0000-0000620B0000}"/>
    <cellStyle name="Moneda 9 4 2 2 2 2" xfId="2774" xr:uid="{00000000-0005-0000-0000-0000630B0000}"/>
    <cellStyle name="Moneda 9 4 2 2 3" xfId="2775" xr:uid="{00000000-0005-0000-0000-0000640B0000}"/>
    <cellStyle name="Moneda 9 4 2 2 3 2" xfId="2776" xr:uid="{00000000-0005-0000-0000-0000650B0000}"/>
    <cellStyle name="Moneda 9 4 2 2 4" xfId="2777" xr:uid="{00000000-0005-0000-0000-0000660B0000}"/>
    <cellStyle name="Moneda 9 4 2 2 4 2" xfId="2778" xr:uid="{00000000-0005-0000-0000-0000670B0000}"/>
    <cellStyle name="Moneda 9 4 2 2 5" xfId="2779" xr:uid="{00000000-0005-0000-0000-0000680B0000}"/>
    <cellStyle name="Moneda 9 4 2 3" xfId="2780" xr:uid="{00000000-0005-0000-0000-0000690B0000}"/>
    <cellStyle name="Moneda 9 4 2 3 2" xfId="2781" xr:uid="{00000000-0005-0000-0000-00006A0B0000}"/>
    <cellStyle name="Moneda 9 4 2 4" xfId="2782" xr:uid="{00000000-0005-0000-0000-00006B0B0000}"/>
    <cellStyle name="Moneda 9 4 2 4 2" xfId="2783" xr:uid="{00000000-0005-0000-0000-00006C0B0000}"/>
    <cellStyle name="Moneda 9 4 2 5" xfId="2784" xr:uid="{00000000-0005-0000-0000-00006D0B0000}"/>
    <cellStyle name="Moneda 9 4 2 5 2" xfId="2785" xr:uid="{00000000-0005-0000-0000-00006E0B0000}"/>
    <cellStyle name="Moneda 9 4 2 6" xfId="2786" xr:uid="{00000000-0005-0000-0000-00006F0B0000}"/>
    <cellStyle name="Moneda 9 4 3" xfId="2787" xr:uid="{00000000-0005-0000-0000-0000700B0000}"/>
    <cellStyle name="Moneda 9 4 3 2" xfId="2788" xr:uid="{00000000-0005-0000-0000-0000710B0000}"/>
    <cellStyle name="Moneda 9 4 3 2 2" xfId="2789" xr:uid="{00000000-0005-0000-0000-0000720B0000}"/>
    <cellStyle name="Moneda 9 4 3 3" xfId="2790" xr:uid="{00000000-0005-0000-0000-0000730B0000}"/>
    <cellStyle name="Moneda 9 4 3 3 2" xfId="2791" xr:uid="{00000000-0005-0000-0000-0000740B0000}"/>
    <cellStyle name="Moneda 9 4 3 4" xfId="2792" xr:uid="{00000000-0005-0000-0000-0000750B0000}"/>
    <cellStyle name="Moneda 9 4 3 4 2" xfId="2793" xr:uid="{00000000-0005-0000-0000-0000760B0000}"/>
    <cellStyle name="Moneda 9 4 3 5" xfId="2794" xr:uid="{00000000-0005-0000-0000-0000770B0000}"/>
    <cellStyle name="Moneda 9 4 4" xfId="2795" xr:uid="{00000000-0005-0000-0000-0000780B0000}"/>
    <cellStyle name="Moneda 9 4 4 2" xfId="2796" xr:uid="{00000000-0005-0000-0000-0000790B0000}"/>
    <cellStyle name="Moneda 9 4 5" xfId="2797" xr:uid="{00000000-0005-0000-0000-00007A0B0000}"/>
    <cellStyle name="Moneda 9 4 5 2" xfId="2798" xr:uid="{00000000-0005-0000-0000-00007B0B0000}"/>
    <cellStyle name="Moneda 9 4 6" xfId="2799" xr:uid="{00000000-0005-0000-0000-00007C0B0000}"/>
    <cellStyle name="Moneda 9 4 6 2" xfId="2800" xr:uid="{00000000-0005-0000-0000-00007D0B0000}"/>
    <cellStyle name="Moneda 9 4 7" xfId="2801" xr:uid="{00000000-0005-0000-0000-00007E0B0000}"/>
    <cellStyle name="Moneda 9 5" xfId="2802" xr:uid="{00000000-0005-0000-0000-00007F0B0000}"/>
    <cellStyle name="Moneda 9 5 2" xfId="2803" xr:uid="{00000000-0005-0000-0000-0000800B0000}"/>
    <cellStyle name="Moneda 9 5 2 2" xfId="2804" xr:uid="{00000000-0005-0000-0000-0000810B0000}"/>
    <cellStyle name="Moneda 9 5 2 2 2" xfId="2805" xr:uid="{00000000-0005-0000-0000-0000820B0000}"/>
    <cellStyle name="Moneda 9 5 2 3" xfId="2806" xr:uid="{00000000-0005-0000-0000-0000830B0000}"/>
    <cellStyle name="Moneda 9 5 2 3 2" xfId="2807" xr:uid="{00000000-0005-0000-0000-0000840B0000}"/>
    <cellStyle name="Moneda 9 5 2 4" xfId="2808" xr:uid="{00000000-0005-0000-0000-0000850B0000}"/>
    <cellStyle name="Moneda 9 5 2 4 2" xfId="2809" xr:uid="{00000000-0005-0000-0000-0000860B0000}"/>
    <cellStyle name="Moneda 9 5 2 5" xfId="2810" xr:uid="{00000000-0005-0000-0000-0000870B0000}"/>
    <cellStyle name="Moneda 9 5 3" xfId="2811" xr:uid="{00000000-0005-0000-0000-0000880B0000}"/>
    <cellStyle name="Moneda 9 5 3 2" xfId="2812" xr:uid="{00000000-0005-0000-0000-0000890B0000}"/>
    <cellStyle name="Moneda 9 5 4" xfId="2813" xr:uid="{00000000-0005-0000-0000-00008A0B0000}"/>
    <cellStyle name="Moneda 9 5 4 2" xfId="2814" xr:uid="{00000000-0005-0000-0000-00008B0B0000}"/>
    <cellStyle name="Moneda 9 5 5" xfId="2815" xr:uid="{00000000-0005-0000-0000-00008C0B0000}"/>
    <cellStyle name="Moneda 9 5 5 2" xfId="2816" xr:uid="{00000000-0005-0000-0000-00008D0B0000}"/>
    <cellStyle name="Moneda 9 5 6" xfId="2817" xr:uid="{00000000-0005-0000-0000-00008E0B0000}"/>
    <cellStyle name="Moneda 9 6" xfId="2818" xr:uid="{00000000-0005-0000-0000-00008F0B0000}"/>
    <cellStyle name="Moneda 9 6 2" xfId="2819" xr:uid="{00000000-0005-0000-0000-0000900B0000}"/>
    <cellStyle name="Moneda 9 6 2 2" xfId="2820" xr:uid="{00000000-0005-0000-0000-0000910B0000}"/>
    <cellStyle name="Moneda 9 6 3" xfId="2821" xr:uid="{00000000-0005-0000-0000-0000920B0000}"/>
    <cellStyle name="Moneda 9 6 3 2" xfId="2822" xr:uid="{00000000-0005-0000-0000-0000930B0000}"/>
    <cellStyle name="Moneda 9 6 4" xfId="2823" xr:uid="{00000000-0005-0000-0000-0000940B0000}"/>
    <cellStyle name="Moneda 9 6 4 2" xfId="2824" xr:uid="{00000000-0005-0000-0000-0000950B0000}"/>
    <cellStyle name="Moneda 9 6 5" xfId="2825" xr:uid="{00000000-0005-0000-0000-0000960B0000}"/>
    <cellStyle name="Moneda 9 7" xfId="2826" xr:uid="{00000000-0005-0000-0000-0000970B0000}"/>
    <cellStyle name="Moneda 9 7 2" xfId="2827" xr:uid="{00000000-0005-0000-0000-0000980B0000}"/>
    <cellStyle name="Moneda 9 8" xfId="2828" xr:uid="{00000000-0005-0000-0000-0000990B0000}"/>
    <cellStyle name="Moneda 9 8 2" xfId="2829" xr:uid="{00000000-0005-0000-0000-00009A0B0000}"/>
    <cellStyle name="Moneda 9 9" xfId="2830" xr:uid="{00000000-0005-0000-0000-00009B0B0000}"/>
    <cellStyle name="Moneda 9 9 2" xfId="2831" xr:uid="{00000000-0005-0000-0000-00009C0B0000}"/>
    <cellStyle name="Neutral 2" xfId="2832" xr:uid="{00000000-0005-0000-0000-00009D0B0000}"/>
    <cellStyle name="Normal" xfId="0" builtinId="0"/>
    <cellStyle name="Normal 13" xfId="3230" xr:uid="{12413F71-6F84-49C4-80C6-8A97363876A3}"/>
    <cellStyle name="Normal 2" xfId="16" xr:uid="{00000000-0005-0000-0000-00009F0B0000}"/>
    <cellStyle name="Normal 2 10" xfId="17" xr:uid="{00000000-0005-0000-0000-0000A00B0000}"/>
    <cellStyle name="Normal 2 2" xfId="2833" xr:uid="{00000000-0005-0000-0000-0000A10B0000}"/>
    <cellStyle name="Normal 2 2 2" xfId="2834" xr:uid="{00000000-0005-0000-0000-0000A20B0000}"/>
    <cellStyle name="Normal 2 3" xfId="2835" xr:uid="{00000000-0005-0000-0000-0000A30B0000}"/>
    <cellStyle name="Normal 2 3 2" xfId="2836" xr:uid="{00000000-0005-0000-0000-0000A40B0000}"/>
    <cellStyle name="Normal 2 4" xfId="2837" xr:uid="{00000000-0005-0000-0000-0000A50B0000}"/>
    <cellStyle name="Normal 3" xfId="18" xr:uid="{00000000-0005-0000-0000-0000A60B0000}"/>
    <cellStyle name="Normal 3 2" xfId="19" xr:uid="{00000000-0005-0000-0000-0000A70B0000}"/>
    <cellStyle name="Normal 3 2 2" xfId="2838" xr:uid="{00000000-0005-0000-0000-0000A80B0000}"/>
    <cellStyle name="Normal 3 2 2 2" xfId="2839" xr:uid="{00000000-0005-0000-0000-0000A90B0000}"/>
    <cellStyle name="Normal 3 2 3" xfId="2840" xr:uid="{00000000-0005-0000-0000-0000AA0B0000}"/>
    <cellStyle name="Normal 3 3" xfId="2841" xr:uid="{00000000-0005-0000-0000-0000AB0B0000}"/>
    <cellStyle name="Normal 3 4" xfId="2842" xr:uid="{00000000-0005-0000-0000-0000AC0B0000}"/>
    <cellStyle name="Normal 3 5" xfId="2843" xr:uid="{00000000-0005-0000-0000-0000AD0B0000}"/>
    <cellStyle name="Normal 3_CADENA DE VALOR" xfId="27" xr:uid="{00000000-0005-0000-0000-0000AE0B0000}"/>
    <cellStyle name="Normal 4" xfId="2844" xr:uid="{00000000-0005-0000-0000-0000AF0B0000}"/>
    <cellStyle name="Normal 4 2" xfId="20" xr:uid="{00000000-0005-0000-0000-0000B00B0000}"/>
    <cellStyle name="Normal 5" xfId="2845" xr:uid="{00000000-0005-0000-0000-0000B10B0000}"/>
    <cellStyle name="Normal 6 2" xfId="2846" xr:uid="{00000000-0005-0000-0000-0000B20B0000}"/>
    <cellStyle name="Normal_CADENA DE VALOR" xfId="2866" xr:uid="{00000000-0005-0000-0000-0000B30B0000}"/>
    <cellStyle name="Numeric" xfId="2847" xr:uid="{00000000-0005-0000-0000-0000B40B0000}"/>
    <cellStyle name="NumericWithBorder" xfId="2848" xr:uid="{00000000-0005-0000-0000-0000B50B0000}"/>
    <cellStyle name="NumericWithBorder 2" xfId="2849" xr:uid="{00000000-0005-0000-0000-0000B60B0000}"/>
    <cellStyle name="NumericWithBorder 2 2" xfId="2850" xr:uid="{00000000-0005-0000-0000-0000B70B0000}"/>
    <cellStyle name="NumericWithBorder 2 3" xfId="2851" xr:uid="{00000000-0005-0000-0000-0000B80B0000}"/>
    <cellStyle name="NumericWithBorder 2 4" xfId="2852" xr:uid="{00000000-0005-0000-0000-0000B90B0000}"/>
    <cellStyle name="NumericWithBorder 3" xfId="2853" xr:uid="{00000000-0005-0000-0000-0000BA0B0000}"/>
    <cellStyle name="NumericWithBorder 4" xfId="2854" xr:uid="{00000000-0005-0000-0000-0000BB0B0000}"/>
    <cellStyle name="NumericWithBorder 5" xfId="2855" xr:uid="{00000000-0005-0000-0000-0000BC0B0000}"/>
    <cellStyle name="Percent" xfId="2856" xr:uid="{00000000-0005-0000-0000-0000BD0B0000}"/>
    <cellStyle name="Percent 2" xfId="2857" xr:uid="{00000000-0005-0000-0000-0000BE0B0000}"/>
    <cellStyle name="Percent 2 2" xfId="2858" xr:uid="{00000000-0005-0000-0000-0000BF0B0000}"/>
    <cellStyle name="Porcentaje" xfId="21" builtinId="5"/>
    <cellStyle name="Porcentaje 2" xfId="24" xr:uid="{00000000-0005-0000-0000-0000C10B0000}"/>
    <cellStyle name="Porcentaje 2 2" xfId="2859" xr:uid="{00000000-0005-0000-0000-0000C20B0000}"/>
    <cellStyle name="Porcentaje 3" xfId="25" xr:uid="{00000000-0005-0000-0000-0000C30B0000}"/>
    <cellStyle name="Porcentaje 3 2" xfId="2860" xr:uid="{00000000-0005-0000-0000-0000C40B0000}"/>
    <cellStyle name="Porcentaje 4" xfId="26" xr:uid="{00000000-0005-0000-0000-0000C50B0000}"/>
    <cellStyle name="Porcentual 2" xfId="22" xr:uid="{00000000-0005-0000-0000-0000C60B0000}"/>
    <cellStyle name="Porcentual 2 2" xfId="23" xr:uid="{00000000-0005-0000-0000-0000C70B0000}"/>
    <cellStyle name="Porcentual 2 2 2" xfId="2861" xr:uid="{00000000-0005-0000-0000-0000C80B0000}"/>
    <cellStyle name="Porcentual 2 3" xfId="2862" xr:uid="{00000000-0005-0000-0000-0000C90B0000}"/>
    <cellStyle name="Porcentual 2 3 2" xfId="2863" xr:uid="{00000000-0005-0000-0000-0000CA0B0000}"/>
    <cellStyle name="Porcentual 3" xfId="2864" xr:uid="{00000000-0005-0000-0000-0000CB0B0000}"/>
  </cellStyles>
  <dxfs count="0"/>
  <tableStyles count="0" defaultTableStyle="TableStyleMedium9" defaultPivotStyle="PivotStyleLight16"/>
  <colors>
    <mruColors>
      <color rgb="FF0099FF"/>
      <color rgb="FF0AF0F6"/>
      <color rgb="FF75DBFF"/>
      <color rgb="FF00FF00"/>
      <color rgb="FFFF2600"/>
      <color rgb="FF0096FF"/>
      <color rgb="FF7BB8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208360</xdr:colOff>
      <xdr:row>0</xdr:row>
      <xdr:rowOff>267890</xdr:rowOff>
    </xdr:from>
    <xdr:to>
      <xdr:col>4</xdr:col>
      <xdr:colOff>297657</xdr:colOff>
      <xdr:row>2</xdr:row>
      <xdr:rowOff>346028</xdr:rowOff>
    </xdr:to>
    <xdr:pic>
      <xdr:nvPicPr>
        <xdr:cNvPr id="2" name="Imagen 1">
          <a:extLst>
            <a:ext uri="{FF2B5EF4-FFF2-40B4-BE49-F238E27FC236}">
              <a16:creationId xmlns:a16="http://schemas.microsoft.com/office/drawing/2014/main" id="{AEBB23A2-8D6D-4B13-8AC7-249D4B4842A7}"/>
            </a:ext>
          </a:extLst>
        </xdr:cNvPr>
        <xdr:cNvPicPr>
          <a:picLocks noChangeAspect="1"/>
        </xdr:cNvPicPr>
      </xdr:nvPicPr>
      <xdr:blipFill>
        <a:blip xmlns:r="http://schemas.openxmlformats.org/officeDocument/2006/relationships" r:embed="rId1"/>
        <a:stretch>
          <a:fillRect/>
        </a:stretch>
      </xdr:blipFill>
      <xdr:spPr>
        <a:xfrm>
          <a:off x="208360" y="267890"/>
          <a:ext cx="4435078" cy="881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469543</xdr:rowOff>
    </xdr:from>
    <xdr:to>
      <xdr:col>4</xdr:col>
      <xdr:colOff>261112</xdr:colOff>
      <xdr:row>2</xdr:row>
      <xdr:rowOff>280301</xdr:rowOff>
    </xdr:to>
    <xdr:pic>
      <xdr:nvPicPr>
        <xdr:cNvPr id="2" name="Imagen 1">
          <a:extLst>
            <a:ext uri="{FF2B5EF4-FFF2-40B4-BE49-F238E27FC236}">
              <a16:creationId xmlns:a16="http://schemas.microsoft.com/office/drawing/2014/main" id="{4A66B52D-4A79-8760-8B4E-49DFCC368F8C}"/>
            </a:ext>
          </a:extLst>
        </xdr:cNvPr>
        <xdr:cNvPicPr>
          <a:picLocks noChangeAspect="1"/>
        </xdr:cNvPicPr>
      </xdr:nvPicPr>
      <xdr:blipFill>
        <a:blip xmlns:r="http://schemas.openxmlformats.org/officeDocument/2006/relationships" r:embed="rId1"/>
        <a:stretch>
          <a:fillRect/>
        </a:stretch>
      </xdr:blipFill>
      <xdr:spPr>
        <a:xfrm>
          <a:off x="0" y="469543"/>
          <a:ext cx="4438273" cy="883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1304455</xdr:colOff>
      <xdr:row>2</xdr:row>
      <xdr:rowOff>143961</xdr:rowOff>
    </xdr:to>
    <xdr:pic>
      <xdr:nvPicPr>
        <xdr:cNvPr id="2" name="Imagen 1">
          <a:extLst>
            <a:ext uri="{FF2B5EF4-FFF2-40B4-BE49-F238E27FC236}">
              <a16:creationId xmlns:a16="http://schemas.microsoft.com/office/drawing/2014/main" id="{6F2D6F58-AE78-E459-8A44-C2966548572E}"/>
            </a:ext>
          </a:extLst>
        </xdr:cNvPr>
        <xdr:cNvPicPr>
          <a:picLocks noChangeAspect="1"/>
        </xdr:cNvPicPr>
      </xdr:nvPicPr>
      <xdr:blipFill>
        <a:blip xmlns:r="http://schemas.openxmlformats.org/officeDocument/2006/relationships" r:embed="rId1"/>
        <a:stretch>
          <a:fillRect/>
        </a:stretch>
      </xdr:blipFill>
      <xdr:spPr>
        <a:xfrm>
          <a:off x="0" y="0"/>
          <a:ext cx="3407959" cy="6767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318168</xdr:colOff>
      <xdr:row>1</xdr:row>
      <xdr:rowOff>319954</xdr:rowOff>
    </xdr:to>
    <xdr:pic>
      <xdr:nvPicPr>
        <xdr:cNvPr id="3" name="Imagen 2">
          <a:extLst>
            <a:ext uri="{FF2B5EF4-FFF2-40B4-BE49-F238E27FC236}">
              <a16:creationId xmlns:a16="http://schemas.microsoft.com/office/drawing/2014/main" id="{8FAC3DB6-8A8C-9BF7-8811-9B4807E23A4A}"/>
            </a:ext>
          </a:extLst>
        </xdr:cNvPr>
        <xdr:cNvPicPr>
          <a:picLocks noChangeAspect="1"/>
        </xdr:cNvPicPr>
      </xdr:nvPicPr>
      <xdr:blipFill>
        <a:blip xmlns:r="http://schemas.openxmlformats.org/officeDocument/2006/relationships" r:embed="rId1"/>
        <a:stretch>
          <a:fillRect/>
        </a:stretch>
      </xdr:blipFill>
      <xdr:spPr>
        <a:xfrm>
          <a:off x="0" y="0"/>
          <a:ext cx="2335893" cy="6828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406748" cy="673776"/>
    <xdr:pic>
      <xdr:nvPicPr>
        <xdr:cNvPr id="2" name="image1.jpg">
          <a:extLst>
            <a:ext uri="{FF2B5EF4-FFF2-40B4-BE49-F238E27FC236}">
              <a16:creationId xmlns:a16="http://schemas.microsoft.com/office/drawing/2014/main" id="{EEAECC2E-D032-4926-A561-FD0A724E1E30}"/>
            </a:ext>
          </a:extLst>
        </xdr:cNvPr>
        <xdr:cNvPicPr preferRelativeResize="0"/>
      </xdr:nvPicPr>
      <xdr:blipFill>
        <a:blip xmlns:r="http://schemas.openxmlformats.org/officeDocument/2006/relationships" r:embed="rId1" cstate="print"/>
        <a:stretch>
          <a:fillRect/>
        </a:stretch>
      </xdr:blipFill>
      <xdr:spPr>
        <a:xfrm>
          <a:off x="0" y="0"/>
          <a:ext cx="3406748" cy="673776"/>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JV0NJ5GHWYIOwH7O1D4dLZZ-_q03dcCo" TargetMode="External"/><Relationship Id="rId7" Type="http://schemas.openxmlformats.org/officeDocument/2006/relationships/drawing" Target="../drawings/drawing1.xml"/><Relationship Id="rId2" Type="http://schemas.openxmlformats.org/officeDocument/2006/relationships/hyperlink" Target="https://drive.google.com/drive/folders/1JV0NJ5GHWYIOwH7O1D4dLZZ-_q03dcCo" TargetMode="External"/><Relationship Id="rId1" Type="http://schemas.openxmlformats.org/officeDocument/2006/relationships/hyperlink" Target="http://rmcab.ambientebogota.gov.co/" TargetMode="External"/><Relationship Id="rId6" Type="http://schemas.openxmlformats.org/officeDocument/2006/relationships/printerSettings" Target="../printerSettings/printerSettings1.bin"/><Relationship Id="rId5" Type="http://schemas.openxmlformats.org/officeDocument/2006/relationships/hyperlink" Target="http://rmcab.ambientebogota.gov.co/" TargetMode="External"/><Relationship Id="rId4" Type="http://schemas.openxmlformats.org/officeDocument/2006/relationships/hyperlink" Target="https://drive.google.com/drive/folders/1JV0NJ5GHWYIOwH7O1D4dLZZ-_q03dc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3"/>
  <sheetViews>
    <sheetView showGridLines="0" tabSelected="1" zoomScale="51" zoomScaleNormal="51" workbookViewId="0">
      <selection activeCell="EY12" sqref="EY12"/>
    </sheetView>
  </sheetViews>
  <sheetFormatPr baseColWidth="10" defaultColWidth="9.140625" defaultRowHeight="48" customHeight="1" x14ac:dyDescent="0.25"/>
  <cols>
    <col min="1" max="1" width="8.5703125" customWidth="1"/>
    <col min="2" max="2" width="13" customWidth="1"/>
    <col min="3" max="3" width="6.28515625" customWidth="1"/>
    <col min="4" max="4" width="37.7109375" customWidth="1"/>
    <col min="5" max="5" width="9.7109375" customWidth="1"/>
    <col min="6" max="6" width="29.85546875" style="278" customWidth="1"/>
    <col min="7" max="7" width="14" customWidth="1"/>
    <col min="8" max="8" width="16.85546875" customWidth="1"/>
    <col min="9" max="9" width="11.42578125" style="10" customWidth="1"/>
    <col min="10" max="10" width="21.85546875" style="10" hidden="1" customWidth="1"/>
    <col min="11" max="24" width="9.140625" style="10" hidden="1" customWidth="1"/>
    <col min="25" max="27" width="18" style="10" hidden="1" customWidth="1"/>
    <col min="28" max="29" width="25.5703125" style="10" customWidth="1"/>
    <col min="30" max="57" width="13.28515625" style="10" hidden="1" customWidth="1"/>
    <col min="58" max="58" width="24.28515625" style="10" customWidth="1"/>
    <col min="59" max="59" width="22.7109375" style="10" customWidth="1"/>
    <col min="60" max="60" width="18.28515625" style="10" hidden="1" customWidth="1"/>
    <col min="61" max="84" width="13.28515625" style="10" hidden="1" customWidth="1"/>
    <col min="85" max="87" width="21.85546875" style="10" hidden="1" customWidth="1"/>
    <col min="88" max="89" width="24.42578125" style="10" customWidth="1"/>
    <col min="90" max="90" width="18.140625" style="10" hidden="1" customWidth="1"/>
    <col min="91" max="114" width="13.28515625" style="10" hidden="1" customWidth="1"/>
    <col min="115" max="117" width="20.42578125" style="10" hidden="1" customWidth="1"/>
    <col min="118" max="119" width="24.28515625" style="10" customWidth="1"/>
    <col min="120" max="120" width="21.140625" style="10" customWidth="1"/>
    <col min="121" max="130" width="12" style="10" customWidth="1"/>
    <col min="131" max="131" width="17.140625" style="10" customWidth="1"/>
    <col min="132" max="132" width="17.140625" style="10" hidden="1" customWidth="1"/>
    <col min="133" max="135" width="15.85546875" style="10" hidden="1" customWidth="1"/>
    <col min="136" max="144" width="8.140625" style="10" hidden="1" customWidth="1"/>
    <col min="145" max="145" width="18.7109375" style="10" customWidth="1"/>
    <col min="146" max="147" width="23.7109375" style="10" customWidth="1"/>
    <col min="148" max="149" width="21.85546875" style="10" customWidth="1"/>
    <col min="150" max="154" width="26.7109375" customWidth="1"/>
    <col min="155" max="155" width="96" customWidth="1"/>
    <col min="156" max="156" width="26.7109375" customWidth="1"/>
    <col min="157" max="157" width="23.7109375" customWidth="1"/>
    <col min="158" max="158" width="59.85546875" customWidth="1"/>
    <col min="159" max="159" width="32.28515625" customWidth="1"/>
  </cols>
  <sheetData>
    <row r="1" spans="1:159" s="15" customFormat="1" ht="35.25" customHeight="1" x14ac:dyDescent="0.5">
      <c r="A1" s="406"/>
      <c r="B1" s="407"/>
      <c r="C1" s="407"/>
      <c r="D1" s="407"/>
      <c r="E1" s="407"/>
      <c r="F1" s="407"/>
      <c r="G1" s="410" t="s">
        <v>38</v>
      </c>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0"/>
      <c r="AU1" s="410"/>
      <c r="AV1" s="410"/>
      <c r="AW1" s="410"/>
      <c r="AX1" s="410"/>
      <c r="AY1" s="410"/>
      <c r="AZ1" s="410"/>
      <c r="BA1" s="410"/>
      <c r="BB1" s="410"/>
      <c r="BC1" s="410"/>
      <c r="BD1" s="410"/>
      <c r="BE1" s="410"/>
      <c r="BF1" s="410"/>
      <c r="BG1" s="410"/>
      <c r="BH1" s="410"/>
      <c r="BI1" s="410"/>
      <c r="BJ1" s="410"/>
      <c r="BK1" s="410"/>
      <c r="BL1" s="410"/>
      <c r="BM1" s="410"/>
      <c r="BN1" s="410"/>
      <c r="BO1" s="410"/>
      <c r="BP1" s="410"/>
      <c r="BQ1" s="410"/>
      <c r="BR1" s="410"/>
      <c r="BS1" s="410"/>
      <c r="BT1" s="410"/>
      <c r="BU1" s="410"/>
      <c r="BV1" s="410"/>
      <c r="BW1" s="410"/>
      <c r="BX1" s="410"/>
      <c r="BY1" s="410"/>
      <c r="BZ1" s="410"/>
      <c r="CA1" s="410"/>
      <c r="CB1" s="410"/>
      <c r="CC1" s="410"/>
      <c r="CD1" s="410"/>
      <c r="CE1" s="410"/>
      <c r="CF1" s="410"/>
      <c r="CG1" s="410"/>
      <c r="CH1" s="410"/>
      <c r="CI1" s="410"/>
      <c r="CJ1" s="410"/>
      <c r="CK1" s="410"/>
      <c r="CL1" s="410"/>
      <c r="CM1" s="410"/>
      <c r="CN1" s="410"/>
      <c r="CO1" s="410"/>
      <c r="CP1" s="410"/>
      <c r="CQ1" s="410"/>
      <c r="CR1" s="410"/>
      <c r="CS1" s="410"/>
      <c r="CT1" s="410"/>
      <c r="CU1" s="410"/>
      <c r="CV1" s="410"/>
      <c r="CW1" s="410"/>
      <c r="CX1" s="410"/>
      <c r="CY1" s="410"/>
      <c r="CZ1" s="410"/>
      <c r="DA1" s="410"/>
      <c r="DB1" s="410"/>
      <c r="DC1" s="410"/>
      <c r="DD1" s="410"/>
      <c r="DE1" s="410"/>
      <c r="DF1" s="410"/>
      <c r="DG1" s="410"/>
      <c r="DH1" s="410"/>
      <c r="DI1" s="410"/>
      <c r="DJ1" s="410"/>
      <c r="DK1" s="410"/>
      <c r="DL1" s="410"/>
      <c r="DM1" s="410"/>
      <c r="DN1" s="410"/>
      <c r="DO1" s="410"/>
      <c r="DP1" s="410"/>
      <c r="DQ1" s="410"/>
      <c r="DR1" s="410"/>
      <c r="DS1" s="410"/>
      <c r="DT1" s="410"/>
      <c r="DU1" s="410"/>
      <c r="DV1" s="410"/>
      <c r="DW1" s="410"/>
      <c r="DX1" s="410"/>
      <c r="DY1" s="410"/>
      <c r="DZ1" s="410"/>
      <c r="EA1" s="410"/>
      <c r="EB1" s="410"/>
      <c r="EC1" s="410"/>
      <c r="ED1" s="410"/>
      <c r="EE1" s="410"/>
      <c r="EF1" s="410"/>
      <c r="EG1" s="410"/>
      <c r="EH1" s="410"/>
      <c r="EI1" s="410"/>
      <c r="EJ1" s="410"/>
      <c r="EK1" s="410"/>
      <c r="EL1" s="410"/>
      <c r="EM1" s="410"/>
      <c r="EN1" s="410"/>
      <c r="EO1" s="410"/>
      <c r="EP1" s="410"/>
      <c r="EQ1" s="410"/>
      <c r="ER1" s="410"/>
      <c r="ES1" s="410"/>
      <c r="ET1" s="410"/>
      <c r="EU1" s="410"/>
      <c r="EV1" s="410"/>
      <c r="EW1" s="410"/>
      <c r="EX1" s="410"/>
      <c r="EY1" s="410"/>
      <c r="EZ1" s="410"/>
      <c r="FA1" s="410"/>
      <c r="FB1" s="410"/>
      <c r="FC1" s="411"/>
    </row>
    <row r="2" spans="1:159" s="15" customFormat="1" ht="27" customHeight="1" x14ac:dyDescent="0.6">
      <c r="A2" s="408"/>
      <c r="B2" s="409"/>
      <c r="C2" s="409"/>
      <c r="D2" s="409"/>
      <c r="E2" s="409"/>
      <c r="F2" s="409"/>
      <c r="G2" s="412" t="s">
        <v>243</v>
      </c>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c r="AP2" s="412"/>
      <c r="AQ2" s="412"/>
      <c r="AR2" s="412"/>
      <c r="AS2" s="412"/>
      <c r="AT2" s="412"/>
      <c r="AU2" s="412"/>
      <c r="AV2" s="412"/>
      <c r="AW2" s="412"/>
      <c r="AX2" s="412"/>
      <c r="AY2" s="412"/>
      <c r="AZ2" s="412"/>
      <c r="BA2" s="412"/>
      <c r="BB2" s="412"/>
      <c r="BC2" s="412"/>
      <c r="BD2" s="412"/>
      <c r="BE2" s="412"/>
      <c r="BF2" s="412"/>
      <c r="BG2" s="412"/>
      <c r="BH2" s="412"/>
      <c r="BI2" s="412"/>
      <c r="BJ2" s="412"/>
      <c r="BK2" s="412"/>
      <c r="BL2" s="412"/>
      <c r="BM2" s="412"/>
      <c r="BN2" s="412"/>
      <c r="BO2" s="412"/>
      <c r="BP2" s="412"/>
      <c r="BQ2" s="412"/>
      <c r="BR2" s="412"/>
      <c r="BS2" s="412"/>
      <c r="BT2" s="412"/>
      <c r="BU2" s="412"/>
      <c r="BV2" s="412"/>
      <c r="BW2" s="412"/>
      <c r="BX2" s="412"/>
      <c r="BY2" s="412"/>
      <c r="BZ2" s="412"/>
      <c r="CA2" s="412"/>
      <c r="CB2" s="412"/>
      <c r="CC2" s="412"/>
      <c r="CD2" s="412"/>
      <c r="CE2" s="412"/>
      <c r="CF2" s="412"/>
      <c r="CG2" s="412"/>
      <c r="CH2" s="412"/>
      <c r="CI2" s="412"/>
      <c r="CJ2" s="412"/>
      <c r="CK2" s="412"/>
      <c r="CL2" s="412"/>
      <c r="CM2" s="412"/>
      <c r="CN2" s="412"/>
      <c r="CO2" s="412"/>
      <c r="CP2" s="412"/>
      <c r="CQ2" s="412"/>
      <c r="CR2" s="412"/>
      <c r="CS2" s="412"/>
      <c r="CT2" s="412"/>
      <c r="CU2" s="412"/>
      <c r="CV2" s="412"/>
      <c r="CW2" s="412"/>
      <c r="CX2" s="412"/>
      <c r="CY2" s="412"/>
      <c r="CZ2" s="412"/>
      <c r="DA2" s="412"/>
      <c r="DB2" s="412"/>
      <c r="DC2" s="412"/>
      <c r="DD2" s="412"/>
      <c r="DE2" s="412"/>
      <c r="DF2" s="412"/>
      <c r="DG2" s="412"/>
      <c r="DH2" s="412"/>
      <c r="DI2" s="412"/>
      <c r="DJ2" s="412"/>
      <c r="DK2" s="412"/>
      <c r="DL2" s="412"/>
      <c r="DM2" s="412"/>
      <c r="DN2" s="412"/>
      <c r="DO2" s="412"/>
      <c r="DP2" s="412"/>
      <c r="DQ2" s="412"/>
      <c r="DR2" s="412"/>
      <c r="DS2" s="412"/>
      <c r="DT2" s="412"/>
      <c r="DU2" s="412"/>
      <c r="DV2" s="412"/>
      <c r="DW2" s="412"/>
      <c r="DX2" s="412"/>
      <c r="DY2" s="412"/>
      <c r="DZ2" s="412"/>
      <c r="EA2" s="412"/>
      <c r="EB2" s="412"/>
      <c r="EC2" s="412"/>
      <c r="ED2" s="412"/>
      <c r="EE2" s="412"/>
      <c r="EF2" s="412"/>
      <c r="EG2" s="412"/>
      <c r="EH2" s="412"/>
      <c r="EI2" s="412"/>
      <c r="EJ2" s="412"/>
      <c r="EK2" s="412"/>
      <c r="EL2" s="412"/>
      <c r="EM2" s="412"/>
      <c r="EN2" s="412"/>
      <c r="EO2" s="412"/>
      <c r="EP2" s="412"/>
      <c r="EQ2" s="412"/>
      <c r="ER2" s="412"/>
      <c r="ES2" s="412"/>
      <c r="ET2" s="412"/>
      <c r="EU2" s="412"/>
      <c r="EV2" s="412"/>
      <c r="EW2" s="412"/>
      <c r="EX2" s="412"/>
      <c r="EY2" s="412"/>
      <c r="EZ2" s="412"/>
      <c r="FA2" s="412"/>
      <c r="FB2" s="412"/>
      <c r="FC2" s="413"/>
    </row>
    <row r="3" spans="1:159" s="14" customFormat="1" ht="38.25" customHeight="1" x14ac:dyDescent="0.4">
      <c r="A3" s="408"/>
      <c r="B3" s="409"/>
      <c r="C3" s="409"/>
      <c r="D3" s="409"/>
      <c r="E3" s="409"/>
      <c r="F3" s="409"/>
      <c r="G3" s="414" t="s">
        <v>47</v>
      </c>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414"/>
      <c r="BH3" s="414"/>
      <c r="BI3" s="414"/>
      <c r="BJ3" s="414"/>
      <c r="BK3" s="414"/>
      <c r="BL3" s="414"/>
      <c r="BM3" s="414"/>
      <c r="BN3" s="414"/>
      <c r="BO3" s="414"/>
      <c r="BP3" s="414"/>
      <c r="BQ3" s="414"/>
      <c r="BR3" s="414"/>
      <c r="BS3" s="414"/>
      <c r="BT3" s="414"/>
      <c r="BU3" s="414"/>
      <c r="BV3" s="414"/>
      <c r="BW3" s="414"/>
      <c r="BX3" s="414"/>
      <c r="BY3" s="414"/>
      <c r="BZ3" s="414"/>
      <c r="CA3" s="414"/>
      <c r="CB3" s="414"/>
      <c r="CC3" s="414"/>
      <c r="CD3" s="414"/>
      <c r="CE3" s="414"/>
      <c r="CF3" s="414"/>
      <c r="CG3" s="414"/>
      <c r="CH3" s="414"/>
      <c r="CI3" s="414"/>
      <c r="CJ3" s="414"/>
      <c r="CK3" s="414"/>
      <c r="CL3" s="414"/>
      <c r="CM3" s="414"/>
      <c r="CN3" s="414"/>
      <c r="CO3" s="414"/>
      <c r="CP3" s="414"/>
      <c r="CQ3" s="414"/>
      <c r="CR3" s="414"/>
      <c r="CS3" s="414"/>
      <c r="CT3" s="414"/>
      <c r="CU3" s="414"/>
      <c r="CV3" s="414"/>
      <c r="CW3" s="414"/>
      <c r="CX3" s="414"/>
      <c r="CY3" s="414"/>
      <c r="CZ3" s="414"/>
      <c r="DA3" s="414"/>
      <c r="DB3" s="414"/>
      <c r="DC3" s="414"/>
      <c r="DD3" s="414"/>
      <c r="DE3" s="414"/>
      <c r="DF3" s="414"/>
      <c r="DG3" s="414"/>
      <c r="DH3" s="414"/>
      <c r="DI3" s="414"/>
      <c r="DJ3" s="414"/>
      <c r="DK3" s="414"/>
      <c r="DL3" s="414"/>
      <c r="DM3" s="414"/>
      <c r="DN3" s="414"/>
      <c r="DO3" s="414"/>
      <c r="DP3" s="414"/>
      <c r="DQ3" s="414"/>
      <c r="DR3" s="414"/>
      <c r="DS3" s="414"/>
      <c r="DT3" s="414"/>
      <c r="DU3" s="414"/>
      <c r="DV3" s="414"/>
      <c r="DW3" s="414"/>
      <c r="DX3" s="414"/>
      <c r="DY3" s="414"/>
      <c r="DZ3" s="414"/>
      <c r="EA3" s="414"/>
      <c r="EB3" s="414"/>
      <c r="EC3" s="414"/>
      <c r="ED3" s="414"/>
      <c r="EE3" s="414"/>
      <c r="EF3" s="414"/>
      <c r="EG3" s="414"/>
      <c r="EH3" s="414"/>
      <c r="EI3" s="414"/>
      <c r="EJ3" s="414"/>
      <c r="EK3" s="414"/>
      <c r="EL3" s="414"/>
      <c r="EM3" s="414"/>
      <c r="EN3" s="414"/>
      <c r="EO3" s="414"/>
      <c r="EP3" s="414"/>
      <c r="EQ3" s="414"/>
      <c r="ER3" s="414"/>
      <c r="ES3" s="414"/>
      <c r="ET3" s="415" t="s">
        <v>229</v>
      </c>
      <c r="EU3" s="415"/>
      <c r="EV3" s="415"/>
      <c r="EW3" s="415"/>
      <c r="EX3" s="415"/>
      <c r="EY3" s="415"/>
      <c r="EZ3" s="415"/>
      <c r="FA3" s="415"/>
      <c r="FB3" s="415"/>
      <c r="FC3" s="416"/>
    </row>
    <row r="4" spans="1:159" ht="52.5" customHeight="1" x14ac:dyDescent="0.25">
      <c r="A4" s="398" t="s">
        <v>0</v>
      </c>
      <c r="B4" s="399"/>
      <c r="C4" s="399"/>
      <c r="D4" s="399"/>
      <c r="E4" s="399"/>
      <c r="F4" s="399"/>
      <c r="G4" s="400" t="s">
        <v>248</v>
      </c>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0"/>
      <c r="BV4" s="400"/>
      <c r="BW4" s="400"/>
      <c r="BX4" s="400"/>
      <c r="BY4" s="400"/>
      <c r="BZ4" s="400"/>
      <c r="CA4" s="400"/>
      <c r="CB4" s="400"/>
      <c r="CC4" s="400"/>
      <c r="CD4" s="400"/>
      <c r="CE4" s="400"/>
      <c r="CF4" s="400"/>
      <c r="CG4" s="400"/>
      <c r="CH4" s="400"/>
      <c r="CI4" s="400"/>
      <c r="CJ4" s="400"/>
      <c r="CK4" s="400"/>
      <c r="CL4" s="400"/>
      <c r="CM4" s="400"/>
      <c r="CN4" s="400"/>
      <c r="CO4" s="400"/>
      <c r="CP4" s="400"/>
      <c r="CQ4" s="400"/>
      <c r="CR4" s="400"/>
      <c r="CS4" s="400"/>
      <c r="CT4" s="400"/>
      <c r="CU4" s="400"/>
      <c r="CV4" s="400"/>
      <c r="CW4" s="400"/>
      <c r="CX4" s="400"/>
      <c r="CY4" s="400"/>
      <c r="CZ4" s="400"/>
      <c r="DA4" s="400"/>
      <c r="DB4" s="400"/>
      <c r="DC4" s="400"/>
      <c r="DD4" s="400"/>
      <c r="DE4" s="400"/>
      <c r="DF4" s="400"/>
      <c r="DG4" s="400"/>
      <c r="DH4" s="400"/>
      <c r="DI4" s="400"/>
      <c r="DJ4" s="400"/>
      <c r="DK4" s="400"/>
      <c r="DL4" s="400"/>
      <c r="DM4" s="400"/>
      <c r="DN4" s="400"/>
      <c r="DO4" s="400"/>
      <c r="DP4" s="400"/>
      <c r="DQ4" s="400"/>
      <c r="DR4" s="400"/>
      <c r="DS4" s="400"/>
      <c r="DT4" s="400"/>
      <c r="DU4" s="400"/>
      <c r="DV4" s="400"/>
      <c r="DW4" s="400"/>
      <c r="DX4" s="400"/>
      <c r="DY4" s="400"/>
      <c r="DZ4" s="400"/>
      <c r="EA4" s="400"/>
      <c r="EB4" s="400"/>
      <c r="EC4" s="400"/>
      <c r="ED4" s="400"/>
      <c r="EE4" s="400"/>
      <c r="EF4" s="400"/>
      <c r="EG4" s="400"/>
      <c r="EH4" s="400"/>
      <c r="EI4" s="400"/>
      <c r="EJ4" s="400"/>
      <c r="EK4" s="400"/>
      <c r="EL4" s="400"/>
      <c r="EM4" s="400"/>
      <c r="EN4" s="400"/>
      <c r="EO4" s="400"/>
      <c r="EP4" s="400"/>
      <c r="EQ4" s="400"/>
      <c r="ER4" s="400"/>
      <c r="ES4" s="400"/>
      <c r="ET4" s="400"/>
      <c r="EU4" s="400"/>
      <c r="EV4" s="400"/>
      <c r="EW4" s="400"/>
      <c r="EX4" s="400"/>
      <c r="EY4" s="400"/>
      <c r="EZ4" s="400"/>
      <c r="FA4" s="400"/>
      <c r="FB4" s="400"/>
      <c r="FC4" s="401"/>
    </row>
    <row r="5" spans="1:159" ht="31.5" customHeight="1" x14ac:dyDescent="0.25">
      <c r="A5" s="398" t="s">
        <v>2</v>
      </c>
      <c r="B5" s="399"/>
      <c r="C5" s="399"/>
      <c r="D5" s="399"/>
      <c r="E5" s="399"/>
      <c r="F5" s="399"/>
      <c r="G5" s="400" t="s">
        <v>249</v>
      </c>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0"/>
      <c r="AP5" s="400"/>
      <c r="AQ5" s="400"/>
      <c r="AR5" s="400"/>
      <c r="AS5" s="400"/>
      <c r="AT5" s="400"/>
      <c r="AU5" s="400"/>
      <c r="AV5" s="400"/>
      <c r="AW5" s="400"/>
      <c r="AX5" s="400"/>
      <c r="AY5" s="400"/>
      <c r="AZ5" s="400"/>
      <c r="BA5" s="400"/>
      <c r="BB5" s="400"/>
      <c r="BC5" s="400"/>
      <c r="BD5" s="400"/>
      <c r="BE5" s="400"/>
      <c r="BF5" s="400"/>
      <c r="BG5" s="400"/>
      <c r="BH5" s="400"/>
      <c r="BI5" s="400"/>
      <c r="BJ5" s="400"/>
      <c r="BK5" s="400"/>
      <c r="BL5" s="400"/>
      <c r="BM5" s="400"/>
      <c r="BN5" s="400"/>
      <c r="BO5" s="400"/>
      <c r="BP5" s="400"/>
      <c r="BQ5" s="400"/>
      <c r="BR5" s="400"/>
      <c r="BS5" s="400"/>
      <c r="BT5" s="400"/>
      <c r="BU5" s="400"/>
      <c r="BV5" s="400"/>
      <c r="BW5" s="400"/>
      <c r="BX5" s="400"/>
      <c r="BY5" s="400"/>
      <c r="BZ5" s="400"/>
      <c r="CA5" s="400"/>
      <c r="CB5" s="400"/>
      <c r="CC5" s="400"/>
      <c r="CD5" s="400"/>
      <c r="CE5" s="400"/>
      <c r="CF5" s="400"/>
      <c r="CG5" s="400"/>
      <c r="CH5" s="400"/>
      <c r="CI5" s="400"/>
      <c r="CJ5" s="400"/>
      <c r="CK5" s="400"/>
      <c r="CL5" s="400"/>
      <c r="CM5" s="400"/>
      <c r="CN5" s="400"/>
      <c r="CO5" s="400"/>
      <c r="CP5" s="400"/>
      <c r="CQ5" s="400"/>
      <c r="CR5" s="400"/>
      <c r="CS5" s="400"/>
      <c r="CT5" s="400"/>
      <c r="CU5" s="400"/>
      <c r="CV5" s="400"/>
      <c r="CW5" s="400"/>
      <c r="CX5" s="400"/>
      <c r="CY5" s="400"/>
      <c r="CZ5" s="400"/>
      <c r="DA5" s="400"/>
      <c r="DB5" s="400"/>
      <c r="DC5" s="400"/>
      <c r="DD5" s="400"/>
      <c r="DE5" s="400"/>
      <c r="DF5" s="400"/>
      <c r="DG5" s="400"/>
      <c r="DH5" s="400"/>
      <c r="DI5" s="400"/>
      <c r="DJ5" s="400"/>
      <c r="DK5" s="400"/>
      <c r="DL5" s="400"/>
      <c r="DM5" s="400"/>
      <c r="DN5" s="400"/>
      <c r="DO5" s="400"/>
      <c r="DP5" s="400"/>
      <c r="DQ5" s="400"/>
      <c r="DR5" s="400"/>
      <c r="DS5" s="400"/>
      <c r="DT5" s="400"/>
      <c r="DU5" s="400"/>
      <c r="DV5" s="400"/>
      <c r="DW5" s="400"/>
      <c r="DX5" s="400"/>
      <c r="DY5" s="400"/>
      <c r="DZ5" s="400"/>
      <c r="EA5" s="400"/>
      <c r="EB5" s="400"/>
      <c r="EC5" s="400"/>
      <c r="ED5" s="400"/>
      <c r="EE5" s="400"/>
      <c r="EF5" s="400"/>
      <c r="EG5" s="400"/>
      <c r="EH5" s="400"/>
      <c r="EI5" s="400"/>
      <c r="EJ5" s="400"/>
      <c r="EK5" s="400"/>
      <c r="EL5" s="400"/>
      <c r="EM5" s="400"/>
      <c r="EN5" s="400"/>
      <c r="EO5" s="400"/>
      <c r="EP5" s="400"/>
      <c r="EQ5" s="400"/>
      <c r="ER5" s="400"/>
      <c r="ES5" s="400"/>
      <c r="ET5" s="400"/>
      <c r="EU5" s="400"/>
      <c r="EV5" s="400"/>
      <c r="EW5" s="400"/>
      <c r="EX5" s="400"/>
      <c r="EY5" s="400"/>
      <c r="EZ5" s="400"/>
      <c r="FA5" s="400"/>
      <c r="FB5" s="400"/>
      <c r="FC5" s="401"/>
    </row>
    <row r="6" spans="1:159" ht="32.25" customHeight="1" x14ac:dyDescent="0.25">
      <c r="A6" s="398" t="s">
        <v>55</v>
      </c>
      <c r="B6" s="399"/>
      <c r="C6" s="399"/>
      <c r="D6" s="399"/>
      <c r="E6" s="399"/>
      <c r="F6" s="399"/>
      <c r="G6" s="400" t="s">
        <v>250</v>
      </c>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0"/>
      <c r="BP6" s="400"/>
      <c r="BQ6" s="400"/>
      <c r="BR6" s="400"/>
      <c r="BS6" s="400"/>
      <c r="BT6" s="400"/>
      <c r="BU6" s="400"/>
      <c r="BV6" s="400"/>
      <c r="BW6" s="400"/>
      <c r="BX6" s="400"/>
      <c r="BY6" s="400"/>
      <c r="BZ6" s="400"/>
      <c r="CA6" s="400"/>
      <c r="CB6" s="400"/>
      <c r="CC6" s="400"/>
      <c r="CD6" s="400"/>
      <c r="CE6" s="400"/>
      <c r="CF6" s="400"/>
      <c r="CG6" s="400"/>
      <c r="CH6" s="400"/>
      <c r="CI6" s="400"/>
      <c r="CJ6" s="400"/>
      <c r="CK6" s="400"/>
      <c r="CL6" s="400"/>
      <c r="CM6" s="400"/>
      <c r="CN6" s="400"/>
      <c r="CO6" s="400"/>
      <c r="CP6" s="400"/>
      <c r="CQ6" s="400"/>
      <c r="CR6" s="400"/>
      <c r="CS6" s="400"/>
      <c r="CT6" s="400"/>
      <c r="CU6" s="400"/>
      <c r="CV6" s="400"/>
      <c r="CW6" s="400"/>
      <c r="CX6" s="400"/>
      <c r="CY6" s="400"/>
      <c r="CZ6" s="400"/>
      <c r="DA6" s="400"/>
      <c r="DB6" s="400"/>
      <c r="DC6" s="400"/>
      <c r="DD6" s="400"/>
      <c r="DE6" s="400"/>
      <c r="DF6" s="400"/>
      <c r="DG6" s="400"/>
      <c r="DH6" s="400"/>
      <c r="DI6" s="400"/>
      <c r="DJ6" s="400"/>
      <c r="DK6" s="400"/>
      <c r="DL6" s="400"/>
      <c r="DM6" s="400"/>
      <c r="DN6" s="400"/>
      <c r="DO6" s="400"/>
      <c r="DP6" s="400"/>
      <c r="DQ6" s="400"/>
      <c r="DR6" s="400"/>
      <c r="DS6" s="400"/>
      <c r="DT6" s="400"/>
      <c r="DU6" s="400"/>
      <c r="DV6" s="400"/>
      <c r="DW6" s="400"/>
      <c r="DX6" s="400"/>
      <c r="DY6" s="400"/>
      <c r="DZ6" s="400"/>
      <c r="EA6" s="400"/>
      <c r="EB6" s="400"/>
      <c r="EC6" s="400"/>
      <c r="ED6" s="400"/>
      <c r="EE6" s="400"/>
      <c r="EF6" s="400"/>
      <c r="EG6" s="400"/>
      <c r="EH6" s="400"/>
      <c r="EI6" s="400"/>
      <c r="EJ6" s="400"/>
      <c r="EK6" s="400"/>
      <c r="EL6" s="400"/>
      <c r="EM6" s="400"/>
      <c r="EN6" s="400"/>
      <c r="EO6" s="400"/>
      <c r="EP6" s="400"/>
      <c r="EQ6" s="400"/>
      <c r="ER6" s="400"/>
      <c r="ES6" s="400"/>
      <c r="ET6" s="400"/>
      <c r="EU6" s="400"/>
      <c r="EV6" s="400"/>
      <c r="EW6" s="400"/>
      <c r="EX6" s="400"/>
      <c r="EY6" s="400"/>
      <c r="EZ6" s="400"/>
      <c r="FA6" s="400"/>
      <c r="FB6" s="400"/>
      <c r="FC6" s="401"/>
    </row>
    <row r="7" spans="1:159" ht="35.25" customHeight="1" thickBot="1" x14ac:dyDescent="0.3">
      <c r="A7" s="402" t="s">
        <v>1</v>
      </c>
      <c r="B7" s="403"/>
      <c r="C7" s="403"/>
      <c r="D7" s="403"/>
      <c r="E7" s="403"/>
      <c r="F7" s="403"/>
      <c r="G7" s="404" t="s">
        <v>251</v>
      </c>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4"/>
      <c r="BZ7" s="404"/>
      <c r="CA7" s="404"/>
      <c r="CB7" s="404"/>
      <c r="CC7" s="404"/>
      <c r="CD7" s="404"/>
      <c r="CE7" s="404"/>
      <c r="CF7" s="404"/>
      <c r="CG7" s="404"/>
      <c r="CH7" s="404"/>
      <c r="CI7" s="404"/>
      <c r="CJ7" s="404"/>
      <c r="CK7" s="404"/>
      <c r="CL7" s="404"/>
      <c r="CM7" s="404"/>
      <c r="CN7" s="404"/>
      <c r="CO7" s="404"/>
      <c r="CP7" s="404"/>
      <c r="CQ7" s="404"/>
      <c r="CR7" s="404"/>
      <c r="CS7" s="404"/>
      <c r="CT7" s="404"/>
      <c r="CU7" s="404"/>
      <c r="CV7" s="404"/>
      <c r="CW7" s="404"/>
      <c r="CX7" s="404"/>
      <c r="CY7" s="404"/>
      <c r="CZ7" s="404"/>
      <c r="DA7" s="404"/>
      <c r="DB7" s="404"/>
      <c r="DC7" s="404"/>
      <c r="DD7" s="404"/>
      <c r="DE7" s="404"/>
      <c r="DF7" s="404"/>
      <c r="DG7" s="404"/>
      <c r="DH7" s="404"/>
      <c r="DI7" s="404"/>
      <c r="DJ7" s="404"/>
      <c r="DK7" s="404"/>
      <c r="DL7" s="404"/>
      <c r="DM7" s="404"/>
      <c r="DN7" s="404"/>
      <c r="DO7" s="404"/>
      <c r="DP7" s="404"/>
      <c r="DQ7" s="404"/>
      <c r="DR7" s="404"/>
      <c r="DS7" s="404"/>
      <c r="DT7" s="404"/>
      <c r="DU7" s="404"/>
      <c r="DV7" s="404"/>
      <c r="DW7" s="404"/>
      <c r="DX7" s="404"/>
      <c r="DY7" s="404"/>
      <c r="DZ7" s="404"/>
      <c r="EA7" s="404"/>
      <c r="EB7" s="404"/>
      <c r="EC7" s="404"/>
      <c r="ED7" s="404"/>
      <c r="EE7" s="404"/>
      <c r="EF7" s="404"/>
      <c r="EG7" s="404"/>
      <c r="EH7" s="404"/>
      <c r="EI7" s="404"/>
      <c r="EJ7" s="404"/>
      <c r="EK7" s="404"/>
      <c r="EL7" s="404"/>
      <c r="EM7" s="404"/>
      <c r="EN7" s="404"/>
      <c r="EO7" s="404"/>
      <c r="EP7" s="404"/>
      <c r="EQ7" s="404"/>
      <c r="ER7" s="404"/>
      <c r="ES7" s="404"/>
      <c r="ET7" s="404"/>
      <c r="EU7" s="404"/>
      <c r="EV7" s="404"/>
      <c r="EW7" s="404"/>
      <c r="EX7" s="404"/>
      <c r="EY7" s="404"/>
      <c r="EZ7" s="404"/>
      <c r="FA7" s="404"/>
      <c r="FB7" s="404"/>
      <c r="FC7" s="405"/>
    </row>
    <row r="8" spans="1:159" ht="16.5" customHeight="1" thickBot="1" x14ac:dyDescent="0.3">
      <c r="A8" s="27"/>
      <c r="B8" s="26"/>
      <c r="C8" s="26"/>
      <c r="D8" s="26"/>
      <c r="E8" s="26"/>
      <c r="F8" s="26"/>
      <c r="G8" s="26"/>
      <c r="H8" s="26"/>
      <c r="I8" s="26"/>
      <c r="J8" s="26"/>
      <c r="K8" s="26"/>
      <c r="L8" s="26"/>
      <c r="M8" s="26"/>
      <c r="N8" s="26"/>
      <c r="O8" s="26"/>
      <c r="P8" s="26"/>
      <c r="Q8" s="26"/>
      <c r="R8" s="26"/>
      <c r="S8" s="26"/>
      <c r="T8" s="26"/>
      <c r="U8" s="92"/>
      <c r="V8" s="26"/>
      <c r="W8" s="26"/>
      <c r="X8" s="26"/>
      <c r="Y8" s="92"/>
      <c r="Z8" s="26"/>
      <c r="AA8" s="26"/>
      <c r="AB8" s="26"/>
      <c r="AC8" s="26"/>
      <c r="AD8" s="26"/>
      <c r="AE8" s="26"/>
      <c r="AF8" s="26"/>
      <c r="AG8" s="26"/>
      <c r="AH8" s="26"/>
      <c r="AI8" s="26"/>
      <c r="AJ8" s="26"/>
      <c r="AK8" s="26"/>
      <c r="AL8" s="26"/>
      <c r="AM8" s="26"/>
      <c r="AN8" s="26"/>
      <c r="AO8" s="26"/>
      <c r="AP8" s="93"/>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row>
    <row r="9" spans="1:159" s="1" customFormat="1" ht="26.25" customHeight="1" x14ac:dyDescent="0.2">
      <c r="A9" s="388" t="s">
        <v>69</v>
      </c>
      <c r="B9" s="388"/>
      <c r="C9" s="388"/>
      <c r="D9" s="388"/>
      <c r="E9" s="388"/>
      <c r="F9" s="388"/>
      <c r="G9" s="388"/>
      <c r="H9" s="388"/>
      <c r="I9" s="388"/>
      <c r="J9" s="388" t="s">
        <v>217</v>
      </c>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c r="BF9" s="388"/>
      <c r="BG9" s="388"/>
      <c r="BH9" s="388"/>
      <c r="BI9" s="388"/>
      <c r="BJ9" s="388"/>
      <c r="BK9" s="388"/>
      <c r="BL9" s="388"/>
      <c r="BM9" s="388"/>
      <c r="BN9" s="388"/>
      <c r="BO9" s="388"/>
      <c r="BP9" s="388"/>
      <c r="BQ9" s="388"/>
      <c r="BR9" s="388"/>
      <c r="BS9" s="388"/>
      <c r="BT9" s="388"/>
      <c r="BU9" s="388"/>
      <c r="BV9" s="388"/>
      <c r="BW9" s="388"/>
      <c r="BX9" s="388"/>
      <c r="BY9" s="388"/>
      <c r="BZ9" s="388"/>
      <c r="CA9" s="388"/>
      <c r="CB9" s="388"/>
      <c r="CC9" s="388"/>
      <c r="CD9" s="388"/>
      <c r="CE9" s="388"/>
      <c r="CF9" s="388"/>
      <c r="CG9" s="388"/>
      <c r="CH9" s="388"/>
      <c r="CI9" s="388"/>
      <c r="CJ9" s="388"/>
      <c r="CK9" s="388"/>
      <c r="CL9" s="388"/>
      <c r="CM9" s="388"/>
      <c r="CN9" s="388"/>
      <c r="CO9" s="388"/>
      <c r="CP9" s="388"/>
      <c r="CQ9" s="388"/>
      <c r="CR9" s="388"/>
      <c r="CS9" s="388"/>
      <c r="CT9" s="388"/>
      <c r="CU9" s="388"/>
      <c r="CV9" s="388"/>
      <c r="CW9" s="388"/>
      <c r="CX9" s="388"/>
      <c r="CY9" s="388"/>
      <c r="CZ9" s="388"/>
      <c r="DA9" s="388"/>
      <c r="DB9" s="388"/>
      <c r="DC9" s="388"/>
      <c r="DD9" s="388"/>
      <c r="DE9" s="388"/>
      <c r="DF9" s="388"/>
      <c r="DG9" s="388"/>
      <c r="DH9" s="388"/>
      <c r="DI9" s="388"/>
      <c r="DJ9" s="388"/>
      <c r="DK9" s="388"/>
      <c r="DL9" s="388"/>
      <c r="DM9" s="388"/>
      <c r="DN9" s="388"/>
      <c r="DO9" s="388"/>
      <c r="DP9" s="388"/>
      <c r="DQ9" s="388"/>
      <c r="DR9" s="388"/>
      <c r="DS9" s="388"/>
      <c r="DT9" s="388"/>
      <c r="DU9" s="388"/>
      <c r="DV9" s="388"/>
      <c r="DW9" s="388"/>
      <c r="DX9" s="388"/>
      <c r="DY9" s="388"/>
      <c r="DZ9" s="388"/>
      <c r="EA9" s="388"/>
      <c r="EB9" s="388"/>
      <c r="EC9" s="388"/>
      <c r="ED9" s="388"/>
      <c r="EE9" s="388"/>
      <c r="EF9" s="388"/>
      <c r="EG9" s="388"/>
      <c r="EH9" s="388"/>
      <c r="EI9" s="388"/>
      <c r="EJ9" s="388"/>
      <c r="EK9" s="388"/>
      <c r="EL9" s="388"/>
      <c r="EM9" s="388"/>
      <c r="EN9" s="388"/>
      <c r="EO9" s="388"/>
      <c r="EP9" s="388"/>
      <c r="EQ9" s="388"/>
      <c r="ER9" s="388"/>
      <c r="ES9" s="388"/>
      <c r="ET9" s="389" t="s">
        <v>209</v>
      </c>
      <c r="EU9" s="389" t="s">
        <v>210</v>
      </c>
      <c r="EV9" s="391" t="s">
        <v>211</v>
      </c>
      <c r="EW9" s="393" t="s">
        <v>682</v>
      </c>
      <c r="EX9" s="391" t="s">
        <v>233</v>
      </c>
      <c r="EY9" s="395" t="s">
        <v>234</v>
      </c>
      <c r="EZ9" s="397" t="s">
        <v>235</v>
      </c>
      <c r="FA9" s="397" t="s">
        <v>236</v>
      </c>
      <c r="FB9" s="397" t="s">
        <v>238</v>
      </c>
      <c r="FC9" s="385" t="s">
        <v>237</v>
      </c>
    </row>
    <row r="10" spans="1:159" s="1" customFormat="1" ht="24.95" customHeight="1" x14ac:dyDescent="0.2">
      <c r="A10" s="388" t="s">
        <v>79</v>
      </c>
      <c r="B10" s="388"/>
      <c r="C10" s="388"/>
      <c r="D10" s="388"/>
      <c r="E10" s="388"/>
      <c r="F10" s="388"/>
      <c r="G10" s="388"/>
      <c r="H10" s="388"/>
      <c r="I10" s="388"/>
      <c r="J10" s="378" t="s">
        <v>48</v>
      </c>
      <c r="K10" s="378"/>
      <c r="L10" s="378"/>
      <c r="M10" s="378"/>
      <c r="N10" s="378"/>
      <c r="O10" s="378"/>
      <c r="P10" s="378"/>
      <c r="Q10" s="378"/>
      <c r="R10" s="378"/>
      <c r="S10" s="378"/>
      <c r="T10" s="378"/>
      <c r="U10" s="378"/>
      <c r="V10" s="378"/>
      <c r="W10" s="378"/>
      <c r="X10" s="378"/>
      <c r="Y10" s="378"/>
      <c r="Z10" s="378"/>
      <c r="AA10" s="378"/>
      <c r="AB10" s="378"/>
      <c r="AC10" s="378"/>
      <c r="AD10" s="378" t="s">
        <v>49</v>
      </c>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t="s">
        <v>61</v>
      </c>
      <c r="BI10" s="378"/>
      <c r="BJ10" s="378"/>
      <c r="BK10" s="378"/>
      <c r="BL10" s="378"/>
      <c r="BM10" s="378"/>
      <c r="BN10" s="378"/>
      <c r="BO10" s="378"/>
      <c r="BP10" s="378"/>
      <c r="BQ10" s="378"/>
      <c r="BR10" s="378"/>
      <c r="BS10" s="378"/>
      <c r="BT10" s="378"/>
      <c r="BU10" s="378"/>
      <c r="BV10" s="378"/>
      <c r="BW10" s="378"/>
      <c r="BX10" s="378"/>
      <c r="BY10" s="378"/>
      <c r="BZ10" s="378"/>
      <c r="CA10" s="378"/>
      <c r="CB10" s="378"/>
      <c r="CC10" s="378"/>
      <c r="CD10" s="378"/>
      <c r="CE10" s="378"/>
      <c r="CF10" s="378"/>
      <c r="CG10" s="378"/>
      <c r="CH10" s="378"/>
      <c r="CI10" s="378"/>
      <c r="CJ10" s="378"/>
      <c r="CK10" s="378"/>
      <c r="CL10" s="378" t="s">
        <v>62</v>
      </c>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378"/>
      <c r="DI10" s="378"/>
      <c r="DJ10" s="378"/>
      <c r="DK10" s="378"/>
      <c r="DL10" s="378"/>
      <c r="DM10" s="378"/>
      <c r="DN10" s="378"/>
      <c r="DO10" s="378"/>
      <c r="DP10" s="378" t="s">
        <v>63</v>
      </c>
      <c r="DQ10" s="378"/>
      <c r="DR10" s="378"/>
      <c r="DS10" s="378"/>
      <c r="DT10" s="378"/>
      <c r="DU10" s="378"/>
      <c r="DV10" s="378"/>
      <c r="DW10" s="378"/>
      <c r="DX10" s="378"/>
      <c r="DY10" s="378"/>
      <c r="DZ10" s="378"/>
      <c r="EA10" s="378"/>
      <c r="EB10" s="378"/>
      <c r="EC10" s="378"/>
      <c r="ED10" s="378"/>
      <c r="EE10" s="378"/>
      <c r="EF10" s="378"/>
      <c r="EG10" s="378"/>
      <c r="EH10" s="378"/>
      <c r="EI10" s="378"/>
      <c r="EJ10" s="378"/>
      <c r="EK10" s="378"/>
      <c r="EL10" s="378"/>
      <c r="EM10" s="378"/>
      <c r="EN10" s="378"/>
      <c r="EO10" s="378"/>
      <c r="EP10" s="378"/>
      <c r="EQ10" s="378"/>
      <c r="ER10" s="378"/>
      <c r="ES10" s="378"/>
      <c r="ET10" s="389"/>
      <c r="EU10" s="389"/>
      <c r="EV10" s="391"/>
      <c r="EW10" s="393"/>
      <c r="EX10" s="391"/>
      <c r="EY10" s="395"/>
      <c r="EZ10" s="395"/>
      <c r="FA10" s="395"/>
      <c r="FB10" s="395"/>
      <c r="FC10" s="386"/>
    </row>
    <row r="11" spans="1:159" s="1" customFormat="1" ht="68.25" customHeight="1" thickBot="1" x14ac:dyDescent="0.25">
      <c r="A11" s="340" t="s">
        <v>70</v>
      </c>
      <c r="B11" s="340" t="s">
        <v>71</v>
      </c>
      <c r="C11" s="340" t="s">
        <v>72</v>
      </c>
      <c r="D11" s="340" t="s">
        <v>73</v>
      </c>
      <c r="E11" s="340" t="s">
        <v>74</v>
      </c>
      <c r="F11" s="341" t="s">
        <v>75</v>
      </c>
      <c r="G11" s="340" t="s">
        <v>76</v>
      </c>
      <c r="H11" s="340" t="s">
        <v>77</v>
      </c>
      <c r="I11" s="342" t="s">
        <v>78</v>
      </c>
      <c r="J11" s="342" t="s">
        <v>226</v>
      </c>
      <c r="K11" s="343" t="s">
        <v>198</v>
      </c>
      <c r="L11" s="341" t="s">
        <v>207</v>
      </c>
      <c r="M11" s="343" t="s">
        <v>199</v>
      </c>
      <c r="N11" s="341" t="s">
        <v>57</v>
      </c>
      <c r="O11" s="343" t="s">
        <v>200</v>
      </c>
      <c r="P11" s="341" t="s">
        <v>58</v>
      </c>
      <c r="Q11" s="343" t="s">
        <v>201</v>
      </c>
      <c r="R11" s="341" t="s">
        <v>59</v>
      </c>
      <c r="S11" s="343" t="s">
        <v>202</v>
      </c>
      <c r="T11" s="341" t="s">
        <v>60</v>
      </c>
      <c r="U11" s="343" t="s">
        <v>203</v>
      </c>
      <c r="V11" s="341" t="s">
        <v>50</v>
      </c>
      <c r="W11" s="343" t="s">
        <v>204</v>
      </c>
      <c r="X11" s="341" t="s">
        <v>208</v>
      </c>
      <c r="Y11" s="344" t="s">
        <v>206</v>
      </c>
      <c r="Z11" s="345" t="s">
        <v>239</v>
      </c>
      <c r="AA11" s="333" t="s">
        <v>240</v>
      </c>
      <c r="AB11" s="346" t="s">
        <v>241</v>
      </c>
      <c r="AC11" s="333" t="s">
        <v>242</v>
      </c>
      <c r="AD11" s="342" t="s">
        <v>226</v>
      </c>
      <c r="AE11" s="343" t="s">
        <v>193</v>
      </c>
      <c r="AF11" s="341" t="s">
        <v>51</v>
      </c>
      <c r="AG11" s="343" t="s">
        <v>194</v>
      </c>
      <c r="AH11" s="341" t="s">
        <v>52</v>
      </c>
      <c r="AI11" s="343" t="s">
        <v>195</v>
      </c>
      <c r="AJ11" s="341" t="s">
        <v>53</v>
      </c>
      <c r="AK11" s="343" t="s">
        <v>196</v>
      </c>
      <c r="AL11" s="341" t="s">
        <v>54</v>
      </c>
      <c r="AM11" s="343" t="s">
        <v>197</v>
      </c>
      <c r="AN11" s="341" t="s">
        <v>56</v>
      </c>
      <c r="AO11" s="343" t="s">
        <v>198</v>
      </c>
      <c r="AP11" s="341" t="s">
        <v>207</v>
      </c>
      <c r="AQ11" s="343" t="s">
        <v>199</v>
      </c>
      <c r="AR11" s="341" t="s">
        <v>57</v>
      </c>
      <c r="AS11" s="343" t="s">
        <v>200</v>
      </c>
      <c r="AT11" s="341" t="s">
        <v>58</v>
      </c>
      <c r="AU11" s="343" t="s">
        <v>201</v>
      </c>
      <c r="AV11" s="341" t="s">
        <v>59</v>
      </c>
      <c r="AW11" s="343" t="s">
        <v>202</v>
      </c>
      <c r="AX11" s="341" t="s">
        <v>60</v>
      </c>
      <c r="AY11" s="343" t="s">
        <v>203</v>
      </c>
      <c r="AZ11" s="341" t="s">
        <v>50</v>
      </c>
      <c r="BA11" s="343" t="s">
        <v>204</v>
      </c>
      <c r="BB11" s="341" t="s">
        <v>208</v>
      </c>
      <c r="BC11" s="344" t="s">
        <v>206</v>
      </c>
      <c r="BD11" s="345" t="s">
        <v>232</v>
      </c>
      <c r="BE11" s="333" t="s">
        <v>231</v>
      </c>
      <c r="BF11" s="346" t="s">
        <v>230</v>
      </c>
      <c r="BG11" s="333" t="s">
        <v>655</v>
      </c>
      <c r="BH11" s="342" t="s">
        <v>226</v>
      </c>
      <c r="BI11" s="343" t="s">
        <v>193</v>
      </c>
      <c r="BJ11" s="341" t="s">
        <v>51</v>
      </c>
      <c r="BK11" s="343" t="s">
        <v>194</v>
      </c>
      <c r="BL11" s="341" t="s">
        <v>52</v>
      </c>
      <c r="BM11" s="343" t="s">
        <v>195</v>
      </c>
      <c r="BN11" s="341" t="s">
        <v>53</v>
      </c>
      <c r="BO11" s="343" t="s">
        <v>196</v>
      </c>
      <c r="BP11" s="341" t="s">
        <v>54</v>
      </c>
      <c r="BQ11" s="343" t="s">
        <v>197</v>
      </c>
      <c r="BR11" s="341" t="s">
        <v>56</v>
      </c>
      <c r="BS11" s="343" t="s">
        <v>198</v>
      </c>
      <c r="BT11" s="341" t="s">
        <v>207</v>
      </c>
      <c r="BU11" s="343" t="s">
        <v>199</v>
      </c>
      <c r="BV11" s="341" t="s">
        <v>57</v>
      </c>
      <c r="BW11" s="343" t="s">
        <v>200</v>
      </c>
      <c r="BX11" s="341" t="s">
        <v>58</v>
      </c>
      <c r="BY11" s="343" t="s">
        <v>201</v>
      </c>
      <c r="BZ11" s="341" t="s">
        <v>59</v>
      </c>
      <c r="CA11" s="343" t="s">
        <v>202</v>
      </c>
      <c r="CB11" s="341" t="s">
        <v>60</v>
      </c>
      <c r="CC11" s="343" t="s">
        <v>203</v>
      </c>
      <c r="CD11" s="341" t="s">
        <v>50</v>
      </c>
      <c r="CE11" s="343" t="s">
        <v>204</v>
      </c>
      <c r="CF11" s="341" t="s">
        <v>208</v>
      </c>
      <c r="CG11" s="344" t="s">
        <v>206</v>
      </c>
      <c r="CH11" s="346" t="s">
        <v>212</v>
      </c>
      <c r="CI11" s="333" t="s">
        <v>213</v>
      </c>
      <c r="CJ11" s="346" t="s">
        <v>214</v>
      </c>
      <c r="CK11" s="333" t="s">
        <v>215</v>
      </c>
      <c r="CL11" s="342" t="s">
        <v>226</v>
      </c>
      <c r="CM11" s="343" t="s">
        <v>193</v>
      </c>
      <c r="CN11" s="341" t="s">
        <v>51</v>
      </c>
      <c r="CO11" s="343" t="s">
        <v>194</v>
      </c>
      <c r="CP11" s="341" t="s">
        <v>52</v>
      </c>
      <c r="CQ11" s="343" t="s">
        <v>195</v>
      </c>
      <c r="CR11" s="341" t="s">
        <v>53</v>
      </c>
      <c r="CS11" s="343" t="s">
        <v>196</v>
      </c>
      <c r="CT11" s="341" t="s">
        <v>54</v>
      </c>
      <c r="CU11" s="343" t="s">
        <v>197</v>
      </c>
      <c r="CV11" s="341" t="s">
        <v>56</v>
      </c>
      <c r="CW11" s="343" t="s">
        <v>198</v>
      </c>
      <c r="CX11" s="341" t="s">
        <v>207</v>
      </c>
      <c r="CY11" s="343" t="s">
        <v>199</v>
      </c>
      <c r="CZ11" s="341" t="s">
        <v>57</v>
      </c>
      <c r="DA11" s="343" t="s">
        <v>200</v>
      </c>
      <c r="DB11" s="341" t="s">
        <v>58</v>
      </c>
      <c r="DC11" s="343" t="s">
        <v>201</v>
      </c>
      <c r="DD11" s="341" t="s">
        <v>59</v>
      </c>
      <c r="DE11" s="343" t="s">
        <v>202</v>
      </c>
      <c r="DF11" s="341" t="s">
        <v>60</v>
      </c>
      <c r="DG11" s="343" t="s">
        <v>203</v>
      </c>
      <c r="DH11" s="341" t="s">
        <v>50</v>
      </c>
      <c r="DI11" s="343" t="s">
        <v>204</v>
      </c>
      <c r="DJ11" s="341" t="s">
        <v>208</v>
      </c>
      <c r="DK11" s="344" t="s">
        <v>206</v>
      </c>
      <c r="DL11" s="345" t="s">
        <v>218</v>
      </c>
      <c r="DM11" s="333" t="s">
        <v>219</v>
      </c>
      <c r="DN11" s="345" t="s">
        <v>220</v>
      </c>
      <c r="DO11" s="333" t="s">
        <v>221</v>
      </c>
      <c r="DP11" s="342" t="s">
        <v>226</v>
      </c>
      <c r="DQ11" s="343" t="s">
        <v>193</v>
      </c>
      <c r="DR11" s="341" t="s">
        <v>51</v>
      </c>
      <c r="DS11" s="343" t="s">
        <v>194</v>
      </c>
      <c r="DT11" s="341" t="s">
        <v>52</v>
      </c>
      <c r="DU11" s="343" t="s">
        <v>195</v>
      </c>
      <c r="DV11" s="341" t="s">
        <v>53</v>
      </c>
      <c r="DW11" s="343" t="s">
        <v>196</v>
      </c>
      <c r="DX11" s="341" t="s">
        <v>54</v>
      </c>
      <c r="DY11" s="343" t="s">
        <v>197</v>
      </c>
      <c r="DZ11" s="341" t="s">
        <v>56</v>
      </c>
      <c r="EA11" s="343" t="s">
        <v>198</v>
      </c>
      <c r="EB11" s="341" t="s">
        <v>207</v>
      </c>
      <c r="EC11" s="343" t="s">
        <v>199</v>
      </c>
      <c r="ED11" s="341" t="s">
        <v>57</v>
      </c>
      <c r="EE11" s="343" t="s">
        <v>200</v>
      </c>
      <c r="EF11" s="341" t="s">
        <v>58</v>
      </c>
      <c r="EG11" s="343" t="s">
        <v>201</v>
      </c>
      <c r="EH11" s="341" t="s">
        <v>59</v>
      </c>
      <c r="EI11" s="343" t="s">
        <v>202</v>
      </c>
      <c r="EJ11" s="341" t="s">
        <v>60</v>
      </c>
      <c r="EK11" s="343" t="s">
        <v>203</v>
      </c>
      <c r="EL11" s="341" t="s">
        <v>50</v>
      </c>
      <c r="EM11" s="343" t="s">
        <v>204</v>
      </c>
      <c r="EN11" s="341" t="s">
        <v>208</v>
      </c>
      <c r="EO11" s="344" t="s">
        <v>206</v>
      </c>
      <c r="EP11" s="345" t="s">
        <v>222</v>
      </c>
      <c r="EQ11" s="333" t="s">
        <v>223</v>
      </c>
      <c r="ER11" s="345" t="s">
        <v>224</v>
      </c>
      <c r="ES11" s="333" t="s">
        <v>225</v>
      </c>
      <c r="ET11" s="390"/>
      <c r="EU11" s="390"/>
      <c r="EV11" s="392"/>
      <c r="EW11" s="394"/>
      <c r="EX11" s="392"/>
      <c r="EY11" s="396"/>
      <c r="EZ11" s="396"/>
      <c r="FA11" s="396"/>
      <c r="FB11" s="396"/>
      <c r="FC11" s="387"/>
    </row>
    <row r="12" spans="1:159" s="50" customFormat="1" ht="117.75" customHeight="1" thickBot="1" x14ac:dyDescent="0.3">
      <c r="A12" s="758">
        <v>2</v>
      </c>
      <c r="B12" s="766">
        <v>35</v>
      </c>
      <c r="C12" s="766">
        <v>268</v>
      </c>
      <c r="D12" s="757" t="s">
        <v>252</v>
      </c>
      <c r="E12" s="766">
        <v>285</v>
      </c>
      <c r="F12" s="757" t="s">
        <v>253</v>
      </c>
      <c r="G12" s="766" t="s">
        <v>254</v>
      </c>
      <c r="H12" s="766" t="s">
        <v>255</v>
      </c>
      <c r="I12" s="347">
        <f>+AC12+BG12+CK12+DO12+DP12</f>
        <v>4000</v>
      </c>
      <c r="J12" s="347">
        <v>234</v>
      </c>
      <c r="K12" s="347"/>
      <c r="L12" s="347"/>
      <c r="M12" s="347"/>
      <c r="N12" s="347"/>
      <c r="O12" s="347"/>
      <c r="P12" s="347"/>
      <c r="Q12" s="347"/>
      <c r="R12" s="347"/>
      <c r="S12" s="347"/>
      <c r="T12" s="347"/>
      <c r="U12" s="347"/>
      <c r="V12" s="347"/>
      <c r="W12" s="347">
        <f>234</f>
        <v>234</v>
      </c>
      <c r="X12" s="347">
        <v>195</v>
      </c>
      <c r="Y12" s="774">
        <v>234</v>
      </c>
      <c r="Z12" s="348">
        <v>234</v>
      </c>
      <c r="AA12" s="348">
        <v>195</v>
      </c>
      <c r="AB12" s="348">
        <v>195</v>
      </c>
      <c r="AC12" s="348">
        <v>195</v>
      </c>
      <c r="AD12" s="347">
        <v>798</v>
      </c>
      <c r="AE12" s="347">
        <v>37</v>
      </c>
      <c r="AF12" s="767">
        <v>38</v>
      </c>
      <c r="AG12" s="349">
        <v>65</v>
      </c>
      <c r="AH12" s="767">
        <v>10</v>
      </c>
      <c r="AI12" s="347">
        <v>69</v>
      </c>
      <c r="AJ12" s="767">
        <v>33</v>
      </c>
      <c r="AK12" s="347">
        <v>72</v>
      </c>
      <c r="AL12" s="767">
        <v>44</v>
      </c>
      <c r="AM12" s="347">
        <v>72</v>
      </c>
      <c r="AN12" s="766">
        <v>58</v>
      </c>
      <c r="AO12" s="347">
        <v>104</v>
      </c>
      <c r="AP12" s="766">
        <v>93</v>
      </c>
      <c r="AQ12" s="347">
        <v>62</v>
      </c>
      <c r="AR12" s="767">
        <v>229</v>
      </c>
      <c r="AS12" s="347">
        <v>72</v>
      </c>
      <c r="AT12" s="347">
        <v>110</v>
      </c>
      <c r="AU12" s="347">
        <v>71</v>
      </c>
      <c r="AV12" s="347">
        <v>54</v>
      </c>
      <c r="AW12" s="347">
        <v>70</v>
      </c>
      <c r="AX12" s="347">
        <v>70</v>
      </c>
      <c r="AY12" s="347">
        <v>65</v>
      </c>
      <c r="AZ12" s="347">
        <v>24</v>
      </c>
      <c r="BA12" s="347">
        <v>39</v>
      </c>
      <c r="BB12" s="347">
        <v>31</v>
      </c>
      <c r="BC12" s="756">
        <f>BA12+AY12+AW12+AU12+AS12+AQ12+AO12+AM12+AK12+AI12+AG12+AE12</f>
        <v>798</v>
      </c>
      <c r="BD12" s="756">
        <f>+AE12+AG12+AI12+AK12+AM12+AO12+AQ12+AS12+AU12+AW12+AY12+BA12</f>
        <v>798</v>
      </c>
      <c r="BE12" s="756">
        <f>+AF12+AH12+AJ12+AL12+AN12+AP12+AR12+AT12+AV12+AX12+AZ12+BB12</f>
        <v>794</v>
      </c>
      <c r="BF12" s="756">
        <f>BA12+AY12+AW12+AU12+AS12+AQ12+AO12+AM12+AK12+AI12+AG12+AE12</f>
        <v>798</v>
      </c>
      <c r="BG12" s="756">
        <f>AF12+AH12+AJ12+AL12+AN12+AP12+AR12+AT12+AV12+AX12+AZ12+BB12</f>
        <v>794</v>
      </c>
      <c r="BH12" s="347">
        <f>1097+4</f>
        <v>1101</v>
      </c>
      <c r="BI12" s="347">
        <f>67+4</f>
        <v>71</v>
      </c>
      <c r="BJ12" s="767">
        <v>0</v>
      </c>
      <c r="BK12" s="347">
        <v>92</v>
      </c>
      <c r="BL12" s="767">
        <v>49</v>
      </c>
      <c r="BM12" s="347">
        <v>97</v>
      </c>
      <c r="BN12" s="767">
        <v>60</v>
      </c>
      <c r="BO12" s="767">
        <v>102</v>
      </c>
      <c r="BP12" s="767">
        <v>92</v>
      </c>
      <c r="BQ12" s="347">
        <v>102</v>
      </c>
      <c r="BR12" s="767">
        <v>93</v>
      </c>
      <c r="BS12" s="347">
        <v>92</v>
      </c>
      <c r="BT12" s="767">
        <v>93</v>
      </c>
      <c r="BU12" s="347">
        <v>63</v>
      </c>
      <c r="BV12" s="767">
        <v>120</v>
      </c>
      <c r="BW12" s="347">
        <v>88</v>
      </c>
      <c r="BX12" s="767">
        <v>164</v>
      </c>
      <c r="BY12" s="347">
        <v>102</v>
      </c>
      <c r="BZ12" s="767">
        <v>242</v>
      </c>
      <c r="CA12" s="347">
        <v>102</v>
      </c>
      <c r="CB12" s="766">
        <v>126</v>
      </c>
      <c r="CC12" s="347">
        <v>102</v>
      </c>
      <c r="CD12" s="766">
        <v>113</v>
      </c>
      <c r="CE12" s="347">
        <f>88+133</f>
        <v>221</v>
      </c>
      <c r="CF12" s="766">
        <v>82</v>
      </c>
      <c r="CG12" s="347">
        <f>BI12+BK12+BM12+BO12+BQ12+BS12+BU12+BW12+BY12+CA12+CC12+CE12</f>
        <v>1234</v>
      </c>
      <c r="CH12" s="347">
        <f>+BI12+BK12+BM12+BO12+BQ12+BS12+BU12+BW12+BY12+CA12+CC12+CE12</f>
        <v>1234</v>
      </c>
      <c r="CI12" s="347">
        <f>+BJ12+BL12+BN12+BP12+BR12+BT12+BV12+BX12+BZ12+CB12+CD12+CF12</f>
        <v>1234</v>
      </c>
      <c r="CJ12" s="347">
        <f>BI12+BK12+BM12+BO12+BQ12+BS12+BU12+BW12+BY12+CA12+CC12+CE12</f>
        <v>1234</v>
      </c>
      <c r="CK12" s="347">
        <f>BJ12+BL12+BN12+BP12+BR12+BT12+BV12+BX12+BZ12+CB12+CD12+CF12</f>
        <v>1234</v>
      </c>
      <c r="CL12" s="347">
        <v>1428</v>
      </c>
      <c r="CM12" s="756">
        <v>29</v>
      </c>
      <c r="CN12" s="767">
        <v>29</v>
      </c>
      <c r="CO12" s="756">
        <v>8</v>
      </c>
      <c r="CP12" s="767">
        <v>8</v>
      </c>
      <c r="CQ12" s="756">
        <v>161</v>
      </c>
      <c r="CR12" s="767">
        <v>161</v>
      </c>
      <c r="CS12" s="347">
        <f>132+15</f>
        <v>147</v>
      </c>
      <c r="CT12" s="347">
        <v>174</v>
      </c>
      <c r="CU12" s="347">
        <f>134+15</f>
        <v>149</v>
      </c>
      <c r="CV12" s="350">
        <v>86</v>
      </c>
      <c r="CW12" s="347">
        <f>122+15</f>
        <v>137</v>
      </c>
      <c r="CX12" s="350">
        <v>209</v>
      </c>
      <c r="CY12" s="347">
        <f>104+15</f>
        <v>119</v>
      </c>
      <c r="CZ12" s="350">
        <v>80</v>
      </c>
      <c r="DA12" s="347">
        <f>122+15</f>
        <v>137</v>
      </c>
      <c r="DB12" s="350">
        <v>112</v>
      </c>
      <c r="DC12" s="347">
        <f>133+15</f>
        <v>148</v>
      </c>
      <c r="DD12" s="350">
        <v>107</v>
      </c>
      <c r="DE12" s="347">
        <f>129+15</f>
        <v>144</v>
      </c>
      <c r="DF12" s="350">
        <v>208</v>
      </c>
      <c r="DG12" s="347">
        <f>129+15</f>
        <v>144</v>
      </c>
      <c r="DH12" s="350">
        <v>141</v>
      </c>
      <c r="DI12" s="347">
        <f>92+13+44</f>
        <v>149</v>
      </c>
      <c r="DJ12" s="350">
        <v>157</v>
      </c>
      <c r="DK12" s="347">
        <f>CM12+CO12+CQ12+CS12+CU12+CW12+CY12+DA12+DC12+DE12+DG12+DI12</f>
        <v>1472</v>
      </c>
      <c r="DL12" s="347">
        <f>CM12+CO12+CQ12+CS12+CU12+CW12+CY12+DA12+DC12+DE12+DG12+DI12</f>
        <v>1472</v>
      </c>
      <c r="DM12" s="347">
        <f>CN12+CP12+CR12+CT12+CV12+CX12+CZ12+DB12+DD12+DF12+DH12+DJ12</f>
        <v>1472</v>
      </c>
      <c r="DN12" s="347">
        <f>CM12+CO12+CQ12+CS12+CU12+CW12+CY12+DA12+DC12+DE12+DG12+DI12</f>
        <v>1472</v>
      </c>
      <c r="DO12" s="347">
        <f>CN12+CP12+CR12+CT12+CV12+CX12+CZ12+DB12+DD12+DF12+DH12+DJ12</f>
        <v>1472</v>
      </c>
      <c r="DP12" s="756">
        <f>349-44</f>
        <v>305</v>
      </c>
      <c r="DQ12" s="755">
        <v>12</v>
      </c>
      <c r="DR12" s="755">
        <v>12</v>
      </c>
      <c r="DS12" s="755">
        <f>45+43</f>
        <v>88</v>
      </c>
      <c r="DT12" s="755">
        <v>88</v>
      </c>
      <c r="DU12" s="755">
        <v>49</v>
      </c>
      <c r="DV12" s="755">
        <v>50</v>
      </c>
      <c r="DW12" s="754">
        <v>109</v>
      </c>
      <c r="DX12" s="753">
        <f>29+67</f>
        <v>96</v>
      </c>
      <c r="DY12" s="753">
        <f>74-43</f>
        <v>31</v>
      </c>
      <c r="DZ12" s="753">
        <v>52</v>
      </c>
      <c r="EA12" s="753">
        <v>16</v>
      </c>
      <c r="EB12" s="753"/>
      <c r="EC12" s="755"/>
      <c r="ED12" s="755"/>
      <c r="EE12" s="755"/>
      <c r="EF12" s="755"/>
      <c r="EG12" s="755"/>
      <c r="EH12" s="755"/>
      <c r="EI12" s="755"/>
      <c r="EJ12" s="755"/>
      <c r="EK12" s="755"/>
      <c r="EL12" s="755"/>
      <c r="EM12" s="755"/>
      <c r="EN12" s="755"/>
      <c r="EO12" s="755">
        <f>DQ12+DS12+DU12+DW12+DY12+EA12</f>
        <v>305</v>
      </c>
      <c r="EP12" s="755">
        <f>DQ12+DS12+DU12+DW12+DY12</f>
        <v>289</v>
      </c>
      <c r="EQ12" s="755">
        <f>DR12+DT12+DV12+DX12+DZ12+EB12</f>
        <v>298</v>
      </c>
      <c r="ER12" s="755">
        <f>DQ12+DS12+DU12+DW12+DY12+EA12</f>
        <v>305</v>
      </c>
      <c r="ES12" s="755">
        <f>DR12+DT12+DV12+DX12+DZ12+EB12</f>
        <v>298</v>
      </c>
      <c r="ET12" s="351">
        <f>DZ12/DY12</f>
        <v>1.6774193548387097</v>
      </c>
      <c r="EU12" s="351">
        <f>EQ12/EP12</f>
        <v>1.0311418685121108</v>
      </c>
      <c r="EV12" s="352">
        <f>ES12/ER12</f>
        <v>0.9770491803278688</v>
      </c>
      <c r="EW12" s="374">
        <f>+(AC12+BG12+CK12+DM12+DO12+EQ12)/(AB12+BF12+CJ12+DL12+DN12+EP12)</f>
        <v>1.0009157509157509</v>
      </c>
      <c r="EX12" s="374">
        <f>+(AC12+BG12+CK12+DO12+ES12)/I12</f>
        <v>0.99824999999999997</v>
      </c>
      <c r="EY12" s="752" t="s">
        <v>821</v>
      </c>
      <c r="EZ12" s="751" t="s">
        <v>547</v>
      </c>
      <c r="FA12" s="751" t="s">
        <v>547</v>
      </c>
      <c r="FB12" s="757" t="s">
        <v>320</v>
      </c>
      <c r="FC12" s="750" t="s">
        <v>674</v>
      </c>
    </row>
    <row r="13" spans="1:159" s="50" customFormat="1" ht="117.75" customHeight="1" thickBot="1" x14ac:dyDescent="0.3">
      <c r="A13" s="749">
        <v>2</v>
      </c>
      <c r="B13" s="748">
        <v>35</v>
      </c>
      <c r="C13" s="748">
        <v>269</v>
      </c>
      <c r="D13" s="747" t="s">
        <v>537</v>
      </c>
      <c r="E13" s="748">
        <v>286</v>
      </c>
      <c r="F13" s="747" t="s">
        <v>253</v>
      </c>
      <c r="G13" s="748" t="s">
        <v>254</v>
      </c>
      <c r="H13" s="748" t="s">
        <v>255</v>
      </c>
      <c r="I13" s="815">
        <f>+AC13+BG13+CK13+DO13+DP13</f>
        <v>4700</v>
      </c>
      <c r="J13" s="815">
        <v>426</v>
      </c>
      <c r="K13" s="815"/>
      <c r="L13" s="815"/>
      <c r="M13" s="815"/>
      <c r="N13" s="815"/>
      <c r="O13" s="815"/>
      <c r="P13" s="815"/>
      <c r="Q13" s="815"/>
      <c r="R13" s="815"/>
      <c r="S13" s="815"/>
      <c r="T13" s="815"/>
      <c r="U13" s="815"/>
      <c r="V13" s="815"/>
      <c r="W13" s="815">
        <f>426+65</f>
        <v>491</v>
      </c>
      <c r="X13" s="815">
        <v>491</v>
      </c>
      <c r="Y13" s="746">
        <v>491</v>
      </c>
      <c r="Z13" s="854">
        <v>491</v>
      </c>
      <c r="AA13" s="854">
        <v>491</v>
      </c>
      <c r="AB13" s="854">
        <v>491</v>
      </c>
      <c r="AC13" s="854">
        <v>491</v>
      </c>
      <c r="AD13" s="815">
        <v>893</v>
      </c>
      <c r="AE13" s="815">
        <v>15</v>
      </c>
      <c r="AF13" s="745">
        <v>36</v>
      </c>
      <c r="AG13" s="816">
        <v>18</v>
      </c>
      <c r="AH13" s="745">
        <v>16</v>
      </c>
      <c r="AI13" s="815">
        <v>90</v>
      </c>
      <c r="AJ13" s="745">
        <v>104</v>
      </c>
      <c r="AK13" s="815">
        <v>97</v>
      </c>
      <c r="AL13" s="745">
        <v>116</v>
      </c>
      <c r="AM13" s="815">
        <v>97</v>
      </c>
      <c r="AN13" s="748">
        <v>76</v>
      </c>
      <c r="AO13" s="815">
        <v>97</v>
      </c>
      <c r="AP13" s="748">
        <v>115</v>
      </c>
      <c r="AQ13" s="815">
        <v>97</v>
      </c>
      <c r="AR13" s="745">
        <v>96</v>
      </c>
      <c r="AS13" s="815">
        <v>97</v>
      </c>
      <c r="AT13" s="815">
        <v>102</v>
      </c>
      <c r="AU13" s="815">
        <v>97</v>
      </c>
      <c r="AV13" s="815">
        <v>96</v>
      </c>
      <c r="AW13" s="815">
        <v>97</v>
      </c>
      <c r="AX13" s="815">
        <v>69</v>
      </c>
      <c r="AY13" s="815">
        <v>91</v>
      </c>
      <c r="AZ13" s="815">
        <v>65</v>
      </c>
      <c r="BA13" s="815">
        <v>4</v>
      </c>
      <c r="BB13" s="815">
        <v>6</v>
      </c>
      <c r="BC13" s="759">
        <f>BA13+AY13+AW13+AU13+AS13+AQ13+AO13+AM13+AK13+AI13+AG13+AE13</f>
        <v>897</v>
      </c>
      <c r="BD13" s="759">
        <f>+AE13+AG13+AI13+AK13+AM13+AO13+AQ13+AS13+AU13+AW13+AY13+BA13</f>
        <v>897</v>
      </c>
      <c r="BE13" s="759">
        <f>+AF13+AH13+AJ13+AL13+AN13+AP13+AR13+AT13+AV13+AX13+AZ13+BB13</f>
        <v>897</v>
      </c>
      <c r="BF13" s="759">
        <f>BA13+AY13+AW13+AU13+AS13+AQ13+AO13+AM13+AK13+AI13+AG13+AE13</f>
        <v>897</v>
      </c>
      <c r="BG13" s="759">
        <f>AF13+AH13+AJ13+AL13+AN13+AP13+AR13+AT13+AV13+AX13+AZ13+BB13</f>
        <v>897</v>
      </c>
      <c r="BH13" s="815">
        <v>1272</v>
      </c>
      <c r="BI13" s="759">
        <v>0</v>
      </c>
      <c r="BJ13" s="759">
        <v>11</v>
      </c>
      <c r="BK13" s="759">
        <v>102</v>
      </c>
      <c r="BL13" s="759">
        <v>129</v>
      </c>
      <c r="BM13" s="759">
        <v>130</v>
      </c>
      <c r="BN13" s="759">
        <v>109</v>
      </c>
      <c r="BO13" s="759">
        <v>130</v>
      </c>
      <c r="BP13" s="759">
        <v>115</v>
      </c>
      <c r="BQ13" s="759">
        <v>130</v>
      </c>
      <c r="BR13" s="759">
        <v>194</v>
      </c>
      <c r="BS13" s="759">
        <v>130</v>
      </c>
      <c r="BT13" s="759">
        <v>127</v>
      </c>
      <c r="BU13" s="759">
        <v>130</v>
      </c>
      <c r="BV13" s="759">
        <v>138</v>
      </c>
      <c r="BW13" s="759">
        <v>130</v>
      </c>
      <c r="BX13" s="759">
        <v>117</v>
      </c>
      <c r="BY13" s="759">
        <v>130</v>
      </c>
      <c r="BZ13" s="759">
        <v>142</v>
      </c>
      <c r="CA13" s="759">
        <v>130</v>
      </c>
      <c r="CB13" s="759">
        <v>121</v>
      </c>
      <c r="CC13" s="759">
        <v>130</v>
      </c>
      <c r="CD13" s="759">
        <v>137</v>
      </c>
      <c r="CE13" s="815">
        <v>146</v>
      </c>
      <c r="CF13" s="759">
        <v>78</v>
      </c>
      <c r="CG13" s="815">
        <f>BI13+BK13+BM13+BO13+BQ13+BS13+BU13+BW13+BY13+CA13+CC13+CE13</f>
        <v>1418</v>
      </c>
      <c r="CH13" s="815">
        <f>+BI13+BK13+BM13+BO13+BQ13+BS13+BU13+BW13+BY13+CA13+CC13+CE13</f>
        <v>1418</v>
      </c>
      <c r="CI13" s="815">
        <f>+BJ13+BL13+BN13+BP13+BR13+BT13+BV13+BX13+BZ13+CB13+CD13+CF13</f>
        <v>1418</v>
      </c>
      <c r="CJ13" s="815">
        <f>BI13+BK13+BM13+BO13+BQ13+BS13+BU13+BW13+BY13+CA13+CC13+CE13</f>
        <v>1418</v>
      </c>
      <c r="CK13" s="815">
        <f>BJ13+BL13+BN13+BP13+BR13+BT13+BV13+BX13+BZ13+CB13+CD13+CF13</f>
        <v>1418</v>
      </c>
      <c r="CL13" s="815">
        <v>1585</v>
      </c>
      <c r="CM13" s="759">
        <v>62</v>
      </c>
      <c r="CN13" s="745">
        <v>62</v>
      </c>
      <c r="CO13" s="759">
        <v>77</v>
      </c>
      <c r="CP13" s="745">
        <v>77</v>
      </c>
      <c r="CQ13" s="759">
        <v>102</v>
      </c>
      <c r="CR13" s="745">
        <v>102</v>
      </c>
      <c r="CS13" s="759">
        <v>168</v>
      </c>
      <c r="CT13" s="745">
        <v>120</v>
      </c>
      <c r="CU13" s="759">
        <v>168</v>
      </c>
      <c r="CV13" s="744">
        <v>139</v>
      </c>
      <c r="CW13" s="759">
        <v>168</v>
      </c>
      <c r="CX13" s="744">
        <v>131</v>
      </c>
      <c r="CY13" s="759">
        <v>168</v>
      </c>
      <c r="CZ13" s="743">
        <v>143</v>
      </c>
      <c r="DA13" s="759">
        <v>168</v>
      </c>
      <c r="DB13" s="743">
        <v>167</v>
      </c>
      <c r="DC13" s="759">
        <v>168</v>
      </c>
      <c r="DD13" s="743">
        <v>117</v>
      </c>
      <c r="DE13" s="759">
        <v>168</v>
      </c>
      <c r="DF13" s="743">
        <v>167</v>
      </c>
      <c r="DG13" s="759">
        <v>96</v>
      </c>
      <c r="DH13" s="743">
        <v>143</v>
      </c>
      <c r="DI13" s="759">
        <v>72</v>
      </c>
      <c r="DJ13" s="743">
        <v>113</v>
      </c>
      <c r="DK13" s="815">
        <f>CM13+CO13+CQ13+CS13+CU13+CW13+CY13+DA13+DC13+DE13+DG13+DI13</f>
        <v>1585</v>
      </c>
      <c r="DL13" s="815">
        <f>CM13+CO13+CQ13+CS13+CU13+CW13+CY13+DA13+DC13+DE13+DG13+DI13</f>
        <v>1585</v>
      </c>
      <c r="DM13" s="815">
        <f>CN13+CP13+CR13+CT13+CV13+CX13+CZ13+DB13+DD13+DF13+DH13+DJ13</f>
        <v>1481</v>
      </c>
      <c r="DN13" s="815">
        <f>CM13+CO13+CQ13+CS13+CU13+CW13+CY13+DA13+DC13+DE13+DG13+DI13</f>
        <v>1585</v>
      </c>
      <c r="DO13" s="815">
        <f>CN13+CP13+CR13+CT13+CV13+CX13+CZ13+DB13+DD13+DF13+DH13+DJ13</f>
        <v>1481</v>
      </c>
      <c r="DP13" s="743">
        <f>DQ13+DS13+DU13+DW13+DY13+EA13</f>
        <v>413</v>
      </c>
      <c r="DQ13" s="768">
        <v>19</v>
      </c>
      <c r="DR13" s="768">
        <v>19</v>
      </c>
      <c r="DS13" s="768">
        <v>50</v>
      </c>
      <c r="DT13" s="768">
        <v>11</v>
      </c>
      <c r="DU13" s="768">
        <v>55</v>
      </c>
      <c r="DV13" s="768">
        <v>51</v>
      </c>
      <c r="DW13" s="768">
        <v>84</v>
      </c>
      <c r="DX13" s="742">
        <v>41</v>
      </c>
      <c r="DY13" s="742">
        <v>188</v>
      </c>
      <c r="DZ13" s="742">
        <v>132</v>
      </c>
      <c r="EA13" s="742">
        <v>17</v>
      </c>
      <c r="EB13" s="742"/>
      <c r="EC13" s="768"/>
      <c r="ED13" s="768"/>
      <c r="EE13" s="768"/>
      <c r="EF13" s="768"/>
      <c r="EG13" s="768"/>
      <c r="EH13" s="768"/>
      <c r="EI13" s="768"/>
      <c r="EJ13" s="768"/>
      <c r="EK13" s="768"/>
      <c r="EL13" s="768"/>
      <c r="EM13" s="768"/>
      <c r="EN13" s="768"/>
      <c r="EO13" s="768">
        <f>DQ13+DS13+DU13+DW13+DY13+EA13</f>
        <v>413</v>
      </c>
      <c r="EP13" s="768">
        <f>DQ13+DS13+DU13+DW13+DY13</f>
        <v>396</v>
      </c>
      <c r="EQ13" s="768">
        <f>DR13+DT13+DV13+DX13+DZ13+EB13</f>
        <v>254</v>
      </c>
      <c r="ER13" s="768">
        <f>DQ13+DS13+DU13+DW13+DY13+EA13</f>
        <v>413</v>
      </c>
      <c r="ES13" s="768">
        <f>DR13+DT13+DV13+DX13+DZ13+EB13</f>
        <v>254</v>
      </c>
      <c r="ET13" s="351">
        <f>DZ13/DY13</f>
        <v>0.7021276595744681</v>
      </c>
      <c r="EU13" s="850">
        <f>EQ13/EP13</f>
        <v>0.64141414141414144</v>
      </c>
      <c r="EV13" s="851">
        <f>ES13/ER13</f>
        <v>0.61501210653753025</v>
      </c>
      <c r="EW13" s="852">
        <f>+(AC13+BG13+CK13+DM13+DO13+EQ13)/(AB13+BF13+CJ13+DL13+DN13+EP13)</f>
        <v>0.94507219083490268</v>
      </c>
      <c r="EX13" s="375">
        <f>+(AC13+BG13+CK13+DO13+ES13)/I13</f>
        <v>0.96617021276595749</v>
      </c>
      <c r="EY13" s="760" t="s">
        <v>819</v>
      </c>
      <c r="EZ13" s="760" t="s">
        <v>784</v>
      </c>
      <c r="FA13" s="751" t="s">
        <v>547</v>
      </c>
      <c r="FB13" s="747" t="s">
        <v>321</v>
      </c>
      <c r="FC13" s="741" t="s">
        <v>675</v>
      </c>
    </row>
    <row r="14" spans="1:159" s="50" customFormat="1" ht="117.75" customHeight="1" thickBot="1" x14ac:dyDescent="0.3">
      <c r="A14" s="749">
        <v>2</v>
      </c>
      <c r="B14" s="748">
        <v>35</v>
      </c>
      <c r="C14" s="748">
        <v>270</v>
      </c>
      <c r="D14" s="747" t="s">
        <v>257</v>
      </c>
      <c r="E14" s="748">
        <v>287</v>
      </c>
      <c r="F14" s="747" t="s">
        <v>258</v>
      </c>
      <c r="G14" s="748" t="s">
        <v>259</v>
      </c>
      <c r="H14" s="748" t="s">
        <v>260</v>
      </c>
      <c r="I14" s="817">
        <f>+J14</f>
        <v>1</v>
      </c>
      <c r="J14" s="817">
        <v>1</v>
      </c>
      <c r="K14" s="817"/>
      <c r="L14" s="817"/>
      <c r="M14" s="817"/>
      <c r="N14" s="817"/>
      <c r="O14" s="817"/>
      <c r="P14" s="817"/>
      <c r="Q14" s="817"/>
      <c r="R14" s="817"/>
      <c r="S14" s="817"/>
      <c r="T14" s="817"/>
      <c r="U14" s="817"/>
      <c r="V14" s="817"/>
      <c r="W14" s="817">
        <v>1</v>
      </c>
      <c r="X14" s="817">
        <v>1</v>
      </c>
      <c r="Y14" s="740">
        <v>1</v>
      </c>
      <c r="Z14" s="740">
        <v>1</v>
      </c>
      <c r="AA14" s="740">
        <v>1</v>
      </c>
      <c r="AB14" s="740">
        <v>1</v>
      </c>
      <c r="AC14" s="740">
        <v>1</v>
      </c>
      <c r="AD14" s="817">
        <v>1</v>
      </c>
      <c r="AE14" s="817">
        <v>1</v>
      </c>
      <c r="AF14" s="817">
        <v>1</v>
      </c>
      <c r="AG14" s="817">
        <v>1</v>
      </c>
      <c r="AH14" s="817">
        <v>1</v>
      </c>
      <c r="AI14" s="817">
        <v>1</v>
      </c>
      <c r="AJ14" s="817">
        <v>1</v>
      </c>
      <c r="AK14" s="817">
        <v>1</v>
      </c>
      <c r="AL14" s="817">
        <v>1</v>
      </c>
      <c r="AM14" s="817">
        <v>1</v>
      </c>
      <c r="AN14" s="817">
        <v>1</v>
      </c>
      <c r="AO14" s="817">
        <v>1</v>
      </c>
      <c r="AP14" s="817">
        <v>1</v>
      </c>
      <c r="AQ14" s="817">
        <v>1</v>
      </c>
      <c r="AR14" s="855">
        <v>1</v>
      </c>
      <c r="AS14" s="817">
        <v>1</v>
      </c>
      <c r="AT14" s="855">
        <v>1</v>
      </c>
      <c r="AU14" s="817">
        <v>1</v>
      </c>
      <c r="AV14" s="855">
        <v>1</v>
      </c>
      <c r="AW14" s="817">
        <v>1</v>
      </c>
      <c r="AX14" s="855">
        <v>1</v>
      </c>
      <c r="AY14" s="817">
        <v>1</v>
      </c>
      <c r="AZ14" s="855">
        <v>1</v>
      </c>
      <c r="BA14" s="817">
        <v>1</v>
      </c>
      <c r="BB14" s="855">
        <v>1</v>
      </c>
      <c r="BC14" s="856">
        <f>+AD14</f>
        <v>1</v>
      </c>
      <c r="BD14" s="856">
        <f>+BA14</f>
        <v>1</v>
      </c>
      <c r="BE14" s="856">
        <f>+BB14</f>
        <v>1</v>
      </c>
      <c r="BF14" s="856">
        <f>+AD14</f>
        <v>1</v>
      </c>
      <c r="BG14" s="856">
        <f>+BB14</f>
        <v>1</v>
      </c>
      <c r="BH14" s="817">
        <v>1</v>
      </c>
      <c r="BI14" s="817">
        <v>1</v>
      </c>
      <c r="BJ14" s="817">
        <v>1</v>
      </c>
      <c r="BK14" s="817">
        <v>1</v>
      </c>
      <c r="BL14" s="817">
        <v>1</v>
      </c>
      <c r="BM14" s="817">
        <v>1</v>
      </c>
      <c r="BN14" s="817">
        <v>1</v>
      </c>
      <c r="BO14" s="817">
        <v>1</v>
      </c>
      <c r="BP14" s="817">
        <v>1</v>
      </c>
      <c r="BQ14" s="817">
        <v>1</v>
      </c>
      <c r="BR14" s="817">
        <v>1</v>
      </c>
      <c r="BS14" s="817">
        <v>1</v>
      </c>
      <c r="BT14" s="817">
        <v>1</v>
      </c>
      <c r="BU14" s="817">
        <v>1</v>
      </c>
      <c r="BV14" s="817">
        <v>1</v>
      </c>
      <c r="BW14" s="817">
        <v>1</v>
      </c>
      <c r="BX14" s="817">
        <v>1</v>
      </c>
      <c r="BY14" s="817">
        <v>1</v>
      </c>
      <c r="BZ14" s="817">
        <v>1</v>
      </c>
      <c r="CA14" s="817">
        <v>1</v>
      </c>
      <c r="CB14" s="817">
        <v>1</v>
      </c>
      <c r="CC14" s="817">
        <v>1</v>
      </c>
      <c r="CD14" s="817">
        <v>1</v>
      </c>
      <c r="CE14" s="817">
        <v>1</v>
      </c>
      <c r="CF14" s="817">
        <v>1</v>
      </c>
      <c r="CG14" s="817">
        <f>BH14</f>
        <v>1</v>
      </c>
      <c r="CH14" s="817">
        <f>+CC14</f>
        <v>1</v>
      </c>
      <c r="CI14" s="817">
        <f>+CD14</f>
        <v>1</v>
      </c>
      <c r="CJ14" s="817">
        <f>+BH14</f>
        <v>1</v>
      </c>
      <c r="CK14" s="817">
        <f>+CD14</f>
        <v>1</v>
      </c>
      <c r="CL14" s="817">
        <v>1</v>
      </c>
      <c r="CM14" s="817">
        <v>1</v>
      </c>
      <c r="CN14" s="817">
        <v>1</v>
      </c>
      <c r="CO14" s="817">
        <v>1</v>
      </c>
      <c r="CP14" s="817">
        <v>1</v>
      </c>
      <c r="CQ14" s="817">
        <v>1</v>
      </c>
      <c r="CR14" s="817">
        <v>1</v>
      </c>
      <c r="CS14" s="817">
        <v>1</v>
      </c>
      <c r="CT14" s="817">
        <v>1</v>
      </c>
      <c r="CU14" s="817">
        <v>1</v>
      </c>
      <c r="CV14" s="853">
        <v>1</v>
      </c>
      <c r="CW14" s="817">
        <v>1</v>
      </c>
      <c r="CX14" s="853">
        <v>1</v>
      </c>
      <c r="CY14" s="817">
        <v>1</v>
      </c>
      <c r="CZ14" s="853">
        <v>1</v>
      </c>
      <c r="DA14" s="817">
        <v>1</v>
      </c>
      <c r="DB14" s="853">
        <v>1</v>
      </c>
      <c r="DC14" s="817">
        <v>1</v>
      </c>
      <c r="DD14" s="853">
        <v>1</v>
      </c>
      <c r="DE14" s="817">
        <v>1</v>
      </c>
      <c r="DF14" s="853">
        <v>1</v>
      </c>
      <c r="DG14" s="817">
        <v>1</v>
      </c>
      <c r="DH14" s="853">
        <v>1</v>
      </c>
      <c r="DI14" s="817">
        <v>1</v>
      </c>
      <c r="DJ14" s="853">
        <v>1</v>
      </c>
      <c r="DK14" s="817">
        <f>DA14</f>
        <v>1</v>
      </c>
      <c r="DL14" s="817">
        <f t="shared" ref="DL14:DM16" si="0">DI14</f>
        <v>1</v>
      </c>
      <c r="DM14" s="817">
        <f t="shared" si="0"/>
        <v>1</v>
      </c>
      <c r="DN14" s="817">
        <f>+CS14</f>
        <v>1</v>
      </c>
      <c r="DO14" s="817">
        <f>DF14</f>
        <v>1</v>
      </c>
      <c r="DP14" s="817">
        <v>1</v>
      </c>
      <c r="DQ14" s="739">
        <v>1</v>
      </c>
      <c r="DR14" s="739">
        <v>1</v>
      </c>
      <c r="DS14" s="739">
        <v>1</v>
      </c>
      <c r="DT14" s="739">
        <v>1</v>
      </c>
      <c r="DU14" s="739">
        <v>1</v>
      </c>
      <c r="DV14" s="739">
        <v>1</v>
      </c>
      <c r="DW14" s="739">
        <v>1</v>
      </c>
      <c r="DX14" s="315">
        <v>1</v>
      </c>
      <c r="DY14" s="315">
        <v>1</v>
      </c>
      <c r="DZ14" s="315">
        <v>1</v>
      </c>
      <c r="EA14" s="315">
        <v>1</v>
      </c>
      <c r="EB14" s="738"/>
      <c r="EC14" s="737"/>
      <c r="ED14" s="737"/>
      <c r="EE14" s="737"/>
      <c r="EF14" s="737"/>
      <c r="EG14" s="737"/>
      <c r="EH14" s="737"/>
      <c r="EI14" s="768"/>
      <c r="EJ14" s="768"/>
      <c r="EK14" s="768"/>
      <c r="EL14" s="768"/>
      <c r="EM14" s="768"/>
      <c r="EN14" s="768"/>
      <c r="EO14" s="316">
        <f>DY14</f>
        <v>1</v>
      </c>
      <c r="EP14" s="316">
        <f>DY14</f>
        <v>1</v>
      </c>
      <c r="EQ14" s="316">
        <f>DZ14</f>
        <v>1</v>
      </c>
      <c r="ER14" s="316">
        <f>EO14</f>
        <v>1</v>
      </c>
      <c r="ES14" s="316">
        <f>DX14</f>
        <v>1</v>
      </c>
      <c r="ET14" s="351">
        <f>DZ14/DY14</f>
        <v>1</v>
      </c>
      <c r="EU14" s="850">
        <f>EQ14/EP14</f>
        <v>1</v>
      </c>
      <c r="EV14" s="851">
        <f>ES14/ER14</f>
        <v>1</v>
      </c>
      <c r="EW14" s="852">
        <f>+(AC14+BG14+CK14+DM14+DO14+EQ14)/(AB14+BF14+CJ14+DL14+DN14+EP14)</f>
        <v>1</v>
      </c>
      <c r="EX14" s="375">
        <f>+(AC14+BG14+CK14+DO14+ES14)/500%</f>
        <v>1</v>
      </c>
      <c r="EY14" s="760" t="s">
        <v>820</v>
      </c>
      <c r="EZ14" s="751" t="s">
        <v>547</v>
      </c>
      <c r="FA14" s="751" t="s">
        <v>547</v>
      </c>
      <c r="FB14" s="747" t="s">
        <v>322</v>
      </c>
      <c r="FC14" s="741" t="s">
        <v>676</v>
      </c>
    </row>
    <row r="15" spans="1:159" s="50" customFormat="1" ht="117.75" customHeight="1" thickBot="1" x14ac:dyDescent="0.3">
      <c r="A15" s="749">
        <v>2</v>
      </c>
      <c r="B15" s="748">
        <v>35</v>
      </c>
      <c r="C15" s="748">
        <v>272</v>
      </c>
      <c r="D15" s="747" t="s">
        <v>538</v>
      </c>
      <c r="E15" s="748">
        <v>289</v>
      </c>
      <c r="F15" s="747" t="s">
        <v>262</v>
      </c>
      <c r="G15" s="748" t="s">
        <v>263</v>
      </c>
      <c r="H15" s="818" t="s">
        <v>264</v>
      </c>
      <c r="I15" s="818">
        <v>33.9</v>
      </c>
      <c r="J15" s="817" t="s">
        <v>266</v>
      </c>
      <c r="K15" s="819"/>
      <c r="L15" s="819"/>
      <c r="M15" s="819"/>
      <c r="N15" s="819"/>
      <c r="O15" s="819"/>
      <c r="P15" s="819"/>
      <c r="Q15" s="819"/>
      <c r="R15" s="819"/>
      <c r="S15" s="819"/>
      <c r="T15" s="819"/>
      <c r="U15" s="819"/>
      <c r="V15" s="819"/>
      <c r="W15" s="819"/>
      <c r="X15" s="819" t="s">
        <v>265</v>
      </c>
      <c r="Y15" s="817" t="s">
        <v>266</v>
      </c>
      <c r="Z15" s="817" t="s">
        <v>266</v>
      </c>
      <c r="AA15" s="817" t="s">
        <v>266</v>
      </c>
      <c r="AB15" s="817" t="s">
        <v>266</v>
      </c>
      <c r="AC15" s="817" t="s">
        <v>266</v>
      </c>
      <c r="AD15" s="819">
        <v>37.799999999999997</v>
      </c>
      <c r="AE15" s="819">
        <v>37.799999999999997</v>
      </c>
      <c r="AF15" s="819">
        <v>37</v>
      </c>
      <c r="AG15" s="819">
        <v>37.799999999999997</v>
      </c>
      <c r="AH15" s="819">
        <v>36</v>
      </c>
      <c r="AI15" s="819">
        <v>37.799999999999997</v>
      </c>
      <c r="AJ15" s="819">
        <v>34</v>
      </c>
      <c r="AK15" s="819">
        <v>37.799999999999997</v>
      </c>
      <c r="AL15" s="820">
        <v>34</v>
      </c>
      <c r="AM15" s="819">
        <v>37.799999999999997</v>
      </c>
      <c r="AN15" s="857">
        <v>34.4</v>
      </c>
      <c r="AO15" s="819">
        <v>37.799999999999997</v>
      </c>
      <c r="AP15" s="857">
        <v>34.4</v>
      </c>
      <c r="AQ15" s="819">
        <v>37.799999999999997</v>
      </c>
      <c r="AR15" s="858">
        <v>34.5</v>
      </c>
      <c r="AS15" s="819">
        <v>37.799999999999997</v>
      </c>
      <c r="AT15" s="858">
        <v>34.4</v>
      </c>
      <c r="AU15" s="819">
        <v>37.799999999999997</v>
      </c>
      <c r="AV15" s="858">
        <v>34.4</v>
      </c>
      <c r="AW15" s="819">
        <v>37.799999999999997</v>
      </c>
      <c r="AX15" s="858">
        <v>34.700000000000003</v>
      </c>
      <c r="AY15" s="819">
        <v>37.799999999999997</v>
      </c>
      <c r="AZ15" s="858">
        <v>34.700000000000003</v>
      </c>
      <c r="BA15" s="819">
        <v>37.799999999999997</v>
      </c>
      <c r="BB15" s="858">
        <v>35.4</v>
      </c>
      <c r="BC15" s="859">
        <f>+AD15</f>
        <v>37.799999999999997</v>
      </c>
      <c r="BD15" s="819">
        <v>35.4</v>
      </c>
      <c r="BE15" s="859">
        <f>+BB15</f>
        <v>35.4</v>
      </c>
      <c r="BF15" s="859">
        <f>+AD15</f>
        <v>37.799999999999997</v>
      </c>
      <c r="BG15" s="859">
        <f>+BB15</f>
        <v>35.4</v>
      </c>
      <c r="BH15" s="819">
        <v>36.9</v>
      </c>
      <c r="BI15" s="819">
        <v>36.9</v>
      </c>
      <c r="BJ15" s="819">
        <v>35.799999999999997</v>
      </c>
      <c r="BK15" s="819">
        <v>36.9</v>
      </c>
      <c r="BL15" s="819">
        <v>35.799999999999997</v>
      </c>
      <c r="BM15" s="819">
        <v>36.9</v>
      </c>
      <c r="BN15" s="819">
        <v>35.6</v>
      </c>
      <c r="BO15" s="819">
        <v>36.9</v>
      </c>
      <c r="BP15" s="819">
        <v>35.700000000000003</v>
      </c>
      <c r="BQ15" s="819">
        <v>36.9</v>
      </c>
      <c r="BR15" s="819">
        <v>36.200000000000003</v>
      </c>
      <c r="BS15" s="819">
        <v>36.9</v>
      </c>
      <c r="BT15" s="819">
        <v>36.6</v>
      </c>
      <c r="BU15" s="819">
        <v>36.9</v>
      </c>
      <c r="BV15" s="819">
        <v>37.1</v>
      </c>
      <c r="BW15" s="819">
        <v>36.9</v>
      </c>
      <c r="BX15" s="819">
        <v>37.299999999999997</v>
      </c>
      <c r="BY15" s="819">
        <v>36.9</v>
      </c>
      <c r="BZ15" s="819">
        <v>37.700000000000003</v>
      </c>
      <c r="CA15" s="819">
        <v>36.9</v>
      </c>
      <c r="CB15" s="819">
        <v>37.6</v>
      </c>
      <c r="CC15" s="819">
        <v>36.9</v>
      </c>
      <c r="CD15" s="819">
        <v>37.5</v>
      </c>
      <c r="CE15" s="819">
        <v>36.9</v>
      </c>
      <c r="CF15" s="819">
        <v>37.1</v>
      </c>
      <c r="CG15" s="818">
        <f>BH15</f>
        <v>36.9</v>
      </c>
      <c r="CH15" s="818">
        <f>+CE15</f>
        <v>36.9</v>
      </c>
      <c r="CI15" s="818">
        <f>+CF15</f>
        <v>37.1</v>
      </c>
      <c r="CJ15" s="818">
        <f>+BH15</f>
        <v>36.9</v>
      </c>
      <c r="CK15" s="818">
        <f>+CF15</f>
        <v>37.1</v>
      </c>
      <c r="CL15" s="819">
        <v>34.700000000000003</v>
      </c>
      <c r="CM15" s="819">
        <v>34.700000000000003</v>
      </c>
      <c r="CN15" s="819">
        <v>36.700000000000003</v>
      </c>
      <c r="CO15" s="819">
        <v>34.700000000000003</v>
      </c>
      <c r="CP15" s="819">
        <v>37.200000000000003</v>
      </c>
      <c r="CQ15" s="819">
        <v>34.700000000000003</v>
      </c>
      <c r="CR15" s="819">
        <v>37.5</v>
      </c>
      <c r="CS15" s="819">
        <v>34.700000000000003</v>
      </c>
      <c r="CT15" s="819">
        <v>37.799999999999997</v>
      </c>
      <c r="CU15" s="819">
        <v>34.700000000000003</v>
      </c>
      <c r="CV15" s="862">
        <v>37.700000000000003</v>
      </c>
      <c r="CW15" s="819">
        <v>34.700000000000003</v>
      </c>
      <c r="CX15" s="862">
        <v>36.6</v>
      </c>
      <c r="CY15" s="819">
        <v>34.700000000000003</v>
      </c>
      <c r="CZ15" s="862">
        <v>36</v>
      </c>
      <c r="DA15" s="819">
        <v>34.700000000000003</v>
      </c>
      <c r="DB15" s="862">
        <v>35.700000000000003</v>
      </c>
      <c r="DC15" s="819">
        <v>34.700000000000003</v>
      </c>
      <c r="DD15" s="862">
        <v>35.700000000000003</v>
      </c>
      <c r="DE15" s="819">
        <v>34.700000000000003</v>
      </c>
      <c r="DF15" s="862">
        <v>35.200000000000003</v>
      </c>
      <c r="DG15" s="819">
        <v>34.700000000000003</v>
      </c>
      <c r="DH15" s="862">
        <v>35.299999999999997</v>
      </c>
      <c r="DI15" s="819">
        <v>34.700000000000003</v>
      </c>
      <c r="DJ15" s="862">
        <v>34.9</v>
      </c>
      <c r="DK15" s="818">
        <f>CL15</f>
        <v>34.700000000000003</v>
      </c>
      <c r="DL15" s="818">
        <f t="shared" si="0"/>
        <v>34.700000000000003</v>
      </c>
      <c r="DM15" s="818">
        <f>DJ15</f>
        <v>34.9</v>
      </c>
      <c r="DN15" s="818">
        <f>CL15</f>
        <v>34.700000000000003</v>
      </c>
      <c r="DO15" s="818">
        <f>DJ15</f>
        <v>34.9</v>
      </c>
      <c r="DP15" s="862">
        <v>33.9</v>
      </c>
      <c r="DQ15" s="871">
        <v>33.9</v>
      </c>
      <c r="DR15" s="871">
        <v>34.9</v>
      </c>
      <c r="DS15" s="871">
        <v>33.9</v>
      </c>
      <c r="DT15" s="871">
        <v>35.4</v>
      </c>
      <c r="DU15" s="736">
        <v>33.9</v>
      </c>
      <c r="DV15" s="736">
        <v>36.5</v>
      </c>
      <c r="DW15" s="871">
        <v>33.9</v>
      </c>
      <c r="DX15" s="865">
        <v>36.5</v>
      </c>
      <c r="DY15" s="865">
        <v>33.9</v>
      </c>
      <c r="DZ15" s="865">
        <v>37.4</v>
      </c>
      <c r="EA15" s="865">
        <v>33.9</v>
      </c>
      <c r="EB15" s="371"/>
      <c r="EC15" s="860"/>
      <c r="ED15" s="860"/>
      <c r="EE15" s="860"/>
      <c r="EF15" s="860"/>
      <c r="EG15" s="860"/>
      <c r="EH15" s="860"/>
      <c r="EI15" s="860"/>
      <c r="EJ15" s="860"/>
      <c r="EK15" s="860"/>
      <c r="EL15" s="860"/>
      <c r="EM15" s="860"/>
      <c r="EN15" s="860"/>
      <c r="EO15" s="869">
        <f>EA15</f>
        <v>33.9</v>
      </c>
      <c r="EP15" s="737">
        <f>EO15</f>
        <v>33.9</v>
      </c>
      <c r="EQ15" s="872">
        <f>DZ15</f>
        <v>37.4</v>
      </c>
      <c r="ER15" s="769">
        <f>EO15</f>
        <v>33.9</v>
      </c>
      <c r="ES15" s="872">
        <f>EQ15</f>
        <v>37.4</v>
      </c>
      <c r="ET15" s="351">
        <f>DZ15/DY15</f>
        <v>1.1032448377581121</v>
      </c>
      <c r="EU15" s="850">
        <f>EQ15/EP15</f>
        <v>1.1032448377581121</v>
      </c>
      <c r="EV15" s="850">
        <f>(38.3-ES15)/(38.3-ER15)</f>
        <v>0.20454545454545428</v>
      </c>
      <c r="EW15" s="850">
        <f>(38.3-EQ15)/(38.3-EP15)</f>
        <v>0.20454545454545428</v>
      </c>
      <c r="EX15" s="817">
        <f>(38.3-ES15)/(38.3-I15)</f>
        <v>0.20454545454545428</v>
      </c>
      <c r="EY15" s="770" t="s">
        <v>816</v>
      </c>
      <c r="EZ15" s="751" t="s">
        <v>547</v>
      </c>
      <c r="FA15" s="751" t="s">
        <v>547</v>
      </c>
      <c r="FB15" s="747" t="s">
        <v>323</v>
      </c>
      <c r="FC15" s="735" t="s">
        <v>673</v>
      </c>
    </row>
    <row r="16" spans="1:159" s="50" customFormat="1" ht="117.75" customHeight="1" thickBot="1" x14ac:dyDescent="0.3">
      <c r="A16" s="734">
        <v>2</v>
      </c>
      <c r="B16" s="733">
        <v>35</v>
      </c>
      <c r="C16" s="733">
        <v>272</v>
      </c>
      <c r="D16" s="732" t="s">
        <v>261</v>
      </c>
      <c r="E16" s="733">
        <v>661</v>
      </c>
      <c r="F16" s="732" t="s">
        <v>560</v>
      </c>
      <c r="G16" s="733" t="s">
        <v>263</v>
      </c>
      <c r="H16" s="353" t="s">
        <v>264</v>
      </c>
      <c r="I16" s="353">
        <v>17.3</v>
      </c>
      <c r="J16" s="354" t="s">
        <v>266</v>
      </c>
      <c r="K16" s="355"/>
      <c r="L16" s="355"/>
      <c r="M16" s="355"/>
      <c r="N16" s="355"/>
      <c r="O16" s="355"/>
      <c r="P16" s="355"/>
      <c r="Q16" s="355"/>
      <c r="R16" s="355"/>
      <c r="S16" s="355"/>
      <c r="T16" s="355"/>
      <c r="U16" s="355"/>
      <c r="V16" s="355"/>
      <c r="W16" s="355"/>
      <c r="X16" s="355" t="s">
        <v>265</v>
      </c>
      <c r="Y16" s="354" t="s">
        <v>266</v>
      </c>
      <c r="Z16" s="354" t="s">
        <v>266</v>
      </c>
      <c r="AA16" s="354" t="s">
        <v>266</v>
      </c>
      <c r="AB16" s="354" t="s">
        <v>266</v>
      </c>
      <c r="AC16" s="354" t="s">
        <v>266</v>
      </c>
      <c r="AD16" s="355">
        <v>19.5</v>
      </c>
      <c r="AE16" s="355">
        <v>19.5</v>
      </c>
      <c r="AF16" s="355">
        <v>16</v>
      </c>
      <c r="AG16" s="355">
        <v>19.5</v>
      </c>
      <c r="AH16" s="355">
        <v>18</v>
      </c>
      <c r="AI16" s="355">
        <v>19.5</v>
      </c>
      <c r="AJ16" s="355">
        <v>17</v>
      </c>
      <c r="AK16" s="355">
        <v>19.5</v>
      </c>
      <c r="AL16" s="356">
        <v>17</v>
      </c>
      <c r="AM16" s="355">
        <v>19.5</v>
      </c>
      <c r="AN16" s="733">
        <v>17</v>
      </c>
      <c r="AO16" s="355">
        <v>19.5</v>
      </c>
      <c r="AP16" s="733">
        <v>17.3</v>
      </c>
      <c r="AQ16" s="355">
        <v>19.5</v>
      </c>
      <c r="AR16" s="731">
        <v>17.3</v>
      </c>
      <c r="AS16" s="355">
        <v>19.5</v>
      </c>
      <c r="AT16" s="771">
        <v>17.5</v>
      </c>
      <c r="AU16" s="355">
        <v>19.5</v>
      </c>
      <c r="AV16" s="771">
        <v>17.600000000000001</v>
      </c>
      <c r="AW16" s="355">
        <v>19.5</v>
      </c>
      <c r="AX16" s="771">
        <v>18.100000000000001</v>
      </c>
      <c r="AY16" s="355">
        <v>19.5</v>
      </c>
      <c r="AZ16" s="771">
        <v>18.100000000000001</v>
      </c>
      <c r="BA16" s="355">
        <v>19.5</v>
      </c>
      <c r="BB16" s="771">
        <v>18.3</v>
      </c>
      <c r="BC16" s="357">
        <f>+AD16</f>
        <v>19.5</v>
      </c>
      <c r="BD16" s="355">
        <v>18.3</v>
      </c>
      <c r="BE16" s="357">
        <f>+BB16</f>
        <v>18.3</v>
      </c>
      <c r="BF16" s="357">
        <f>+AD16</f>
        <v>19.5</v>
      </c>
      <c r="BG16" s="357">
        <f>+BB16</f>
        <v>18.3</v>
      </c>
      <c r="BH16" s="355">
        <v>19</v>
      </c>
      <c r="BI16" s="355">
        <v>19</v>
      </c>
      <c r="BJ16" s="355">
        <v>18.5</v>
      </c>
      <c r="BK16" s="355">
        <v>19</v>
      </c>
      <c r="BL16" s="355">
        <v>18.7</v>
      </c>
      <c r="BM16" s="355">
        <v>19</v>
      </c>
      <c r="BN16" s="355">
        <v>18.5</v>
      </c>
      <c r="BO16" s="355">
        <v>19</v>
      </c>
      <c r="BP16" s="355">
        <v>18.600000000000001</v>
      </c>
      <c r="BQ16" s="355">
        <v>19</v>
      </c>
      <c r="BR16" s="355">
        <v>18.7</v>
      </c>
      <c r="BS16" s="355">
        <v>19</v>
      </c>
      <c r="BT16" s="355">
        <v>18.8</v>
      </c>
      <c r="BU16" s="355">
        <v>19</v>
      </c>
      <c r="BV16" s="355">
        <v>19</v>
      </c>
      <c r="BW16" s="355">
        <v>19</v>
      </c>
      <c r="BX16" s="355">
        <v>19</v>
      </c>
      <c r="BY16" s="355">
        <v>19</v>
      </c>
      <c r="BZ16" s="355">
        <v>19.399999999999999</v>
      </c>
      <c r="CA16" s="355">
        <v>19</v>
      </c>
      <c r="CB16" s="355">
        <v>19.3</v>
      </c>
      <c r="CC16" s="355">
        <v>19</v>
      </c>
      <c r="CD16" s="355">
        <v>19.100000000000001</v>
      </c>
      <c r="CE16" s="355">
        <v>19</v>
      </c>
      <c r="CF16" s="355">
        <v>19.100000000000001</v>
      </c>
      <c r="CG16" s="353">
        <f>BH16</f>
        <v>19</v>
      </c>
      <c r="CH16" s="353">
        <f>+CE16</f>
        <v>19</v>
      </c>
      <c r="CI16" s="353">
        <f>+CF16</f>
        <v>19.100000000000001</v>
      </c>
      <c r="CJ16" s="353">
        <f>+BH16</f>
        <v>19</v>
      </c>
      <c r="CK16" s="353">
        <f>+CF16</f>
        <v>19.100000000000001</v>
      </c>
      <c r="CL16" s="355">
        <v>17.8</v>
      </c>
      <c r="CM16" s="355">
        <v>17.8</v>
      </c>
      <c r="CN16" s="355">
        <v>19.2</v>
      </c>
      <c r="CO16" s="355">
        <v>17.8</v>
      </c>
      <c r="CP16" s="355">
        <v>19.399999999999999</v>
      </c>
      <c r="CQ16" s="355">
        <v>17.8</v>
      </c>
      <c r="CR16" s="355">
        <v>19.7</v>
      </c>
      <c r="CS16" s="355">
        <v>17.8</v>
      </c>
      <c r="CT16" s="355">
        <v>19.8</v>
      </c>
      <c r="CU16" s="355">
        <v>17.8</v>
      </c>
      <c r="CV16" s="358">
        <v>19.7</v>
      </c>
      <c r="CW16" s="355">
        <v>17.8</v>
      </c>
      <c r="CX16" s="358">
        <v>19.3</v>
      </c>
      <c r="CY16" s="355">
        <v>17.8</v>
      </c>
      <c r="CZ16" s="358">
        <v>19</v>
      </c>
      <c r="DA16" s="355">
        <v>17.8</v>
      </c>
      <c r="DB16" s="358">
        <v>18.8</v>
      </c>
      <c r="DC16" s="355">
        <v>17.8</v>
      </c>
      <c r="DD16" s="358">
        <v>18.8</v>
      </c>
      <c r="DE16" s="355">
        <v>17.8</v>
      </c>
      <c r="DF16" s="358">
        <v>18.3</v>
      </c>
      <c r="DG16" s="355">
        <v>17.8</v>
      </c>
      <c r="DH16" s="358">
        <v>18.399999999999999</v>
      </c>
      <c r="DI16" s="355">
        <v>17.8</v>
      </c>
      <c r="DJ16" s="358">
        <v>17.899999999999999</v>
      </c>
      <c r="DK16" s="353">
        <f>CL16</f>
        <v>17.8</v>
      </c>
      <c r="DL16" s="353">
        <f t="shared" si="0"/>
        <v>17.8</v>
      </c>
      <c r="DM16" s="353">
        <f t="shared" si="0"/>
        <v>17.899999999999999</v>
      </c>
      <c r="DN16" s="353">
        <f>CL16</f>
        <v>17.8</v>
      </c>
      <c r="DO16" s="353">
        <f>DJ16</f>
        <v>17.899999999999999</v>
      </c>
      <c r="DP16" s="358">
        <v>17.3</v>
      </c>
      <c r="DQ16" s="771">
        <v>17.3</v>
      </c>
      <c r="DR16" s="772">
        <v>17.899999999999999</v>
      </c>
      <c r="DS16" s="771">
        <v>17.3</v>
      </c>
      <c r="DT16" s="771">
        <v>17.899999999999999</v>
      </c>
      <c r="DU16" s="773">
        <v>17.3</v>
      </c>
      <c r="DV16" s="773">
        <v>18.2</v>
      </c>
      <c r="DW16" s="771">
        <v>17.3</v>
      </c>
      <c r="DX16" s="730">
        <v>18.2</v>
      </c>
      <c r="DY16" s="729">
        <v>17.3</v>
      </c>
      <c r="DZ16" s="729">
        <v>18.399999999999999</v>
      </c>
      <c r="EA16" s="729">
        <v>17.3</v>
      </c>
      <c r="EB16" s="729"/>
      <c r="EC16" s="771"/>
      <c r="ED16" s="771"/>
      <c r="EE16" s="771"/>
      <c r="EF16" s="771"/>
      <c r="EG16" s="771"/>
      <c r="EH16" s="771"/>
      <c r="EI16" s="771"/>
      <c r="EJ16" s="771"/>
      <c r="EK16" s="771"/>
      <c r="EL16" s="771"/>
      <c r="EM16" s="771"/>
      <c r="EN16" s="771"/>
      <c r="EO16" s="359">
        <f>EA16</f>
        <v>17.3</v>
      </c>
      <c r="EP16" s="737">
        <f>EO16</f>
        <v>17.3</v>
      </c>
      <c r="EQ16" s="728">
        <f>DZ16</f>
        <v>18.399999999999999</v>
      </c>
      <c r="ER16" s="727">
        <f>EO16</f>
        <v>17.3</v>
      </c>
      <c r="ES16" s="872">
        <f>EQ16</f>
        <v>18.399999999999999</v>
      </c>
      <c r="ET16" s="351">
        <f>DZ16/DY16</f>
        <v>1.0635838150289016</v>
      </c>
      <c r="EU16" s="360">
        <f>EQ16/EP16</f>
        <v>1.0635838150289016</v>
      </c>
      <c r="EV16" s="360">
        <f>(19.7-ES16)/(19.7-ER16)</f>
        <v>0.5416666666666673</v>
      </c>
      <c r="EW16" s="360">
        <f>(19.7-EQ16)/(19.7-EP16)</f>
        <v>0.5416666666666673</v>
      </c>
      <c r="EX16" s="354">
        <f>(19.7-ES16)/(19.7-I16)</f>
        <v>0.5416666666666673</v>
      </c>
      <c r="EY16" s="726" t="s">
        <v>817</v>
      </c>
      <c r="EZ16" s="725" t="s">
        <v>547</v>
      </c>
      <c r="FA16" s="725" t="s">
        <v>547</v>
      </c>
      <c r="FB16" s="732" t="s">
        <v>323</v>
      </c>
      <c r="FC16" s="724" t="s">
        <v>673</v>
      </c>
    </row>
    <row r="17" spans="1:159" s="50" customFormat="1" ht="33.75" customHeight="1" x14ac:dyDescent="0.25">
      <c r="A17" s="121"/>
      <c r="B17" s="121"/>
      <c r="C17" s="121"/>
      <c r="D17" s="122"/>
      <c r="E17" s="121"/>
      <c r="F17" s="122"/>
      <c r="G17" s="121"/>
      <c r="H17" s="123"/>
      <c r="I17" s="123"/>
      <c r="J17" s="124"/>
      <c r="K17" s="125"/>
      <c r="L17" s="125"/>
      <c r="M17" s="125"/>
      <c r="N17" s="125"/>
      <c r="O17" s="125"/>
      <c r="P17" s="125"/>
      <c r="Q17" s="125"/>
      <c r="R17" s="125"/>
      <c r="S17" s="125"/>
      <c r="T17" s="125"/>
      <c r="U17" s="125"/>
      <c r="V17" s="125"/>
      <c r="W17" s="125"/>
      <c r="X17" s="125"/>
      <c r="Y17" s="124"/>
      <c r="Z17" s="124"/>
      <c r="AA17" s="124"/>
      <c r="AB17" s="124"/>
      <c r="AC17" s="124"/>
      <c r="AD17" s="125"/>
      <c r="AE17" s="125"/>
      <c r="AF17" s="125"/>
      <c r="AG17" s="125"/>
      <c r="AH17" s="125"/>
      <c r="AI17" s="125"/>
      <c r="AJ17" s="125"/>
      <c r="AK17" s="125"/>
      <c r="AL17" s="126"/>
      <c r="AM17" s="125"/>
      <c r="AN17" s="121"/>
      <c r="AO17" s="125"/>
      <c r="AP17" s="121"/>
      <c r="AQ17" s="125"/>
      <c r="AR17" s="127"/>
      <c r="AS17" s="125"/>
      <c r="AU17" s="125"/>
      <c r="AW17" s="125"/>
      <c r="AY17" s="125"/>
      <c r="BA17" s="125"/>
      <c r="BC17" s="250"/>
      <c r="BD17" s="125"/>
      <c r="BE17" s="250"/>
      <c r="BF17" s="250"/>
      <c r="BG17" s="250"/>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3"/>
      <c r="CH17" s="123"/>
      <c r="CI17" s="123"/>
      <c r="CJ17" s="123"/>
      <c r="CK17" s="123"/>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3"/>
      <c r="DL17" s="123"/>
      <c r="DM17" s="123"/>
      <c r="DN17" s="123"/>
      <c r="DO17" s="123"/>
      <c r="DP17" s="125"/>
      <c r="ET17" s="251"/>
      <c r="EU17" s="251"/>
      <c r="EV17" s="252"/>
      <c r="EW17" s="253"/>
      <c r="EX17" s="253"/>
      <c r="EY17" s="128"/>
      <c r="EZ17" s="122"/>
      <c r="FA17" s="122"/>
      <c r="FB17" s="122"/>
      <c r="FC17" s="129"/>
    </row>
    <row r="18" spans="1:159" s="6" customFormat="1" ht="33.75" customHeight="1" x14ac:dyDescent="0.25">
      <c r="A18" s="8"/>
      <c r="B18" s="22" t="s">
        <v>34</v>
      </c>
      <c r="C18" s="20"/>
      <c r="D18" s="20"/>
      <c r="E18" s="21"/>
      <c r="F18" s="277"/>
      <c r="G18" s="21"/>
      <c r="H18" s="21"/>
      <c r="I18" s="21"/>
      <c r="J18" s="21"/>
      <c r="K18" s="21"/>
      <c r="L18" s="21"/>
      <c r="M18" s="21"/>
      <c r="N18" s="21"/>
      <c r="O18" s="21"/>
      <c r="P18" s="21"/>
      <c r="Q18" s="9"/>
      <c r="R18" s="9"/>
      <c r="S18" s="9"/>
      <c r="T18" s="9"/>
      <c r="U18" s="9"/>
      <c r="V18" s="33"/>
      <c r="W18" s="8"/>
      <c r="X18" s="8"/>
      <c r="BF18" s="120"/>
      <c r="BG18" s="117"/>
    </row>
    <row r="19" spans="1:159" s="6" customFormat="1" ht="33.75" customHeight="1" x14ac:dyDescent="0.25">
      <c r="B19" s="105" t="s">
        <v>35</v>
      </c>
      <c r="C19" s="379" t="s">
        <v>36</v>
      </c>
      <c r="D19" s="380"/>
      <c r="E19" s="380"/>
      <c r="F19" s="380"/>
      <c r="G19" s="380"/>
      <c r="H19" s="380"/>
      <c r="I19" s="381"/>
      <c r="J19" s="382" t="s">
        <v>37</v>
      </c>
      <c r="K19" s="383"/>
      <c r="L19" s="383"/>
      <c r="M19" s="383"/>
      <c r="N19" s="383"/>
      <c r="O19" s="383"/>
      <c r="P19" s="384"/>
      <c r="Q19" s="9"/>
      <c r="R19" s="9"/>
      <c r="S19" s="9"/>
      <c r="T19" s="9"/>
      <c r="U19" s="9"/>
      <c r="V19" s="33"/>
      <c r="W19" s="8"/>
      <c r="X19" s="8"/>
      <c r="BF19" s="120"/>
      <c r="BG19" s="117"/>
      <c r="CF19" s="254"/>
    </row>
    <row r="20" spans="1:159" s="6" customFormat="1" ht="33.75" customHeight="1" x14ac:dyDescent="0.25">
      <c r="A20" s="8"/>
      <c r="B20" s="106">
        <v>13</v>
      </c>
      <c r="C20" s="376" t="s">
        <v>89</v>
      </c>
      <c r="D20" s="376"/>
      <c r="E20" s="376"/>
      <c r="F20" s="376"/>
      <c r="G20" s="376"/>
      <c r="H20" s="376"/>
      <c r="I20" s="376"/>
      <c r="J20" s="376" t="s">
        <v>80</v>
      </c>
      <c r="K20" s="376"/>
      <c r="L20" s="376"/>
      <c r="M20" s="376"/>
      <c r="N20" s="376"/>
      <c r="O20" s="376"/>
      <c r="P20" s="376"/>
      <c r="Q20" s="9"/>
      <c r="R20" s="9"/>
      <c r="S20" s="9"/>
      <c r="T20" s="9"/>
      <c r="U20" s="9"/>
      <c r="V20" s="33"/>
      <c r="W20" s="8"/>
      <c r="X20" s="8"/>
      <c r="CF20" s="254"/>
    </row>
    <row r="21" spans="1:159" s="6" customFormat="1" ht="33.75" customHeight="1" x14ac:dyDescent="0.25">
      <c r="A21" s="8"/>
      <c r="B21" s="106">
        <v>14</v>
      </c>
      <c r="C21" s="376" t="s">
        <v>247</v>
      </c>
      <c r="D21" s="376"/>
      <c r="E21" s="376"/>
      <c r="F21" s="376"/>
      <c r="G21" s="376"/>
      <c r="H21" s="376"/>
      <c r="I21" s="376"/>
      <c r="J21" s="377" t="s">
        <v>508</v>
      </c>
      <c r="K21" s="377"/>
      <c r="L21" s="377"/>
      <c r="M21" s="377"/>
      <c r="N21" s="377"/>
      <c r="O21" s="377"/>
      <c r="P21" s="377"/>
      <c r="Q21" s="9"/>
      <c r="R21" s="9"/>
      <c r="S21" s="9"/>
      <c r="T21" s="9"/>
      <c r="U21" s="9"/>
      <c r="V21" s="33"/>
      <c r="W21" s="8"/>
      <c r="X21" s="8"/>
    </row>
    <row r="22" spans="1:159" ht="48" customHeight="1" x14ac:dyDescent="0.25">
      <c r="AC22" s="47"/>
    </row>
    <row r="23" spans="1:159" ht="48" customHeight="1" x14ac:dyDescent="0.25">
      <c r="AB23" s="47"/>
    </row>
  </sheetData>
  <sheetProtection formatCells="0" formatColumns="0" formatRows="0" insertHyperlinks="0" sort="0" autoFilter="0" pivotTables="0"/>
  <mergeCells count="37">
    <mergeCell ref="A4:F4"/>
    <mergeCell ref="G4:FC4"/>
    <mergeCell ref="A1:F3"/>
    <mergeCell ref="G1:FC1"/>
    <mergeCell ref="G2:FC2"/>
    <mergeCell ref="G3:ES3"/>
    <mergeCell ref="ET3:FC3"/>
    <mergeCell ref="A5:F5"/>
    <mergeCell ref="G5:FC5"/>
    <mergeCell ref="A6:F6"/>
    <mergeCell ref="G6:FC6"/>
    <mergeCell ref="A7:F7"/>
    <mergeCell ref="G7:FC7"/>
    <mergeCell ref="FC9:FC11"/>
    <mergeCell ref="A9:I9"/>
    <mergeCell ref="J9:ES9"/>
    <mergeCell ref="ET9:ET11"/>
    <mergeCell ref="EU9:EU11"/>
    <mergeCell ref="EV9:EV11"/>
    <mergeCell ref="EW9:EW11"/>
    <mergeCell ref="A10:I10"/>
    <mergeCell ref="J10:AC10"/>
    <mergeCell ref="AD10:BG10"/>
    <mergeCell ref="BH10:CK10"/>
    <mergeCell ref="EX9:EX11"/>
    <mergeCell ref="EY9:EY11"/>
    <mergeCell ref="EZ9:EZ11"/>
    <mergeCell ref="FA9:FA11"/>
    <mergeCell ref="FB9:FB11"/>
    <mergeCell ref="C21:I21"/>
    <mergeCell ref="J21:P21"/>
    <mergeCell ref="CL10:DO10"/>
    <mergeCell ref="DP10:ES10"/>
    <mergeCell ref="C19:I19"/>
    <mergeCell ref="J19:P19"/>
    <mergeCell ref="C20:I20"/>
    <mergeCell ref="J20:P20"/>
  </mergeCells>
  <dataValidations count="3">
    <dataValidation type="textLength" operator="lessThanOrEqual" showInputMessage="1" showErrorMessage="1" sqref="EZ12:FA16" xr:uid="{00000000-0002-0000-0000-000000000000}">
      <formula1>500</formula1>
    </dataValidation>
    <dataValidation type="textLength" operator="lessThanOrEqual" showInputMessage="1" showErrorMessage="1" sqref="EY12:EY16" xr:uid="{00000000-0002-0000-0000-000001000000}">
      <formula1>3000</formula1>
    </dataValidation>
    <dataValidation type="list" allowBlank="1" showInputMessage="1" showErrorMessage="1" sqref="H12:H17" xr:uid="{00000000-0002-0000-0000-000002000000}">
      <formula1>#REF!</formula1>
    </dataValidation>
  </dataValidations>
  <hyperlinks>
    <hyperlink ref="FC15" r:id="rId1" display="http://rmcab.ambientebogota.gov.co" xr:uid="{00000000-0004-0000-0000-000000000000}"/>
    <hyperlink ref="FC12" r:id="rId2" display="https://drive.google.com/drive/folders/1JV0NJ5GHWYIOwH7O1D4dLZZ-_q03dcCo" xr:uid="{00000000-0004-0000-0000-000001000000}"/>
    <hyperlink ref="FC13" r:id="rId3" display="https://drive.google.com/drive/folders/1JV0NJ5GHWYIOwH7O1D4dLZZ-_q03dcCo" xr:uid="{00000000-0004-0000-0000-000002000000}"/>
    <hyperlink ref="FC14" r:id="rId4" display="https://drive.google.com/drive/folders/1JV0NJ5GHWYIOwH7O1D4dLZZ-_q03dcCo" xr:uid="{00000000-0004-0000-0000-000003000000}"/>
    <hyperlink ref="FC16" r:id="rId5" display="http://rmcab.ambientebogota.gov.co" xr:uid="{00000000-0004-0000-0000-000004000000}"/>
  </hyperlinks>
  <pageMargins left="0.7" right="0.7" top="0.75" bottom="0.75" header="0.3" footer="0.3"/>
  <pageSetup orientation="portrait" r:id="rId6"/>
  <ignoredErrors>
    <ignoredError sqref="DY12" unlockedFormula="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F80"/>
  <sheetViews>
    <sheetView showGridLines="0" zoomScale="57" zoomScaleNormal="57" zoomScaleSheetLayoutView="40" zoomScalePageLayoutView="73" workbookViewId="0">
      <selection activeCell="EP59" sqref="EP59"/>
    </sheetView>
  </sheetViews>
  <sheetFormatPr baseColWidth="10" defaultColWidth="10.7109375" defaultRowHeight="33" customHeight="1" x14ac:dyDescent="0.25"/>
  <cols>
    <col min="1" max="1" width="12.7109375" style="110" customWidth="1"/>
    <col min="2" max="2" width="9.85546875" style="110" customWidth="1"/>
    <col min="3" max="3" width="23.28515625" style="110" customWidth="1"/>
    <col min="4" max="4" width="17" style="4" customWidth="1"/>
    <col min="5" max="5" width="15.42578125" style="4" customWidth="1"/>
    <col min="6" max="6" width="12.140625" style="13" customWidth="1"/>
    <col min="7" max="7" width="22.85546875" style="5" customWidth="1"/>
    <col min="8" max="8" width="15.42578125" style="5" hidden="1" customWidth="1"/>
    <col min="9" max="25" width="12.140625" style="5" hidden="1" customWidth="1"/>
    <col min="26" max="27" width="20.85546875" style="5" customWidth="1"/>
    <col min="28" max="28" width="20.7109375" style="5" hidden="1" customWidth="1"/>
    <col min="29" max="51" width="24.140625" style="5" hidden="1" customWidth="1"/>
    <col min="52" max="52" width="21.42578125" style="5" hidden="1" customWidth="1"/>
    <col min="53" max="55" width="20.7109375" style="5" hidden="1" customWidth="1"/>
    <col min="56" max="57" width="20.85546875" style="5" customWidth="1"/>
    <col min="58" max="58" width="21.7109375" style="5" hidden="1" customWidth="1"/>
    <col min="59" max="85" width="20.7109375" style="5" hidden="1" customWidth="1"/>
    <col min="86" max="87" width="20.85546875" style="5" customWidth="1"/>
    <col min="88" max="88" width="25.7109375" style="5" hidden="1" customWidth="1"/>
    <col min="89" max="92" width="17.7109375" style="5" hidden="1" customWidth="1"/>
    <col min="93" max="108" width="18" style="5" hidden="1" customWidth="1"/>
    <col min="109" max="109" width="16.42578125" style="5" hidden="1" customWidth="1"/>
    <col min="110" max="110" width="17" style="5" hidden="1" customWidth="1"/>
    <col min="111" max="111" width="18.28515625" style="5" hidden="1" customWidth="1"/>
    <col min="112" max="113" width="21.85546875" style="5" hidden="1" customWidth="1"/>
    <col min="114" max="114" width="25.140625" style="5" hidden="1" customWidth="1"/>
    <col min="115" max="115" width="18.85546875" style="5" hidden="1" customWidth="1"/>
    <col min="116" max="116" width="19.85546875" style="5" customWidth="1"/>
    <col min="117" max="117" width="20.85546875" style="5" customWidth="1"/>
    <col min="118" max="118" width="19.85546875" style="5" customWidth="1"/>
    <col min="119" max="120" width="18" style="5" customWidth="1"/>
    <col min="121" max="122" width="15.42578125" style="5" customWidth="1"/>
    <col min="123" max="127" width="17.7109375" style="5" customWidth="1"/>
    <col min="128" max="128" width="22.7109375" style="5" customWidth="1"/>
    <col min="129" max="131" width="14.85546875" style="5" hidden="1" customWidth="1"/>
    <col min="132" max="132" width="8.140625" style="5" hidden="1" customWidth="1"/>
    <col min="133" max="133" width="18" style="5" hidden="1" customWidth="1"/>
    <col min="134" max="135" width="8.140625" style="5" hidden="1" customWidth="1"/>
    <col min="136" max="136" width="13.7109375" style="5" hidden="1" customWidth="1"/>
    <col min="137" max="137" width="9.28515625" style="5" hidden="1" customWidth="1"/>
    <col min="138" max="138" width="13.7109375" style="5" hidden="1" customWidth="1"/>
    <col min="139" max="139" width="7.28515625" style="5" hidden="1" customWidth="1"/>
    <col min="140" max="140" width="13.7109375" style="5" hidden="1" customWidth="1"/>
    <col min="141" max="141" width="6.85546875" style="5" hidden="1" customWidth="1"/>
    <col min="142" max="142" width="13.7109375" style="5" hidden="1" customWidth="1"/>
    <col min="143" max="147" width="18.28515625" style="5" customWidth="1"/>
    <col min="148" max="149" width="22" style="10" customWidth="1"/>
    <col min="150" max="152" width="22" customWidth="1"/>
    <col min="153" max="153" width="42.140625" style="102" customWidth="1"/>
    <col min="154" max="155" width="8.28515625" customWidth="1"/>
    <col min="156" max="156" width="38.42578125" customWidth="1"/>
    <col min="157" max="157" width="42.7109375" customWidth="1"/>
    <col min="158" max="158" width="6" bestFit="1" customWidth="1"/>
    <col min="159" max="160" width="10.7109375" customWidth="1"/>
  </cols>
  <sheetData>
    <row r="1" spans="1:159" s="53" customFormat="1" ht="43.5" customHeight="1" x14ac:dyDescent="0.35">
      <c r="A1" s="428"/>
      <c r="B1" s="429"/>
      <c r="C1" s="429"/>
      <c r="D1" s="429"/>
      <c r="E1" s="429"/>
      <c r="F1" s="438" t="s">
        <v>38</v>
      </c>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c r="BM1" s="438"/>
      <c r="BN1" s="438"/>
      <c r="BO1" s="438"/>
      <c r="BP1" s="438"/>
      <c r="BQ1" s="438"/>
      <c r="BR1" s="438"/>
      <c r="BS1" s="438"/>
      <c r="BT1" s="438"/>
      <c r="BU1" s="438"/>
      <c r="BV1" s="438"/>
      <c r="BW1" s="438"/>
      <c r="BX1" s="438"/>
      <c r="BY1" s="438"/>
      <c r="BZ1" s="438"/>
      <c r="CA1" s="438"/>
      <c r="CB1" s="438"/>
      <c r="CC1" s="438"/>
      <c r="CD1" s="438"/>
      <c r="CE1" s="438"/>
      <c r="CF1" s="438"/>
      <c r="CG1" s="438"/>
      <c r="CH1" s="438"/>
      <c r="CI1" s="438"/>
      <c r="CJ1" s="438"/>
      <c r="CK1" s="438"/>
      <c r="CL1" s="438"/>
      <c r="CM1" s="438"/>
      <c r="CN1" s="438"/>
      <c r="CO1" s="438"/>
      <c r="CP1" s="438"/>
      <c r="CQ1" s="438"/>
      <c r="CR1" s="438"/>
      <c r="CS1" s="438"/>
      <c r="CT1" s="438"/>
      <c r="CU1" s="438"/>
      <c r="CV1" s="438"/>
      <c r="CW1" s="438"/>
      <c r="CX1" s="438"/>
      <c r="CY1" s="438"/>
      <c r="CZ1" s="438"/>
      <c r="DA1" s="438"/>
      <c r="DB1" s="438"/>
      <c r="DC1" s="438"/>
      <c r="DD1" s="438"/>
      <c r="DE1" s="438"/>
      <c r="DF1" s="438"/>
      <c r="DG1" s="438"/>
      <c r="DH1" s="438"/>
      <c r="DI1" s="438"/>
      <c r="DJ1" s="438"/>
      <c r="DK1" s="438"/>
      <c r="DL1" s="438"/>
      <c r="DM1" s="438"/>
      <c r="DN1" s="438"/>
      <c r="DO1" s="438"/>
      <c r="DP1" s="438"/>
      <c r="DQ1" s="438"/>
      <c r="DR1" s="438"/>
      <c r="DS1" s="438"/>
      <c r="DT1" s="438"/>
      <c r="DU1" s="438"/>
      <c r="DV1" s="438"/>
      <c r="DW1" s="438"/>
      <c r="DX1" s="438"/>
      <c r="DY1" s="438"/>
      <c r="DZ1" s="438"/>
      <c r="EA1" s="438"/>
      <c r="EB1" s="438"/>
      <c r="EC1" s="438"/>
      <c r="ED1" s="438"/>
      <c r="EE1" s="438"/>
      <c r="EF1" s="438"/>
      <c r="EG1" s="438"/>
      <c r="EH1" s="438"/>
      <c r="EI1" s="438"/>
      <c r="EJ1" s="438"/>
      <c r="EK1" s="438"/>
      <c r="EL1" s="438"/>
      <c r="EM1" s="438"/>
      <c r="EN1" s="438"/>
      <c r="EO1" s="438"/>
      <c r="EP1" s="438"/>
      <c r="EQ1" s="438"/>
      <c r="ER1" s="438"/>
      <c r="ES1" s="438"/>
      <c r="ET1" s="438"/>
      <c r="EU1" s="438"/>
      <c r="EV1" s="438"/>
      <c r="EW1" s="438"/>
      <c r="EX1" s="438"/>
      <c r="EY1" s="438"/>
      <c r="EZ1" s="438"/>
      <c r="FA1" s="439"/>
    </row>
    <row r="2" spans="1:159" s="53" customFormat="1" ht="41.25" customHeight="1" x14ac:dyDescent="0.35">
      <c r="A2" s="430"/>
      <c r="B2" s="431"/>
      <c r="C2" s="431"/>
      <c r="D2" s="431"/>
      <c r="E2" s="431"/>
      <c r="F2" s="440" t="s">
        <v>244</v>
      </c>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0"/>
      <c r="BH2" s="440"/>
      <c r="BI2" s="440"/>
      <c r="BJ2" s="440"/>
      <c r="BK2" s="440"/>
      <c r="BL2" s="440"/>
      <c r="BM2" s="440"/>
      <c r="BN2" s="440"/>
      <c r="BO2" s="440"/>
      <c r="BP2" s="440"/>
      <c r="BQ2" s="440"/>
      <c r="BR2" s="440"/>
      <c r="BS2" s="440"/>
      <c r="BT2" s="440"/>
      <c r="BU2" s="440"/>
      <c r="BV2" s="440"/>
      <c r="BW2" s="440"/>
      <c r="BX2" s="440"/>
      <c r="BY2" s="440"/>
      <c r="BZ2" s="440"/>
      <c r="CA2" s="440"/>
      <c r="CB2" s="440"/>
      <c r="CC2" s="440"/>
      <c r="CD2" s="440"/>
      <c r="CE2" s="440"/>
      <c r="CF2" s="440"/>
      <c r="CG2" s="440"/>
      <c r="CH2" s="440"/>
      <c r="CI2" s="440"/>
      <c r="CJ2" s="440"/>
      <c r="CK2" s="440"/>
      <c r="CL2" s="440"/>
      <c r="CM2" s="440"/>
      <c r="CN2" s="440"/>
      <c r="CO2" s="440"/>
      <c r="CP2" s="440"/>
      <c r="CQ2" s="440"/>
      <c r="CR2" s="440"/>
      <c r="CS2" s="440"/>
      <c r="CT2" s="440"/>
      <c r="CU2" s="440"/>
      <c r="CV2" s="440"/>
      <c r="CW2" s="440"/>
      <c r="CX2" s="440"/>
      <c r="CY2" s="440"/>
      <c r="CZ2" s="440"/>
      <c r="DA2" s="440"/>
      <c r="DB2" s="440"/>
      <c r="DC2" s="440"/>
      <c r="DD2" s="440"/>
      <c r="DE2" s="440"/>
      <c r="DF2" s="440"/>
      <c r="DG2" s="440"/>
      <c r="DH2" s="440"/>
      <c r="DI2" s="440"/>
      <c r="DJ2" s="440"/>
      <c r="DK2" s="440"/>
      <c r="DL2" s="440"/>
      <c r="DM2" s="440"/>
      <c r="DN2" s="440"/>
      <c r="DO2" s="440"/>
      <c r="DP2" s="440"/>
      <c r="DQ2" s="440"/>
      <c r="DR2" s="440"/>
      <c r="DS2" s="440"/>
      <c r="DT2" s="440"/>
      <c r="DU2" s="440"/>
      <c r="DV2" s="440"/>
      <c r="DW2" s="440"/>
      <c r="DX2" s="440"/>
      <c r="DY2" s="440"/>
      <c r="DZ2" s="440"/>
      <c r="EA2" s="440"/>
      <c r="EB2" s="440"/>
      <c r="EC2" s="440"/>
      <c r="ED2" s="440"/>
      <c r="EE2" s="440"/>
      <c r="EF2" s="440"/>
      <c r="EG2" s="440"/>
      <c r="EH2" s="440"/>
      <c r="EI2" s="440"/>
      <c r="EJ2" s="440"/>
      <c r="EK2" s="440"/>
      <c r="EL2" s="440"/>
      <c r="EM2" s="440"/>
      <c r="EN2" s="440"/>
      <c r="EO2" s="440"/>
      <c r="EP2" s="440"/>
      <c r="EQ2" s="440"/>
      <c r="ER2" s="440"/>
      <c r="ES2" s="440"/>
      <c r="ET2" s="440"/>
      <c r="EU2" s="440"/>
      <c r="EV2" s="440"/>
      <c r="EW2" s="440"/>
      <c r="EX2" s="440"/>
      <c r="EY2" s="440"/>
      <c r="EZ2" s="440"/>
      <c r="FA2" s="441"/>
    </row>
    <row r="3" spans="1:159" s="14" customFormat="1" ht="40.5" customHeight="1" x14ac:dyDescent="0.4">
      <c r="A3" s="430"/>
      <c r="B3" s="431"/>
      <c r="C3" s="431"/>
      <c r="D3" s="431"/>
      <c r="E3" s="431"/>
      <c r="F3" s="442" t="s">
        <v>47</v>
      </c>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442"/>
      <c r="BK3" s="442"/>
      <c r="BL3" s="442"/>
      <c r="BM3" s="442"/>
      <c r="BN3" s="442"/>
      <c r="BO3" s="442"/>
      <c r="BP3" s="442"/>
      <c r="BQ3" s="442"/>
      <c r="BR3" s="442"/>
      <c r="BS3" s="442"/>
      <c r="BT3" s="442"/>
      <c r="BU3" s="442"/>
      <c r="BV3" s="442"/>
      <c r="BW3" s="442"/>
      <c r="BX3" s="442"/>
      <c r="BY3" s="442"/>
      <c r="BZ3" s="442"/>
      <c r="CA3" s="442"/>
      <c r="CB3" s="442"/>
      <c r="CC3" s="442"/>
      <c r="CD3" s="442"/>
      <c r="CE3" s="442"/>
      <c r="CF3" s="442"/>
      <c r="CG3" s="442"/>
      <c r="CH3" s="442"/>
      <c r="CI3" s="442"/>
      <c r="CJ3" s="442"/>
      <c r="CK3" s="442"/>
      <c r="CL3" s="442"/>
      <c r="CM3" s="442"/>
      <c r="CN3" s="442"/>
      <c r="CO3" s="442"/>
      <c r="CP3" s="442"/>
      <c r="CQ3" s="442"/>
      <c r="CR3" s="442"/>
      <c r="CS3" s="442"/>
      <c r="CT3" s="442"/>
      <c r="CU3" s="442"/>
      <c r="CV3" s="442"/>
      <c r="CW3" s="442"/>
      <c r="CX3" s="442"/>
      <c r="CY3" s="442"/>
      <c r="CZ3" s="442"/>
      <c r="DA3" s="442"/>
      <c r="DB3" s="442"/>
      <c r="DC3" s="442"/>
      <c r="DD3" s="442"/>
      <c r="DE3" s="442"/>
      <c r="DF3" s="442"/>
      <c r="DG3" s="442"/>
      <c r="DH3" s="442"/>
      <c r="DI3" s="442"/>
      <c r="DJ3" s="442"/>
      <c r="DK3" s="442"/>
      <c r="DL3" s="442"/>
      <c r="DM3" s="442"/>
      <c r="DN3" s="442"/>
      <c r="DO3" s="442"/>
      <c r="DP3" s="442"/>
      <c r="DQ3" s="442"/>
      <c r="DR3" s="442"/>
      <c r="DS3" s="442"/>
      <c r="DT3" s="442"/>
      <c r="DU3" s="442"/>
      <c r="DV3" s="442"/>
      <c r="DW3" s="442"/>
      <c r="DX3" s="442"/>
      <c r="DY3" s="442"/>
      <c r="DZ3" s="442"/>
      <c r="EA3" s="442"/>
      <c r="EB3" s="442"/>
      <c r="EC3" s="442"/>
      <c r="ED3" s="442"/>
      <c r="EE3" s="442"/>
      <c r="EF3" s="442"/>
      <c r="EG3" s="442"/>
      <c r="EH3" s="442"/>
      <c r="EI3" s="442"/>
      <c r="EJ3" s="442"/>
      <c r="EK3" s="442"/>
      <c r="EL3" s="442"/>
      <c r="EM3" s="442"/>
      <c r="EN3" s="442"/>
      <c r="EO3" s="442"/>
      <c r="EP3" s="442"/>
      <c r="EQ3" s="442"/>
      <c r="ER3" s="442" t="s">
        <v>228</v>
      </c>
      <c r="ES3" s="442"/>
      <c r="ET3" s="442"/>
      <c r="EU3" s="442"/>
      <c r="EV3" s="442"/>
      <c r="EW3" s="442"/>
      <c r="EX3" s="442"/>
      <c r="EY3" s="442"/>
      <c r="EZ3" s="442"/>
      <c r="FA3" s="445"/>
    </row>
    <row r="4" spans="1:159" ht="36" customHeight="1" x14ac:dyDescent="0.25">
      <c r="A4" s="432" t="s">
        <v>0</v>
      </c>
      <c r="B4" s="433"/>
      <c r="C4" s="433"/>
      <c r="D4" s="433"/>
      <c r="E4" s="433"/>
      <c r="F4" s="449" t="s">
        <v>248</v>
      </c>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c r="BD4" s="450"/>
      <c r="BE4" s="450"/>
      <c r="BF4" s="450"/>
      <c r="BG4" s="450"/>
      <c r="BH4" s="450"/>
      <c r="BI4" s="450"/>
      <c r="BJ4" s="450"/>
      <c r="BK4" s="450"/>
      <c r="BL4" s="450"/>
      <c r="BM4" s="450"/>
      <c r="BN4" s="450"/>
      <c r="BO4" s="450"/>
      <c r="BP4" s="450"/>
      <c r="BQ4" s="450"/>
      <c r="BR4" s="450"/>
      <c r="BS4" s="450"/>
      <c r="BT4" s="450"/>
      <c r="BU4" s="450"/>
      <c r="BV4" s="450"/>
      <c r="BW4" s="450"/>
      <c r="BX4" s="450"/>
      <c r="BY4" s="450"/>
      <c r="BZ4" s="450"/>
      <c r="CA4" s="450"/>
      <c r="CB4" s="450"/>
      <c r="CC4" s="450"/>
      <c r="CD4" s="450"/>
      <c r="CE4" s="450"/>
      <c r="CF4" s="450"/>
      <c r="CG4" s="450"/>
      <c r="CH4" s="450"/>
      <c r="CI4" s="450"/>
      <c r="CJ4" s="450"/>
      <c r="CK4" s="450"/>
      <c r="CL4" s="450"/>
      <c r="CM4" s="450"/>
      <c r="CN4" s="450"/>
      <c r="CO4" s="450"/>
      <c r="CP4" s="450"/>
      <c r="CQ4" s="450"/>
      <c r="CR4" s="450"/>
      <c r="CS4" s="450"/>
      <c r="CT4" s="450"/>
      <c r="CU4" s="450"/>
      <c r="CV4" s="450"/>
      <c r="CW4" s="450"/>
      <c r="CX4" s="450"/>
      <c r="CY4" s="450"/>
      <c r="CZ4" s="450"/>
      <c r="DA4" s="450"/>
      <c r="DB4" s="450"/>
      <c r="DC4" s="450"/>
      <c r="DD4" s="450"/>
      <c r="DE4" s="450"/>
      <c r="DF4" s="450"/>
      <c r="DG4" s="450"/>
      <c r="DH4" s="450"/>
      <c r="DI4" s="450"/>
      <c r="DJ4" s="450"/>
      <c r="DK4" s="450"/>
      <c r="DL4" s="450"/>
      <c r="DM4" s="450"/>
      <c r="DN4" s="450"/>
      <c r="DO4" s="450"/>
      <c r="DP4" s="450"/>
      <c r="DQ4" s="450"/>
      <c r="DR4" s="450"/>
      <c r="DS4" s="450"/>
      <c r="DT4" s="450"/>
      <c r="DU4" s="450"/>
      <c r="DV4" s="450"/>
      <c r="DW4" s="450"/>
      <c r="DX4" s="450"/>
      <c r="DY4" s="450"/>
      <c r="DZ4" s="450"/>
      <c r="EA4" s="450"/>
      <c r="EB4" s="450"/>
      <c r="EC4" s="450"/>
      <c r="ED4" s="450"/>
      <c r="EE4" s="450"/>
      <c r="EF4" s="450"/>
      <c r="EG4" s="450"/>
      <c r="EH4" s="450"/>
      <c r="EI4" s="450"/>
      <c r="EJ4" s="450"/>
      <c r="EK4" s="450"/>
      <c r="EL4" s="450"/>
      <c r="EM4" s="450"/>
      <c r="EN4" s="450"/>
      <c r="EO4" s="450"/>
      <c r="EP4" s="450"/>
      <c r="EQ4" s="450"/>
      <c r="ER4" s="450"/>
      <c r="ES4" s="450"/>
      <c r="ET4" s="450"/>
      <c r="EU4" s="450"/>
      <c r="EV4" s="450"/>
      <c r="EW4" s="450"/>
      <c r="EX4" s="450"/>
      <c r="EY4" s="450"/>
      <c r="EZ4" s="450"/>
      <c r="FA4" s="451"/>
      <c r="FB4" s="52"/>
    </row>
    <row r="5" spans="1:159" ht="39" customHeight="1" thickBot="1" x14ac:dyDescent="0.3">
      <c r="A5" s="434" t="s">
        <v>2</v>
      </c>
      <c r="B5" s="435"/>
      <c r="C5" s="435"/>
      <c r="D5" s="435"/>
      <c r="E5" s="435"/>
      <c r="F5" s="446" t="s">
        <v>249</v>
      </c>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c r="BZ5" s="447"/>
      <c r="CA5" s="447"/>
      <c r="CB5" s="447"/>
      <c r="CC5" s="447"/>
      <c r="CD5" s="447"/>
      <c r="CE5" s="447"/>
      <c r="CF5" s="447"/>
      <c r="CG5" s="447"/>
      <c r="CH5" s="447"/>
      <c r="CI5" s="447"/>
      <c r="CJ5" s="447"/>
      <c r="CK5" s="447"/>
      <c r="CL5" s="447"/>
      <c r="CM5" s="447"/>
      <c r="CN5" s="447"/>
      <c r="CO5" s="447"/>
      <c r="CP5" s="447"/>
      <c r="CQ5" s="447"/>
      <c r="CR5" s="447"/>
      <c r="CS5" s="447"/>
      <c r="CT5" s="447"/>
      <c r="CU5" s="447"/>
      <c r="CV5" s="447"/>
      <c r="CW5" s="447"/>
      <c r="CX5" s="447"/>
      <c r="CY5" s="447"/>
      <c r="CZ5" s="447"/>
      <c r="DA5" s="447"/>
      <c r="DB5" s="447"/>
      <c r="DC5" s="447"/>
      <c r="DD5" s="447"/>
      <c r="DE5" s="447"/>
      <c r="DF5" s="447"/>
      <c r="DG5" s="447"/>
      <c r="DH5" s="447"/>
      <c r="DI5" s="447"/>
      <c r="DJ5" s="447"/>
      <c r="DK5" s="447"/>
      <c r="DL5" s="447"/>
      <c r="DM5" s="447"/>
      <c r="DN5" s="447"/>
      <c r="DO5" s="447"/>
      <c r="DP5" s="447"/>
      <c r="DQ5" s="447"/>
      <c r="DR5" s="447"/>
      <c r="DS5" s="447"/>
      <c r="DT5" s="447"/>
      <c r="DU5" s="447"/>
      <c r="DV5" s="447"/>
      <c r="DW5" s="447"/>
      <c r="DX5" s="447"/>
      <c r="DY5" s="447"/>
      <c r="DZ5" s="447"/>
      <c r="EA5" s="447"/>
      <c r="EB5" s="447"/>
      <c r="EC5" s="447"/>
      <c r="ED5" s="447"/>
      <c r="EE5" s="447"/>
      <c r="EF5" s="447"/>
      <c r="EG5" s="447"/>
      <c r="EH5" s="447"/>
      <c r="EI5" s="447"/>
      <c r="EJ5" s="447"/>
      <c r="EK5" s="447"/>
      <c r="EL5" s="447"/>
      <c r="EM5" s="447"/>
      <c r="EN5" s="447"/>
      <c r="EO5" s="447"/>
      <c r="EP5" s="447"/>
      <c r="EQ5" s="447"/>
      <c r="ER5" s="447"/>
      <c r="ES5" s="447"/>
      <c r="ET5" s="447"/>
      <c r="EU5" s="447"/>
      <c r="EV5" s="447"/>
      <c r="EW5" s="447"/>
      <c r="EX5" s="447"/>
      <c r="EY5" s="447"/>
      <c r="EZ5" s="447"/>
      <c r="FA5" s="448"/>
      <c r="FB5" s="52"/>
    </row>
    <row r="6" spans="1:159" ht="15.75" customHeight="1" thickBot="1" x14ac:dyDescent="0.3">
      <c r="A6" s="109"/>
      <c r="B6" s="109"/>
      <c r="C6" s="109"/>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73"/>
      <c r="BB6" s="73">
        <f>BA25-BB25</f>
        <v>0</v>
      </c>
      <c r="BC6" s="73"/>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9"/>
      <c r="ES6" s="19"/>
      <c r="ET6" s="2"/>
      <c r="EU6" s="2"/>
      <c r="EV6" s="2"/>
      <c r="EW6" s="101"/>
      <c r="EX6" s="2"/>
      <c r="EY6" s="2"/>
      <c r="EZ6" s="2"/>
      <c r="FA6" s="2"/>
    </row>
    <row r="7" spans="1:159" s="157" customFormat="1" ht="33" customHeight="1" x14ac:dyDescent="0.25">
      <c r="A7" s="436" t="s">
        <v>88</v>
      </c>
      <c r="B7" s="437"/>
      <c r="C7" s="437"/>
      <c r="D7" s="437"/>
      <c r="E7" s="437"/>
      <c r="F7" s="437"/>
      <c r="G7" s="437"/>
      <c r="H7" s="443" t="s">
        <v>216</v>
      </c>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3"/>
      <c r="BA7" s="443"/>
      <c r="BB7" s="443"/>
      <c r="BC7" s="443"/>
      <c r="BD7" s="443"/>
      <c r="BE7" s="443"/>
      <c r="BF7" s="443"/>
      <c r="BG7" s="443"/>
      <c r="BH7" s="443"/>
      <c r="BI7" s="443"/>
      <c r="BJ7" s="443"/>
      <c r="BK7" s="443"/>
      <c r="BL7" s="443"/>
      <c r="BM7" s="443"/>
      <c r="BN7" s="443"/>
      <c r="BO7" s="443"/>
      <c r="BP7" s="443"/>
      <c r="BQ7" s="443"/>
      <c r="BR7" s="443"/>
      <c r="BS7" s="443"/>
      <c r="BT7" s="443"/>
      <c r="BU7" s="443"/>
      <c r="BV7" s="443"/>
      <c r="BW7" s="443"/>
      <c r="BX7" s="443"/>
      <c r="BY7" s="443"/>
      <c r="BZ7" s="443"/>
      <c r="CA7" s="443"/>
      <c r="CB7" s="443"/>
      <c r="CC7" s="443"/>
      <c r="CD7" s="443"/>
      <c r="CE7" s="443"/>
      <c r="CF7" s="443"/>
      <c r="CG7" s="443"/>
      <c r="CH7" s="443"/>
      <c r="CI7" s="443"/>
      <c r="CJ7" s="443"/>
      <c r="CK7" s="443"/>
      <c r="CL7" s="443"/>
      <c r="CM7" s="443"/>
      <c r="CN7" s="443"/>
      <c r="CO7" s="443"/>
      <c r="CP7" s="443"/>
      <c r="CQ7" s="443"/>
      <c r="CR7" s="443"/>
      <c r="CS7" s="443"/>
      <c r="CT7" s="443"/>
      <c r="CU7" s="443"/>
      <c r="CV7" s="443"/>
      <c r="CW7" s="443"/>
      <c r="CX7" s="443"/>
      <c r="CY7" s="443"/>
      <c r="CZ7" s="443"/>
      <c r="DA7" s="443"/>
      <c r="DB7" s="443"/>
      <c r="DC7" s="443"/>
      <c r="DD7" s="443"/>
      <c r="DE7" s="443"/>
      <c r="DF7" s="443"/>
      <c r="DG7" s="443"/>
      <c r="DH7" s="443"/>
      <c r="DI7" s="443"/>
      <c r="DJ7" s="443"/>
      <c r="DK7" s="443"/>
      <c r="DL7" s="443"/>
      <c r="DM7" s="443"/>
      <c r="DN7" s="443"/>
      <c r="DO7" s="443"/>
      <c r="DP7" s="443"/>
      <c r="DQ7" s="443"/>
      <c r="DR7" s="443"/>
      <c r="DS7" s="443"/>
      <c r="DT7" s="443"/>
      <c r="DU7" s="443"/>
      <c r="DV7" s="443"/>
      <c r="DW7" s="443"/>
      <c r="DX7" s="443"/>
      <c r="DY7" s="443"/>
      <c r="DZ7" s="443"/>
      <c r="EA7" s="443"/>
      <c r="EB7" s="443"/>
      <c r="EC7" s="443"/>
      <c r="ED7" s="443"/>
      <c r="EE7" s="443"/>
      <c r="EF7" s="443"/>
      <c r="EG7" s="443"/>
      <c r="EH7" s="443"/>
      <c r="EI7" s="443"/>
      <c r="EJ7" s="443"/>
      <c r="EK7" s="443"/>
      <c r="EL7" s="443"/>
      <c r="EM7" s="443"/>
      <c r="EN7" s="443"/>
      <c r="EO7" s="443"/>
      <c r="EP7" s="443"/>
      <c r="EQ7" s="443"/>
      <c r="ER7" s="424" t="s">
        <v>209</v>
      </c>
      <c r="ES7" s="424" t="s">
        <v>210</v>
      </c>
      <c r="ET7" s="421" t="s">
        <v>211</v>
      </c>
      <c r="EU7" s="455" t="s">
        <v>528</v>
      </c>
      <c r="EV7" s="421" t="s">
        <v>233</v>
      </c>
      <c r="EW7" s="437" t="s">
        <v>234</v>
      </c>
      <c r="EX7" s="437" t="s">
        <v>235</v>
      </c>
      <c r="EY7" s="437" t="s">
        <v>236</v>
      </c>
      <c r="EZ7" s="437" t="s">
        <v>238</v>
      </c>
      <c r="FA7" s="452" t="s">
        <v>237</v>
      </c>
    </row>
    <row r="8" spans="1:159" s="157" customFormat="1" ht="33" customHeight="1" x14ac:dyDescent="0.25">
      <c r="A8" s="432"/>
      <c r="B8" s="433"/>
      <c r="C8" s="433"/>
      <c r="D8" s="433"/>
      <c r="E8" s="433"/>
      <c r="F8" s="433"/>
      <c r="G8" s="433"/>
      <c r="H8" s="444" t="s">
        <v>64</v>
      </c>
      <c r="I8" s="444"/>
      <c r="J8" s="444"/>
      <c r="K8" s="444"/>
      <c r="L8" s="444"/>
      <c r="M8" s="444"/>
      <c r="N8" s="444"/>
      <c r="O8" s="444"/>
      <c r="P8" s="444"/>
      <c r="Q8" s="444"/>
      <c r="R8" s="444"/>
      <c r="S8" s="444"/>
      <c r="T8" s="444"/>
      <c r="U8" s="444"/>
      <c r="V8" s="444"/>
      <c r="W8" s="444"/>
      <c r="X8" s="444"/>
      <c r="Y8" s="444"/>
      <c r="Z8" s="444"/>
      <c r="AA8" s="444"/>
      <c r="AB8" s="444" t="s">
        <v>498</v>
      </c>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t="s">
        <v>61</v>
      </c>
      <c r="BG8" s="444"/>
      <c r="BH8" s="444"/>
      <c r="BI8" s="444"/>
      <c r="BJ8" s="444"/>
      <c r="BK8" s="444"/>
      <c r="BL8" s="444"/>
      <c r="BM8" s="444"/>
      <c r="BN8" s="444"/>
      <c r="BO8" s="444"/>
      <c r="BP8" s="444"/>
      <c r="BQ8" s="444"/>
      <c r="BR8" s="444"/>
      <c r="BS8" s="444"/>
      <c r="BT8" s="444"/>
      <c r="BU8" s="444"/>
      <c r="BV8" s="444"/>
      <c r="BW8" s="444"/>
      <c r="BX8" s="444"/>
      <c r="BY8" s="444"/>
      <c r="BZ8" s="444"/>
      <c r="CA8" s="444"/>
      <c r="CB8" s="444"/>
      <c r="CC8" s="444"/>
      <c r="CD8" s="444"/>
      <c r="CE8" s="444"/>
      <c r="CF8" s="444"/>
      <c r="CG8" s="444"/>
      <c r="CH8" s="444"/>
      <c r="CI8" s="444"/>
      <c r="CJ8" s="444" t="s">
        <v>62</v>
      </c>
      <c r="CK8" s="444"/>
      <c r="CL8" s="444"/>
      <c r="CM8" s="444"/>
      <c r="CN8" s="444"/>
      <c r="CO8" s="444"/>
      <c r="CP8" s="444"/>
      <c r="CQ8" s="444"/>
      <c r="CR8" s="444"/>
      <c r="CS8" s="444"/>
      <c r="CT8" s="444"/>
      <c r="CU8" s="444"/>
      <c r="CV8" s="444"/>
      <c r="CW8" s="444"/>
      <c r="CX8" s="444"/>
      <c r="CY8" s="444"/>
      <c r="CZ8" s="444"/>
      <c r="DA8" s="444"/>
      <c r="DB8" s="444"/>
      <c r="DC8" s="444"/>
      <c r="DD8" s="444"/>
      <c r="DE8" s="444"/>
      <c r="DF8" s="444"/>
      <c r="DG8" s="444"/>
      <c r="DH8" s="444"/>
      <c r="DI8" s="444"/>
      <c r="DJ8" s="444"/>
      <c r="DK8" s="444"/>
      <c r="DL8" s="444"/>
      <c r="DM8" s="444"/>
      <c r="DN8" s="444" t="s">
        <v>63</v>
      </c>
      <c r="DO8" s="444"/>
      <c r="DP8" s="444"/>
      <c r="DQ8" s="444"/>
      <c r="DR8" s="444"/>
      <c r="DS8" s="444"/>
      <c r="DT8" s="444"/>
      <c r="DU8" s="444"/>
      <c r="DV8" s="444"/>
      <c r="DW8" s="444"/>
      <c r="DX8" s="444"/>
      <c r="DY8" s="444"/>
      <c r="DZ8" s="444"/>
      <c r="EA8" s="444"/>
      <c r="EB8" s="444"/>
      <c r="EC8" s="444"/>
      <c r="ED8" s="444"/>
      <c r="EE8" s="444"/>
      <c r="EF8" s="444"/>
      <c r="EG8" s="444"/>
      <c r="EH8" s="444"/>
      <c r="EI8" s="444"/>
      <c r="EJ8" s="444"/>
      <c r="EK8" s="444"/>
      <c r="EL8" s="444"/>
      <c r="EM8" s="444"/>
      <c r="EN8" s="444"/>
      <c r="EO8" s="444"/>
      <c r="EP8" s="444"/>
      <c r="EQ8" s="444"/>
      <c r="ER8" s="425"/>
      <c r="ES8" s="425"/>
      <c r="ET8" s="422"/>
      <c r="EU8" s="456"/>
      <c r="EV8" s="422"/>
      <c r="EW8" s="433"/>
      <c r="EX8" s="433"/>
      <c r="EY8" s="433"/>
      <c r="EZ8" s="433"/>
      <c r="FA8" s="453"/>
    </row>
    <row r="9" spans="1:159" s="157" customFormat="1" ht="61.5" customHeight="1" thickBot="1" x14ac:dyDescent="0.3">
      <c r="A9" s="240" t="s">
        <v>81</v>
      </c>
      <c r="B9" s="241" t="s">
        <v>82</v>
      </c>
      <c r="C9" s="241" t="s">
        <v>83</v>
      </c>
      <c r="D9" s="241" t="s">
        <v>84</v>
      </c>
      <c r="E9" s="241" t="s">
        <v>85</v>
      </c>
      <c r="F9" s="241" t="s">
        <v>86</v>
      </c>
      <c r="G9" s="242" t="s">
        <v>87</v>
      </c>
      <c r="H9" s="243" t="s">
        <v>267</v>
      </c>
      <c r="I9" s="244" t="s">
        <v>268</v>
      </c>
      <c r="J9" s="241" t="s">
        <v>269</v>
      </c>
      <c r="K9" s="244" t="s">
        <v>270</v>
      </c>
      <c r="L9" s="241" t="s">
        <v>271</v>
      </c>
      <c r="M9" s="244" t="s">
        <v>272</v>
      </c>
      <c r="N9" s="241" t="s">
        <v>273</v>
      </c>
      <c r="O9" s="244" t="s">
        <v>274</v>
      </c>
      <c r="P9" s="241" t="s">
        <v>275</v>
      </c>
      <c r="Q9" s="244" t="s">
        <v>276</v>
      </c>
      <c r="R9" s="241" t="s">
        <v>277</v>
      </c>
      <c r="S9" s="244" t="s">
        <v>278</v>
      </c>
      <c r="T9" s="241" t="s">
        <v>279</v>
      </c>
      <c r="U9" s="244" t="s">
        <v>280</v>
      </c>
      <c r="V9" s="241" t="s">
        <v>281</v>
      </c>
      <c r="W9" s="242" t="s">
        <v>206</v>
      </c>
      <c r="X9" s="245" t="s">
        <v>239</v>
      </c>
      <c r="Y9" s="241" t="s">
        <v>240</v>
      </c>
      <c r="Z9" s="244" t="s">
        <v>241</v>
      </c>
      <c r="AA9" s="241" t="s">
        <v>242</v>
      </c>
      <c r="AB9" s="243" t="s">
        <v>267</v>
      </c>
      <c r="AC9" s="244" t="s">
        <v>282</v>
      </c>
      <c r="AD9" s="241" t="s">
        <v>283</v>
      </c>
      <c r="AE9" s="244" t="s">
        <v>284</v>
      </c>
      <c r="AF9" s="241" t="s">
        <v>285</v>
      </c>
      <c r="AG9" s="244" t="s">
        <v>286</v>
      </c>
      <c r="AH9" s="241" t="s">
        <v>287</v>
      </c>
      <c r="AI9" s="244" t="s">
        <v>288</v>
      </c>
      <c r="AJ9" s="241" t="s">
        <v>289</v>
      </c>
      <c r="AK9" s="244" t="s">
        <v>290</v>
      </c>
      <c r="AL9" s="241" t="s">
        <v>291</v>
      </c>
      <c r="AM9" s="244" t="s">
        <v>268</v>
      </c>
      <c r="AN9" s="241" t="s">
        <v>269</v>
      </c>
      <c r="AO9" s="244" t="s">
        <v>270</v>
      </c>
      <c r="AP9" s="241" t="s">
        <v>271</v>
      </c>
      <c r="AQ9" s="244" t="s">
        <v>272</v>
      </c>
      <c r="AR9" s="241" t="s">
        <v>273</v>
      </c>
      <c r="AS9" s="244" t="s">
        <v>274</v>
      </c>
      <c r="AT9" s="241" t="s">
        <v>275</v>
      </c>
      <c r="AU9" s="244" t="s">
        <v>276</v>
      </c>
      <c r="AV9" s="241" t="s">
        <v>277</v>
      </c>
      <c r="AW9" s="244" t="s">
        <v>278</v>
      </c>
      <c r="AX9" s="241" t="s">
        <v>279</v>
      </c>
      <c r="AY9" s="244" t="s">
        <v>280</v>
      </c>
      <c r="AZ9" s="241" t="s">
        <v>281</v>
      </c>
      <c r="BA9" s="242" t="s">
        <v>206</v>
      </c>
      <c r="BB9" s="245" t="s">
        <v>497</v>
      </c>
      <c r="BC9" s="241" t="s">
        <v>496</v>
      </c>
      <c r="BD9" s="244" t="s">
        <v>495</v>
      </c>
      <c r="BE9" s="241" t="s">
        <v>494</v>
      </c>
      <c r="BF9" s="243" t="s">
        <v>267</v>
      </c>
      <c r="BG9" s="244" t="s">
        <v>282</v>
      </c>
      <c r="BH9" s="241" t="s">
        <v>283</v>
      </c>
      <c r="BI9" s="244" t="s">
        <v>284</v>
      </c>
      <c r="BJ9" s="241" t="s">
        <v>285</v>
      </c>
      <c r="BK9" s="244" t="s">
        <v>286</v>
      </c>
      <c r="BL9" s="241" t="s">
        <v>287</v>
      </c>
      <c r="BM9" s="244" t="s">
        <v>288</v>
      </c>
      <c r="BN9" s="241" t="s">
        <v>289</v>
      </c>
      <c r="BO9" s="244" t="s">
        <v>290</v>
      </c>
      <c r="BP9" s="241" t="s">
        <v>291</v>
      </c>
      <c r="BQ9" s="244" t="s">
        <v>268</v>
      </c>
      <c r="BR9" s="241" t="s">
        <v>269</v>
      </c>
      <c r="BS9" s="244" t="s">
        <v>270</v>
      </c>
      <c r="BT9" s="241" t="s">
        <v>271</v>
      </c>
      <c r="BU9" s="244" t="s">
        <v>272</v>
      </c>
      <c r="BV9" s="241" t="s">
        <v>273</v>
      </c>
      <c r="BW9" s="244" t="s">
        <v>274</v>
      </c>
      <c r="BX9" s="241" t="s">
        <v>275</v>
      </c>
      <c r="BY9" s="244" t="s">
        <v>276</v>
      </c>
      <c r="BZ9" s="241" t="s">
        <v>277</v>
      </c>
      <c r="CA9" s="244" t="s">
        <v>278</v>
      </c>
      <c r="CB9" s="241" t="s">
        <v>279</v>
      </c>
      <c r="CC9" s="244" t="s">
        <v>280</v>
      </c>
      <c r="CD9" s="241" t="s">
        <v>281</v>
      </c>
      <c r="CE9" s="242" t="s">
        <v>206</v>
      </c>
      <c r="CF9" s="245" t="s">
        <v>212</v>
      </c>
      <c r="CG9" s="241" t="s">
        <v>213</v>
      </c>
      <c r="CH9" s="244" t="s">
        <v>214</v>
      </c>
      <c r="CI9" s="241" t="s">
        <v>215</v>
      </c>
      <c r="CJ9" s="243" t="s">
        <v>267</v>
      </c>
      <c r="CK9" s="244" t="s">
        <v>282</v>
      </c>
      <c r="CL9" s="241" t="s">
        <v>283</v>
      </c>
      <c r="CM9" s="244" t="s">
        <v>284</v>
      </c>
      <c r="CN9" s="241" t="s">
        <v>285</v>
      </c>
      <c r="CO9" s="244" t="s">
        <v>286</v>
      </c>
      <c r="CP9" s="241" t="s">
        <v>287</v>
      </c>
      <c r="CQ9" s="244" t="s">
        <v>288</v>
      </c>
      <c r="CR9" s="241" t="s">
        <v>289</v>
      </c>
      <c r="CS9" s="244" t="s">
        <v>290</v>
      </c>
      <c r="CT9" s="241" t="s">
        <v>291</v>
      </c>
      <c r="CU9" s="244" t="s">
        <v>268</v>
      </c>
      <c r="CV9" s="241" t="s">
        <v>269</v>
      </c>
      <c r="CW9" s="244" t="s">
        <v>270</v>
      </c>
      <c r="CX9" s="241" t="s">
        <v>271</v>
      </c>
      <c r="CY9" s="244" t="s">
        <v>272</v>
      </c>
      <c r="CZ9" s="241" t="s">
        <v>273</v>
      </c>
      <c r="DA9" s="244" t="s">
        <v>274</v>
      </c>
      <c r="DB9" s="241" t="s">
        <v>275</v>
      </c>
      <c r="DC9" s="244" t="s">
        <v>276</v>
      </c>
      <c r="DD9" s="241" t="s">
        <v>277</v>
      </c>
      <c r="DE9" s="244" t="s">
        <v>278</v>
      </c>
      <c r="DF9" s="241" t="s">
        <v>279</v>
      </c>
      <c r="DG9" s="244" t="s">
        <v>280</v>
      </c>
      <c r="DH9" s="241" t="s">
        <v>281</v>
      </c>
      <c r="DI9" s="242" t="s">
        <v>206</v>
      </c>
      <c r="DJ9" s="245" t="s">
        <v>218</v>
      </c>
      <c r="DK9" s="241" t="s">
        <v>219</v>
      </c>
      <c r="DL9" s="245" t="s">
        <v>220</v>
      </c>
      <c r="DM9" s="241" t="s">
        <v>221</v>
      </c>
      <c r="DN9" s="243" t="s">
        <v>267</v>
      </c>
      <c r="DO9" s="244" t="s">
        <v>282</v>
      </c>
      <c r="DP9" s="241" t="s">
        <v>283</v>
      </c>
      <c r="DQ9" s="244" t="s">
        <v>284</v>
      </c>
      <c r="DR9" s="241" t="s">
        <v>285</v>
      </c>
      <c r="DS9" s="244" t="s">
        <v>286</v>
      </c>
      <c r="DT9" s="241" t="s">
        <v>287</v>
      </c>
      <c r="DU9" s="244" t="s">
        <v>288</v>
      </c>
      <c r="DV9" s="241" t="s">
        <v>289</v>
      </c>
      <c r="DW9" s="244" t="s">
        <v>290</v>
      </c>
      <c r="DX9" s="241" t="s">
        <v>291</v>
      </c>
      <c r="DY9" s="244" t="s">
        <v>268</v>
      </c>
      <c r="DZ9" s="241" t="s">
        <v>269</v>
      </c>
      <c r="EA9" s="244" t="s">
        <v>270</v>
      </c>
      <c r="EB9" s="241" t="s">
        <v>271</v>
      </c>
      <c r="EC9" s="244" t="s">
        <v>272</v>
      </c>
      <c r="ED9" s="241" t="s">
        <v>273</v>
      </c>
      <c r="EE9" s="244" t="s">
        <v>274</v>
      </c>
      <c r="EF9" s="241" t="s">
        <v>275</v>
      </c>
      <c r="EG9" s="244" t="s">
        <v>276</v>
      </c>
      <c r="EH9" s="241" t="s">
        <v>277</v>
      </c>
      <c r="EI9" s="244" t="s">
        <v>278</v>
      </c>
      <c r="EJ9" s="241" t="s">
        <v>279</v>
      </c>
      <c r="EK9" s="244" t="s">
        <v>280</v>
      </c>
      <c r="EL9" s="241" t="s">
        <v>281</v>
      </c>
      <c r="EM9" s="242" t="s">
        <v>206</v>
      </c>
      <c r="EN9" s="245" t="s">
        <v>222</v>
      </c>
      <c r="EO9" s="241" t="s">
        <v>223</v>
      </c>
      <c r="EP9" s="245" t="s">
        <v>224</v>
      </c>
      <c r="EQ9" s="241" t="s">
        <v>225</v>
      </c>
      <c r="ER9" s="426"/>
      <c r="ES9" s="426"/>
      <c r="ET9" s="423"/>
      <c r="EU9" s="457"/>
      <c r="EV9" s="423"/>
      <c r="EW9" s="435"/>
      <c r="EX9" s="435"/>
      <c r="EY9" s="435"/>
      <c r="EZ9" s="435"/>
      <c r="FA9" s="454"/>
    </row>
    <row r="10" spans="1:159" s="56" customFormat="1" ht="24.95" customHeight="1" x14ac:dyDescent="0.25">
      <c r="A10" s="459" t="s">
        <v>292</v>
      </c>
      <c r="B10" s="459">
        <v>1</v>
      </c>
      <c r="C10" s="459" t="s">
        <v>296</v>
      </c>
      <c r="D10" s="459" t="s">
        <v>260</v>
      </c>
      <c r="E10" s="459">
        <v>272</v>
      </c>
      <c r="F10" s="227" t="s">
        <v>40</v>
      </c>
      <c r="G10" s="821">
        <v>1</v>
      </c>
      <c r="H10" s="821">
        <v>1</v>
      </c>
      <c r="I10" s="701"/>
      <c r="J10" s="701"/>
      <c r="K10" s="701"/>
      <c r="L10" s="701"/>
      <c r="M10" s="701"/>
      <c r="N10" s="700"/>
      <c r="O10" s="701"/>
      <c r="P10" s="700"/>
      <c r="Q10" s="701"/>
      <c r="R10" s="699"/>
      <c r="S10" s="701"/>
      <c r="T10" s="700"/>
      <c r="U10" s="701"/>
      <c r="V10" s="701"/>
      <c r="W10" s="147">
        <v>1</v>
      </c>
      <c r="X10" s="147">
        <v>1</v>
      </c>
      <c r="Y10" s="147">
        <v>1</v>
      </c>
      <c r="Z10" s="147">
        <v>1</v>
      </c>
      <c r="AA10" s="147">
        <v>1</v>
      </c>
      <c r="AB10" s="147">
        <v>1</v>
      </c>
      <c r="AC10" s="147">
        <v>1</v>
      </c>
      <c r="AD10" s="147">
        <v>0.86</v>
      </c>
      <c r="AE10" s="147">
        <v>1</v>
      </c>
      <c r="AF10" s="147">
        <v>0.75</v>
      </c>
      <c r="AG10" s="147">
        <v>1</v>
      </c>
      <c r="AH10" s="147">
        <v>0.8</v>
      </c>
      <c r="AI10" s="147">
        <v>1</v>
      </c>
      <c r="AJ10" s="147">
        <v>1</v>
      </c>
      <c r="AK10" s="147">
        <v>1</v>
      </c>
      <c r="AL10" s="147">
        <v>1</v>
      </c>
      <c r="AM10" s="147">
        <v>1</v>
      </c>
      <c r="AN10" s="147">
        <v>1</v>
      </c>
      <c r="AO10" s="147">
        <v>1</v>
      </c>
      <c r="AP10" s="147">
        <v>0.95</v>
      </c>
      <c r="AQ10" s="147">
        <v>1</v>
      </c>
      <c r="AR10" s="147">
        <v>0.95</v>
      </c>
      <c r="AS10" s="147">
        <v>1</v>
      </c>
      <c r="AT10" s="147">
        <v>0.98</v>
      </c>
      <c r="AU10" s="147">
        <v>1</v>
      </c>
      <c r="AV10" s="147">
        <v>1</v>
      </c>
      <c r="AW10" s="147">
        <v>1</v>
      </c>
      <c r="AX10" s="147">
        <v>1</v>
      </c>
      <c r="AY10" s="147">
        <v>1</v>
      </c>
      <c r="AZ10" s="147">
        <v>1</v>
      </c>
      <c r="BA10" s="147">
        <f>+AB10</f>
        <v>1</v>
      </c>
      <c r="BB10" s="147">
        <f>+AY10</f>
        <v>1</v>
      </c>
      <c r="BC10" s="147">
        <f>+AZ10</f>
        <v>1</v>
      </c>
      <c r="BD10" s="147">
        <f>+G10</f>
        <v>1</v>
      </c>
      <c r="BE10" s="147">
        <f>+AZ10</f>
        <v>1</v>
      </c>
      <c r="BF10" s="147">
        <v>1</v>
      </c>
      <c r="BG10" s="147">
        <v>1</v>
      </c>
      <c r="BH10" s="147">
        <v>1</v>
      </c>
      <c r="BI10" s="147">
        <v>1</v>
      </c>
      <c r="BJ10" s="147">
        <v>1</v>
      </c>
      <c r="BK10" s="147">
        <v>1</v>
      </c>
      <c r="BL10" s="147">
        <v>1</v>
      </c>
      <c r="BM10" s="147">
        <v>1</v>
      </c>
      <c r="BN10" s="147">
        <v>1</v>
      </c>
      <c r="BO10" s="147">
        <v>1</v>
      </c>
      <c r="BP10" s="147">
        <v>1</v>
      </c>
      <c r="BQ10" s="147">
        <v>1</v>
      </c>
      <c r="BR10" s="147">
        <v>1</v>
      </c>
      <c r="BS10" s="147">
        <v>1</v>
      </c>
      <c r="BT10" s="147">
        <v>1</v>
      </c>
      <c r="BU10" s="147">
        <v>1</v>
      </c>
      <c r="BV10" s="147">
        <v>1</v>
      </c>
      <c r="BW10" s="147">
        <v>1</v>
      </c>
      <c r="BX10" s="147">
        <v>1</v>
      </c>
      <c r="BY10" s="147">
        <v>1</v>
      </c>
      <c r="BZ10" s="147">
        <v>1</v>
      </c>
      <c r="CA10" s="147">
        <v>1</v>
      </c>
      <c r="CB10" s="147">
        <v>1</v>
      </c>
      <c r="CC10" s="147">
        <v>1</v>
      </c>
      <c r="CD10" s="147">
        <v>1</v>
      </c>
      <c r="CE10" s="147">
        <f>BF10</f>
        <v>1</v>
      </c>
      <c r="CF10" s="147">
        <f>+CC10</f>
        <v>1</v>
      </c>
      <c r="CG10" s="147">
        <f>+CD10</f>
        <v>1</v>
      </c>
      <c r="CH10" s="147">
        <f>+CC10</f>
        <v>1</v>
      </c>
      <c r="CI10" s="147">
        <f>+CD10</f>
        <v>1</v>
      </c>
      <c r="CJ10" s="821">
        <v>1</v>
      </c>
      <c r="CK10" s="821">
        <v>1</v>
      </c>
      <c r="CL10" s="147">
        <v>1</v>
      </c>
      <c r="CM10" s="821">
        <v>1</v>
      </c>
      <c r="CN10" s="147">
        <v>1</v>
      </c>
      <c r="CO10" s="821">
        <v>1</v>
      </c>
      <c r="CP10" s="147">
        <v>1</v>
      </c>
      <c r="CQ10" s="821">
        <v>1</v>
      </c>
      <c r="CR10" s="147">
        <v>1</v>
      </c>
      <c r="CS10" s="821">
        <v>1</v>
      </c>
      <c r="CT10" s="698">
        <v>1</v>
      </c>
      <c r="CU10" s="821">
        <v>1</v>
      </c>
      <c r="CV10" s="263">
        <v>1</v>
      </c>
      <c r="CW10" s="821">
        <v>1</v>
      </c>
      <c r="CX10" s="863">
        <v>1</v>
      </c>
      <c r="CY10" s="821">
        <v>1</v>
      </c>
      <c r="CZ10" s="263">
        <v>1</v>
      </c>
      <c r="DA10" s="821">
        <v>1</v>
      </c>
      <c r="DB10" s="263">
        <v>1</v>
      </c>
      <c r="DC10" s="821">
        <v>1</v>
      </c>
      <c r="DD10" s="263">
        <v>1</v>
      </c>
      <c r="DE10" s="821">
        <v>1</v>
      </c>
      <c r="DF10" s="263">
        <v>1</v>
      </c>
      <c r="DG10" s="821">
        <v>1</v>
      </c>
      <c r="DH10" s="263">
        <v>1</v>
      </c>
      <c r="DI10" s="147">
        <f>+CJ10</f>
        <v>1</v>
      </c>
      <c r="DJ10" s="147">
        <f>DG10</f>
        <v>1</v>
      </c>
      <c r="DK10" s="147">
        <f>DH10</f>
        <v>1</v>
      </c>
      <c r="DL10" s="147">
        <f>+CJ10</f>
        <v>1</v>
      </c>
      <c r="DM10" s="147">
        <f>DD10</f>
        <v>1</v>
      </c>
      <c r="DN10" s="147">
        <v>1</v>
      </c>
      <c r="DO10" s="320">
        <v>1</v>
      </c>
      <c r="DP10" s="320">
        <v>1</v>
      </c>
      <c r="DQ10" s="320">
        <v>1</v>
      </c>
      <c r="DR10" s="320">
        <v>1</v>
      </c>
      <c r="DS10" s="320">
        <v>1</v>
      </c>
      <c r="DT10" s="320">
        <v>1</v>
      </c>
      <c r="DU10" s="320">
        <v>1</v>
      </c>
      <c r="DV10" s="320">
        <v>1</v>
      </c>
      <c r="DW10" s="263">
        <v>1</v>
      </c>
      <c r="DX10" s="263">
        <v>1</v>
      </c>
      <c r="DY10" s="263">
        <v>1</v>
      </c>
      <c r="DZ10" s="700"/>
      <c r="EA10" s="775"/>
      <c r="EB10" s="775"/>
      <c r="EC10" s="775"/>
      <c r="ED10" s="775"/>
      <c r="EE10" s="775"/>
      <c r="EF10" s="775"/>
      <c r="EG10" s="697"/>
      <c r="EH10" s="697"/>
      <c r="EI10" s="697"/>
      <c r="EJ10" s="697"/>
      <c r="EK10" s="697"/>
      <c r="EL10" s="701"/>
      <c r="EM10" s="147">
        <f>DO10</f>
        <v>1</v>
      </c>
      <c r="EN10" s="147">
        <f>DU10</f>
        <v>1</v>
      </c>
      <c r="EO10" s="147">
        <f>DV10</f>
        <v>1</v>
      </c>
      <c r="EP10" s="147">
        <f>DU10</f>
        <v>1</v>
      </c>
      <c r="EQ10" s="147">
        <f>EO10</f>
        <v>1</v>
      </c>
      <c r="ER10" s="134">
        <f>IFERROR(DX10/DW10,0)</f>
        <v>1</v>
      </c>
      <c r="ES10" s="134">
        <f>EO10/EN10</f>
        <v>1</v>
      </c>
      <c r="ET10" s="847">
        <f>EQ10/EP10</f>
        <v>1</v>
      </c>
      <c r="EU10" s="847">
        <f>+(AA10+BE10+CI10+DM10+EO10)/(Z10+BD10+CH10+DL10+EN10)</f>
        <v>1</v>
      </c>
      <c r="EV10" s="336">
        <f>+(AA10+BE10+CI10+DM10+EQ10)/500%</f>
        <v>1</v>
      </c>
      <c r="EW10" s="723" t="s">
        <v>786</v>
      </c>
      <c r="EX10" s="722" t="s">
        <v>547</v>
      </c>
      <c r="EY10" s="722" t="s">
        <v>547</v>
      </c>
      <c r="EZ10" s="721" t="s">
        <v>512</v>
      </c>
      <c r="FA10" s="720" t="s">
        <v>677</v>
      </c>
      <c r="FB10" s="465"/>
      <c r="FC10" s="3"/>
    </row>
    <row r="11" spans="1:159" s="58" customFormat="1" ht="24.95" customHeight="1" x14ac:dyDescent="0.25">
      <c r="A11" s="458"/>
      <c r="B11" s="458"/>
      <c r="C11" s="458"/>
      <c r="D11" s="458"/>
      <c r="E11" s="458"/>
      <c r="F11" s="166" t="s">
        <v>3</v>
      </c>
      <c r="G11" s="55">
        <f>+AA11+BE11+CI11+DM11+EP11</f>
        <v>9305557058</v>
      </c>
      <c r="H11" s="54">
        <v>775545944</v>
      </c>
      <c r="I11" s="55"/>
      <c r="J11" s="55"/>
      <c r="K11" s="55"/>
      <c r="L11" s="55"/>
      <c r="M11" s="55"/>
      <c r="N11" s="55"/>
      <c r="O11" s="55"/>
      <c r="P11" s="55"/>
      <c r="Q11" s="55"/>
      <c r="R11" s="55"/>
      <c r="S11" s="55"/>
      <c r="T11" s="54"/>
      <c r="U11" s="62"/>
      <c r="V11" s="62"/>
      <c r="W11" s="54">
        <v>775545944</v>
      </c>
      <c r="X11" s="54">
        <v>775545944</v>
      </c>
      <c r="Y11" s="55">
        <v>731213017</v>
      </c>
      <c r="Z11" s="54">
        <v>780545944</v>
      </c>
      <c r="AA11" s="55">
        <v>731213017</v>
      </c>
      <c r="AB11" s="54">
        <v>1564678000</v>
      </c>
      <c r="AC11" s="55">
        <v>0</v>
      </c>
      <c r="AD11" s="55">
        <v>0</v>
      </c>
      <c r="AE11" s="62">
        <v>188232000</v>
      </c>
      <c r="AF11" s="55">
        <f>188232000-AD11</f>
        <v>188232000</v>
      </c>
      <c r="AG11" s="55">
        <v>348992000</v>
      </c>
      <c r="AH11" s="55">
        <f>537224000-AF11-AD11</f>
        <v>348992000</v>
      </c>
      <c r="AI11" s="55">
        <v>127479857</v>
      </c>
      <c r="AJ11" s="55">
        <f>664703857-AH11-AF11-AD11</f>
        <v>127479857</v>
      </c>
      <c r="AK11" s="55">
        <v>0</v>
      </c>
      <c r="AL11" s="55">
        <f>664703857-AJ11-AH11-AF11-AD11</f>
        <v>0</v>
      </c>
      <c r="AM11" s="55">
        <v>206631757</v>
      </c>
      <c r="AN11" s="55">
        <v>206477896</v>
      </c>
      <c r="AO11" s="55">
        <v>0</v>
      </c>
      <c r="AP11" s="55">
        <v>0</v>
      </c>
      <c r="AQ11" s="55">
        <v>145468477</v>
      </c>
      <c r="AR11" s="55">
        <v>0</v>
      </c>
      <c r="AS11" s="55">
        <v>81311777</v>
      </c>
      <c r="AT11" s="55">
        <v>27640334</v>
      </c>
      <c r="AU11" s="55">
        <v>145468477</v>
      </c>
      <c r="AV11" s="55">
        <v>186104768</v>
      </c>
      <c r="AW11" s="55">
        <v>145468477</v>
      </c>
      <c r="AX11" s="55">
        <v>225682042</v>
      </c>
      <c r="AY11" s="55">
        <v>145468478</v>
      </c>
      <c r="AZ11" s="55">
        <v>185979723</v>
      </c>
      <c r="BA11" s="55">
        <f>AY11+AW11+AU11+AS11+AQ11+AO11+AM11+AK11+AI11+AG11+AE11+AC11</f>
        <v>1534521300</v>
      </c>
      <c r="BB11" s="55">
        <f>AC11+AE11+AG11+AI11+AK11+AM11+AO11+AQ11+AS11+AU11+AW11+AY11</f>
        <v>1534521300</v>
      </c>
      <c r="BC11" s="55">
        <f>AD11+AF11+AH11+AJ11+AL11+AN11+AP11+AR11+AT11+AV11+AX11+AZ11</f>
        <v>1496588620</v>
      </c>
      <c r="BD11" s="55">
        <f>AE11+AG11+AI11+AK11+AM11+AO11+AQ11+AS11+AU11+AW11+AY11+AC11</f>
        <v>1534521300</v>
      </c>
      <c r="BE11" s="55">
        <f>AD11+AF11+AH11+AJ11+AL11+AN11+AP11+AR11+AT11+AV11+AX11+AZ11</f>
        <v>1496588620</v>
      </c>
      <c r="BF11" s="61">
        <v>2219609000</v>
      </c>
      <c r="BG11" s="55">
        <v>1222024000</v>
      </c>
      <c r="BH11" s="55">
        <v>665963000</v>
      </c>
      <c r="BI11" s="55">
        <v>28000000</v>
      </c>
      <c r="BJ11" s="55">
        <v>0</v>
      </c>
      <c r="BK11" s="55">
        <v>744585000</v>
      </c>
      <c r="BL11" s="55">
        <v>0</v>
      </c>
      <c r="BM11" s="55">
        <v>0</v>
      </c>
      <c r="BN11" s="55">
        <v>0</v>
      </c>
      <c r="BO11" s="55">
        <v>20000000</v>
      </c>
      <c r="BP11" s="55">
        <v>112000000</v>
      </c>
      <c r="BQ11" s="55">
        <v>30000000</v>
      </c>
      <c r="BR11" s="55">
        <v>38000000</v>
      </c>
      <c r="BS11" s="55">
        <v>0</v>
      </c>
      <c r="BT11" s="55">
        <v>0</v>
      </c>
      <c r="BU11" s="55">
        <f>170000000-50000000</f>
        <v>120000000</v>
      </c>
      <c r="BV11" s="55">
        <v>0</v>
      </c>
      <c r="BW11" s="55">
        <v>-110510041</v>
      </c>
      <c r="BX11" s="55">
        <v>20312000</v>
      </c>
      <c r="BY11" s="55">
        <f>5000000+65639641</f>
        <v>70639641</v>
      </c>
      <c r="BZ11" s="55">
        <v>103978600</v>
      </c>
      <c r="CA11" s="55">
        <v>0</v>
      </c>
      <c r="CB11" s="55">
        <v>122485900</v>
      </c>
      <c r="CC11" s="55">
        <v>16000000</v>
      </c>
      <c r="CD11" s="55">
        <v>851512450</v>
      </c>
      <c r="CE11" s="55">
        <f>CC11+CA11+BY11+BW11+BU11+BS11+BQ11+BO11+BM11+BK11+BI11+BG11</f>
        <v>2140738600</v>
      </c>
      <c r="CF11" s="55">
        <f>+BG11+BI11+BK11+BM11+BO11+BQ11+BS11+BU11+BW11+BY11+CA11+CC11</f>
        <v>2140738600</v>
      </c>
      <c r="CG11" s="55">
        <f>+BH11+BJ11+BL11+BN11+BP11+BR11+BT11+BV11+BX11+BZ11+CB11+CD11</f>
        <v>1914251950</v>
      </c>
      <c r="CH11" s="54">
        <f>CC11+CA11+BY11+BW11+BU11+BS11+BQ11+BO11+BM11+BK11+BI11+BG11</f>
        <v>2140738600</v>
      </c>
      <c r="CI11" s="54">
        <f>+BH11+BJ11+BL11+BN11+BP11+BR11+BT11+BV11+BX11+BZ11+CB11+CD11</f>
        <v>1914251950</v>
      </c>
      <c r="CJ11" s="55">
        <v>1984184000</v>
      </c>
      <c r="CK11" s="55">
        <v>-261779500</v>
      </c>
      <c r="CL11" s="55">
        <v>46330000</v>
      </c>
      <c r="CM11" s="55">
        <v>100512817</v>
      </c>
      <c r="CN11" s="55">
        <v>400100000</v>
      </c>
      <c r="CO11" s="55">
        <f>104612817+12000000</f>
        <v>116612817</v>
      </c>
      <c r="CP11" s="55">
        <v>307183000</v>
      </c>
      <c r="CQ11" s="55">
        <v>104612817</v>
      </c>
      <c r="CR11" s="55">
        <v>136990000</v>
      </c>
      <c r="CS11" s="55">
        <v>104612817</v>
      </c>
      <c r="CT11" s="180">
        <v>31304000</v>
      </c>
      <c r="CU11" s="162">
        <f>104612817-1000000</f>
        <v>103612817</v>
      </c>
      <c r="CV11" s="162">
        <v>0</v>
      </c>
      <c r="CW11" s="162">
        <f>164612817+13672334</f>
        <v>178285151</v>
      </c>
      <c r="CX11" s="162">
        <v>0</v>
      </c>
      <c r="CY11" s="55">
        <v>104612817</v>
      </c>
      <c r="CZ11" s="162">
        <v>21000000</v>
      </c>
      <c r="DA11" s="162">
        <f>184612817+157028000</f>
        <v>341640817</v>
      </c>
      <c r="DB11" s="162">
        <v>142700000</v>
      </c>
      <c r="DC11" s="696">
        <f>104612817-288074680</f>
        <v>-183461863</v>
      </c>
      <c r="DD11" s="162">
        <v>0</v>
      </c>
      <c r="DE11" s="162">
        <f>24036817-19435800</f>
        <v>4601017</v>
      </c>
      <c r="DF11" s="162">
        <v>43771400</v>
      </c>
      <c r="DG11" s="162">
        <f>882731830-8764000</f>
        <v>873967830</v>
      </c>
      <c r="DH11" s="162">
        <v>452131071</v>
      </c>
      <c r="DI11" s="54">
        <f>DG11+DE11+DC11+DA11+CY11+CW11+CU11+CS11+CQ11+CO11+CM11+CK11</f>
        <v>1587830354</v>
      </c>
      <c r="DJ11" s="54">
        <f>CK11+CM11+CO11+CQ11+CS11+CU11+CW11+CY11+DA11+DC11+DE11+DG11</f>
        <v>1587830354</v>
      </c>
      <c r="DK11" s="54">
        <f>CL11+CN11+CP11+CR11+CT11+CV11+CX11+CZ11+DB11+DD11+DF11+DH11</f>
        <v>1581509471</v>
      </c>
      <c r="DL11" s="54">
        <f>CM11+CO11+CQ11+CS11+CU11+CW11+CY11+DA11+DC11+DE11+DG11+CK11</f>
        <v>1587830354</v>
      </c>
      <c r="DM11" s="54">
        <f>CN11+CP11+CR11+CT11+CV11+CX11+CZ11+DB11+DD11+DF11+DH11+CL11</f>
        <v>1581509471</v>
      </c>
      <c r="DN11" s="55">
        <f>DO11+DQ11+DS11+DU11+DW11+DY11+EA11</f>
        <v>3581994000</v>
      </c>
      <c r="DO11" s="180">
        <v>203290632</v>
      </c>
      <c r="DP11" s="180">
        <v>203290632</v>
      </c>
      <c r="DQ11" s="180">
        <v>510436045</v>
      </c>
      <c r="DR11" s="180">
        <v>326776000</v>
      </c>
      <c r="DS11" s="180">
        <f>575641837+7000000</f>
        <v>582641837</v>
      </c>
      <c r="DT11" s="180">
        <v>187832000</v>
      </c>
      <c r="DU11" s="180">
        <f>605525642-11300000</f>
        <v>594225642</v>
      </c>
      <c r="DV11" s="180">
        <v>1973440</v>
      </c>
      <c r="DW11" s="162">
        <f>625641825+10000000</f>
        <v>635641825</v>
      </c>
      <c r="DX11" s="279">
        <v>304670293</v>
      </c>
      <c r="DY11" s="162">
        <v>585641731</v>
      </c>
      <c r="DZ11" s="57"/>
      <c r="EA11" s="279">
        <v>470116288</v>
      </c>
      <c r="EB11" s="279"/>
      <c r="EC11" s="279"/>
      <c r="ED11" s="279"/>
      <c r="EE11" s="279"/>
      <c r="EF11" s="279"/>
      <c r="EG11" s="279"/>
      <c r="EH11" s="279"/>
      <c r="EI11" s="279"/>
      <c r="EJ11" s="279"/>
      <c r="EK11" s="279"/>
      <c r="EL11" s="57"/>
      <c r="EM11" s="61">
        <f>EK11+EI11+EG11+EE11+EC11+EA11+DY11+DW11+DU11+DS11+DQ11+DO11</f>
        <v>3581994000</v>
      </c>
      <c r="EN11" s="61">
        <f t="shared" ref="EN11:EO14" si="0">DO11+DQ11+DS11+DU11+DW11</f>
        <v>2526235981</v>
      </c>
      <c r="EO11" s="61">
        <f t="shared" si="0"/>
        <v>1024542365</v>
      </c>
      <c r="EP11" s="54">
        <f>DQ11+DS11+DU11+DW11+DY11+EA11+EC11+EE11+EG11+EI11+EK11+DO11</f>
        <v>3581994000</v>
      </c>
      <c r="EQ11" s="61">
        <f>DP11+DR11+DT11+DV11+DX11</f>
        <v>1024542365</v>
      </c>
      <c r="ER11" s="134">
        <f>IFERROR(DX11/DW11,0)</f>
        <v>0.47931127408112267</v>
      </c>
      <c r="ES11" s="134">
        <f>EO11/EN11</f>
        <v>0.40556083149225003</v>
      </c>
      <c r="ET11" s="847">
        <f>EQ11/EP11</f>
        <v>0.28602570663155774</v>
      </c>
      <c r="EU11" s="847">
        <f>+(AA11+BE11+CI11+DM11+EO11)/(Z11+BD11+CH11+DL11+EN11)</f>
        <v>0.78742194539795596</v>
      </c>
      <c r="EV11" s="337">
        <f>+(AA11+BE11+CI11+DM11+EQ11)/G11</f>
        <v>0.72516942091055625</v>
      </c>
      <c r="EW11" s="719"/>
      <c r="EX11" s="718" t="s">
        <v>547</v>
      </c>
      <c r="EY11" s="718" t="s">
        <v>547</v>
      </c>
      <c r="EZ11" s="717"/>
      <c r="FA11" s="716"/>
      <c r="FB11" s="465"/>
    </row>
    <row r="12" spans="1:159" s="58" customFormat="1" ht="24.95" customHeight="1" x14ac:dyDescent="0.25">
      <c r="A12" s="458"/>
      <c r="B12" s="458"/>
      <c r="C12" s="458"/>
      <c r="D12" s="458"/>
      <c r="E12" s="458"/>
      <c r="F12" s="167" t="s">
        <v>205</v>
      </c>
      <c r="G12" s="55"/>
      <c r="H12" s="54">
        <v>0</v>
      </c>
      <c r="I12" s="55">
        <v>0</v>
      </c>
      <c r="J12" s="55">
        <v>0</v>
      </c>
      <c r="K12" s="55">
        <v>0</v>
      </c>
      <c r="L12" s="55">
        <v>0</v>
      </c>
      <c r="M12" s="55">
        <v>0</v>
      </c>
      <c r="N12" s="55">
        <v>0</v>
      </c>
      <c r="O12" s="55">
        <v>0</v>
      </c>
      <c r="P12" s="55">
        <v>0</v>
      </c>
      <c r="Q12" s="55">
        <v>0</v>
      </c>
      <c r="R12" s="55">
        <v>0</v>
      </c>
      <c r="S12" s="55">
        <v>0</v>
      </c>
      <c r="T12" s="54">
        <v>0</v>
      </c>
      <c r="U12" s="62">
        <v>0</v>
      </c>
      <c r="V12" s="62">
        <v>0</v>
      </c>
      <c r="W12" s="54">
        <v>0</v>
      </c>
      <c r="X12" s="54">
        <v>0</v>
      </c>
      <c r="Y12" s="54">
        <v>0</v>
      </c>
      <c r="Z12" s="54">
        <v>0</v>
      </c>
      <c r="AA12" s="55">
        <v>0</v>
      </c>
      <c r="AB12" s="54">
        <v>0</v>
      </c>
      <c r="AC12" s="62">
        <v>0</v>
      </c>
      <c r="AD12" s="55">
        <v>0</v>
      </c>
      <c r="AE12" s="55">
        <v>0</v>
      </c>
      <c r="AF12" s="55">
        <v>0</v>
      </c>
      <c r="AG12" s="55">
        <v>0</v>
      </c>
      <c r="AH12" s="55">
        <v>0</v>
      </c>
      <c r="AI12" s="55">
        <v>41026232</v>
      </c>
      <c r="AJ12" s="55">
        <v>41026232</v>
      </c>
      <c r="AK12" s="55">
        <v>77319714</v>
      </c>
      <c r="AL12" s="55">
        <f>118345946-AJ12</f>
        <v>77319714</v>
      </c>
      <c r="AM12" s="61">
        <f>+AL12+6000000</f>
        <v>83319714</v>
      </c>
      <c r="AN12" s="61">
        <v>90469225</v>
      </c>
      <c r="AO12" s="61">
        <f>+AM12+6000000</f>
        <v>89319714</v>
      </c>
      <c r="AP12" s="61">
        <v>75047610</v>
      </c>
      <c r="AQ12" s="61">
        <f>+AO12+6000000</f>
        <v>95319714</v>
      </c>
      <c r="AR12" s="61">
        <v>153699654</v>
      </c>
      <c r="AS12" s="61">
        <f>+AQ12+6000000</f>
        <v>101319714</v>
      </c>
      <c r="AT12" s="61">
        <v>91591256</v>
      </c>
      <c r="AU12" s="61">
        <f>+AS12+6000000</f>
        <v>107319714</v>
      </c>
      <c r="AV12" s="61">
        <v>87340509</v>
      </c>
      <c r="AW12" s="61">
        <f>+AU12+6000000</f>
        <v>113319714</v>
      </c>
      <c r="AX12" s="61">
        <v>175197762</v>
      </c>
      <c r="AY12" s="61">
        <f>+AW12+6000000</f>
        <v>119319714</v>
      </c>
      <c r="AZ12" s="61">
        <v>94410397</v>
      </c>
      <c r="BA12" s="55">
        <f>AY12+AW12+AU12+AS12+AQ12+AO12+AM12+AK12+AI12+AG12+AE12+AC12</f>
        <v>827583944</v>
      </c>
      <c r="BB12" s="55">
        <f>AC12+AE12+AG12+AI12+AK12+AM12+AO12+AQ12+AS12+AU12+AW12+AY12</f>
        <v>827583944</v>
      </c>
      <c r="BC12" s="55">
        <f>AD12+AF12+AH12+AJ12+AL12+AN12+AP12+AR12+AT12+AV12+AX12+AZ12</f>
        <v>886102359</v>
      </c>
      <c r="BD12" s="55">
        <f>AE12+AG12+AI12+AK12+AM12+AO12+AQ12+AS12+AU12+AW12+AY12+AC12</f>
        <v>827583944</v>
      </c>
      <c r="BE12" s="55">
        <f>AD12+AF12+AH12+AJ12+AL12+AN12+AP12+AR12+AT12+AV12+AX12+AZ12</f>
        <v>886102359</v>
      </c>
      <c r="BF12" s="55">
        <v>0</v>
      </c>
      <c r="BG12" s="55">
        <v>0</v>
      </c>
      <c r="BH12" s="55">
        <v>0</v>
      </c>
      <c r="BI12" s="55">
        <v>0</v>
      </c>
      <c r="BJ12" s="55">
        <v>14552866</v>
      </c>
      <c r="BK12" s="55">
        <v>0</v>
      </c>
      <c r="BL12" s="55">
        <v>68674033</v>
      </c>
      <c r="BM12" s="55">
        <v>0</v>
      </c>
      <c r="BN12" s="55">
        <v>78859000</v>
      </c>
      <c r="BO12" s="55">
        <v>0</v>
      </c>
      <c r="BP12" s="55">
        <v>74946000</v>
      </c>
      <c r="BQ12" s="55">
        <v>0</v>
      </c>
      <c r="BR12" s="55">
        <v>74946000</v>
      </c>
      <c r="BS12" s="55">
        <v>0</v>
      </c>
      <c r="BT12" s="55">
        <v>76437919</v>
      </c>
      <c r="BU12" s="55">
        <v>0</v>
      </c>
      <c r="BV12" s="55">
        <v>75471274</v>
      </c>
      <c r="BW12" s="55">
        <v>0</v>
      </c>
      <c r="BX12" s="55">
        <v>186183357</v>
      </c>
      <c r="BY12" s="55"/>
      <c r="BZ12" s="55">
        <v>77384356</v>
      </c>
      <c r="CA12" s="55">
        <v>0</v>
      </c>
      <c r="CB12" s="55">
        <v>70919924</v>
      </c>
      <c r="CC12" s="55">
        <v>0</v>
      </c>
      <c r="CD12" s="55">
        <v>127789651</v>
      </c>
      <c r="CE12" s="55">
        <f>CC12+CA12+BY12+BW12+BU12+BS12+BQ12+BO12+BM12+BK12+BI12+BG12</f>
        <v>0</v>
      </c>
      <c r="CF12" s="55">
        <f>+BG12+BI12+BK12+BM12+BO12+BQ12+BS12+BU12+BW12+BY12+CA12+CC12</f>
        <v>0</v>
      </c>
      <c r="CG12" s="55">
        <f>+BH12+BJ12+BL12+BN12+BP12+BR12+BT12+BV12+BX12+BZ12+CB12+CD12</f>
        <v>926164380</v>
      </c>
      <c r="CH12" s="54">
        <f>CC12+CA12+BY12+BW12+BU12+BS12+BQ12+BO12+BM12+BK12+BI12+BG12</f>
        <v>0</v>
      </c>
      <c r="CI12" s="54">
        <f>+BH12+BJ12+BL12+BN12+BP12+BR12+BT12+BV12+BX12+BZ12+CB12+CD12</f>
        <v>926164380</v>
      </c>
      <c r="CJ12" s="55">
        <v>1984184000</v>
      </c>
      <c r="CK12" s="55">
        <v>-261779500</v>
      </c>
      <c r="CL12" s="55">
        <v>0</v>
      </c>
      <c r="CM12" s="55">
        <v>100512817</v>
      </c>
      <c r="CN12" s="55">
        <v>0</v>
      </c>
      <c r="CO12" s="55">
        <f>104612817+12000000</f>
        <v>116612817</v>
      </c>
      <c r="CP12" s="55">
        <v>28638634</v>
      </c>
      <c r="CQ12" s="55">
        <v>104612817</v>
      </c>
      <c r="CR12" s="55">
        <v>81555841</v>
      </c>
      <c r="CS12" s="55">
        <v>104612817</v>
      </c>
      <c r="CT12" s="180">
        <v>89904746</v>
      </c>
      <c r="CU12" s="162">
        <f>104612817-1000000</f>
        <v>103612817</v>
      </c>
      <c r="CV12" s="162">
        <v>82279225</v>
      </c>
      <c r="CW12" s="162">
        <f>164612817+13672334</f>
        <v>178285151</v>
      </c>
      <c r="CX12" s="162">
        <v>98232381</v>
      </c>
      <c r="CY12" s="55">
        <v>104612817</v>
      </c>
      <c r="CZ12" s="162">
        <v>114947716</v>
      </c>
      <c r="DA12" s="162">
        <f>184612817+157028000</f>
        <v>341640817</v>
      </c>
      <c r="DB12" s="162">
        <v>96250478</v>
      </c>
      <c r="DC12" s="696">
        <f>104612817-288074680</f>
        <v>-183461863</v>
      </c>
      <c r="DD12" s="162">
        <v>94730527</v>
      </c>
      <c r="DE12" s="162">
        <f>24036817-19435800</f>
        <v>4601017</v>
      </c>
      <c r="DF12" s="162">
        <v>90861511</v>
      </c>
      <c r="DG12" s="162">
        <f>882731830-8764000</f>
        <v>873967830</v>
      </c>
      <c r="DH12" s="162">
        <v>144681722</v>
      </c>
      <c r="DI12" s="54">
        <f>DG12+DE12+DC12+DA12+CY12+CW12+CU12+CS12+CQ12+CO12+CM12+CK12</f>
        <v>1587830354</v>
      </c>
      <c r="DJ12" s="54">
        <f>CK12+CM12+CO12+CQ12+CS12+CU12+CW12+CY12+DA12+DC12+DE12+DG12</f>
        <v>1587830354</v>
      </c>
      <c r="DK12" s="54">
        <f>CL12+CN12+CP12+CR12+CT12+CV12+CX12+CZ12+DB12+DD12+DF12+DH12</f>
        <v>922082781</v>
      </c>
      <c r="DL12" s="54">
        <f>CM12+CO12+CQ12+CS12+CU12+CW12+CY12+DA12+DC12+DE12+DG12+CK12</f>
        <v>1587830354</v>
      </c>
      <c r="DM12" s="54">
        <f>CN12+CP12+CR12+CT12+CV12+CX12+CZ12+DB12+DD12+DF12+DH12+CL12</f>
        <v>922082781</v>
      </c>
      <c r="DN12" s="55">
        <f>DO12+DQ12+DS12+DU12+DW12+DY12+EA12</f>
        <v>3581994000</v>
      </c>
      <c r="DO12" s="180">
        <v>203290632</v>
      </c>
      <c r="DP12" s="180">
        <v>203290632</v>
      </c>
      <c r="DQ12" s="180">
        <v>510436045</v>
      </c>
      <c r="DR12" s="180">
        <v>-203003631</v>
      </c>
      <c r="DS12" s="180">
        <f>575641837+7000000</f>
        <v>582641837</v>
      </c>
      <c r="DT12" s="180">
        <v>86906341</v>
      </c>
      <c r="DU12" s="180">
        <f>605525642-11300000</f>
        <v>594225642</v>
      </c>
      <c r="DV12" s="180">
        <v>157478424</v>
      </c>
      <c r="DW12" s="162">
        <f>625641825+10000000</f>
        <v>635641825</v>
      </c>
      <c r="DX12" s="279">
        <v>172920231</v>
      </c>
      <c r="DY12" s="162">
        <v>585641731</v>
      </c>
      <c r="DZ12" s="57"/>
      <c r="EA12" s="279">
        <v>470116288</v>
      </c>
      <c r="EB12" s="279"/>
      <c r="EC12" s="279"/>
      <c r="ED12" s="279"/>
      <c r="EE12" s="279"/>
      <c r="EF12" s="279"/>
      <c r="EG12" s="279"/>
      <c r="EH12" s="279"/>
      <c r="EI12" s="279"/>
      <c r="EJ12" s="279"/>
      <c r="EK12" s="279"/>
      <c r="EL12" s="57"/>
      <c r="EM12" s="61">
        <f>EK12+EI12+EG12+EE12+EC12+EA12+DY12+DW12+DU12+DS12+DQ12+DO12</f>
        <v>3581994000</v>
      </c>
      <c r="EN12" s="61">
        <f t="shared" si="0"/>
        <v>2526235981</v>
      </c>
      <c r="EO12" s="61">
        <f t="shared" si="0"/>
        <v>417591997</v>
      </c>
      <c r="EP12" s="54">
        <f>DQ12+DS12+DU12+DW12+DY12+EA12+EC12+EE12+EG12+EI12+EK12+DO12</f>
        <v>3581994000</v>
      </c>
      <c r="EQ12" s="61">
        <f>DP12+DR12+DT12+DV12+DX12</f>
        <v>417591997</v>
      </c>
      <c r="ER12" s="134">
        <f t="shared" ref="ER11:ER15" si="1">IFERROR(DX12/DW12,0)</f>
        <v>0.2720403601509388</v>
      </c>
      <c r="ES12" s="134">
        <f t="shared" ref="ES12" si="2">EO12/EN12</f>
        <v>0.16530205417892035</v>
      </c>
      <c r="ET12" s="847">
        <f t="shared" ref="ET12" si="3">EQ12/EP12</f>
        <v>0.11658087562402394</v>
      </c>
      <c r="EU12" s="847" t="s">
        <v>311</v>
      </c>
      <c r="EV12" s="336" t="s">
        <v>311</v>
      </c>
      <c r="EW12" s="719"/>
      <c r="EX12" s="718" t="s">
        <v>547</v>
      </c>
      <c r="EY12" s="718" t="s">
        <v>547</v>
      </c>
      <c r="EZ12" s="717"/>
      <c r="FA12" s="716"/>
      <c r="FB12" s="465"/>
    </row>
    <row r="13" spans="1:159" s="56" customFormat="1" ht="24.95" customHeight="1" x14ac:dyDescent="0.25">
      <c r="A13" s="458"/>
      <c r="B13" s="458"/>
      <c r="C13" s="458"/>
      <c r="D13" s="458"/>
      <c r="E13" s="458"/>
      <c r="F13" s="165" t="s">
        <v>41</v>
      </c>
      <c r="G13" s="814">
        <v>0</v>
      </c>
      <c r="H13" s="814">
        <v>0</v>
      </c>
      <c r="I13" s="695"/>
      <c r="J13" s="695"/>
      <c r="K13" s="695"/>
      <c r="L13" s="695"/>
      <c r="M13" s="695"/>
      <c r="N13" s="694"/>
      <c r="O13" s="695"/>
      <c r="P13" s="694"/>
      <c r="Q13" s="695"/>
      <c r="R13" s="693"/>
      <c r="S13" s="695"/>
      <c r="T13" s="694"/>
      <c r="U13" s="695"/>
      <c r="V13" s="695"/>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c r="AM13" s="51">
        <v>0</v>
      </c>
      <c r="AN13" s="51">
        <v>0</v>
      </c>
      <c r="AO13" s="51">
        <v>0</v>
      </c>
      <c r="AP13" s="51">
        <v>0</v>
      </c>
      <c r="AQ13" s="51">
        <v>0</v>
      </c>
      <c r="AR13" s="51">
        <v>0</v>
      </c>
      <c r="AS13" s="51">
        <v>0</v>
      </c>
      <c r="AT13" s="51">
        <v>0</v>
      </c>
      <c r="AU13" s="51">
        <v>0</v>
      </c>
      <c r="AV13" s="51">
        <v>0</v>
      </c>
      <c r="AW13" s="51">
        <v>0</v>
      </c>
      <c r="AX13" s="51">
        <v>0</v>
      </c>
      <c r="AY13" s="51">
        <v>0</v>
      </c>
      <c r="AZ13" s="814">
        <v>0</v>
      </c>
      <c r="BA13" s="51">
        <f>+AB13</f>
        <v>0</v>
      </c>
      <c r="BB13" s="51">
        <f>+AY13</f>
        <v>0</v>
      </c>
      <c r="BC13" s="51">
        <f>+AZ13</f>
        <v>0</v>
      </c>
      <c r="BD13" s="51">
        <f>+G13</f>
        <v>0</v>
      </c>
      <c r="BE13" s="51">
        <f>+AZ13</f>
        <v>0</v>
      </c>
      <c r="BF13" s="51">
        <v>0</v>
      </c>
      <c r="BG13" s="51">
        <v>0</v>
      </c>
      <c r="BH13" s="51">
        <v>0</v>
      </c>
      <c r="BI13" s="51">
        <v>0</v>
      </c>
      <c r="BJ13" s="51">
        <v>0</v>
      </c>
      <c r="BK13" s="51">
        <v>0</v>
      </c>
      <c r="BL13" s="51">
        <v>0</v>
      </c>
      <c r="BM13" s="51">
        <v>0</v>
      </c>
      <c r="BN13" s="51">
        <v>0</v>
      </c>
      <c r="BO13" s="51">
        <v>0</v>
      </c>
      <c r="BP13" s="51">
        <v>0</v>
      </c>
      <c r="BQ13" s="51">
        <v>0</v>
      </c>
      <c r="BR13" s="51">
        <v>0</v>
      </c>
      <c r="BS13" s="51">
        <v>0</v>
      </c>
      <c r="BT13" s="51">
        <v>0</v>
      </c>
      <c r="BU13" s="51">
        <v>0</v>
      </c>
      <c r="BV13" s="51">
        <v>0</v>
      </c>
      <c r="BW13" s="51">
        <v>0</v>
      </c>
      <c r="BX13" s="51">
        <v>0</v>
      </c>
      <c r="BY13" s="51">
        <v>0</v>
      </c>
      <c r="BZ13" s="51">
        <v>0</v>
      </c>
      <c r="CA13" s="51">
        <v>0</v>
      </c>
      <c r="CB13" s="51">
        <v>0</v>
      </c>
      <c r="CC13" s="51">
        <v>0</v>
      </c>
      <c r="CD13" s="51">
        <v>0</v>
      </c>
      <c r="CE13" s="51">
        <f>BF13</f>
        <v>0</v>
      </c>
      <c r="CF13" s="51">
        <f>+CC13</f>
        <v>0</v>
      </c>
      <c r="CG13" s="51">
        <f>CD13</f>
        <v>0</v>
      </c>
      <c r="CH13" s="51">
        <f>+CC13</f>
        <v>0</v>
      </c>
      <c r="CI13" s="51">
        <f>+CD13</f>
        <v>0</v>
      </c>
      <c r="CJ13" s="51">
        <v>0</v>
      </c>
      <c r="CK13" s="51">
        <v>0</v>
      </c>
      <c r="CL13" s="51">
        <v>0</v>
      </c>
      <c r="CM13" s="51">
        <v>0</v>
      </c>
      <c r="CN13" s="51">
        <v>0</v>
      </c>
      <c r="CO13" s="51">
        <v>0</v>
      </c>
      <c r="CP13" s="51">
        <v>0</v>
      </c>
      <c r="CQ13" s="51">
        <v>0</v>
      </c>
      <c r="CR13" s="51">
        <v>0</v>
      </c>
      <c r="CS13" s="51">
        <v>0</v>
      </c>
      <c r="CT13" s="181">
        <v>0</v>
      </c>
      <c r="CU13" s="51">
        <v>0</v>
      </c>
      <c r="CV13" s="196">
        <v>0</v>
      </c>
      <c r="CW13" s="695">
        <v>0</v>
      </c>
      <c r="CX13" s="692">
        <v>0</v>
      </c>
      <c r="CY13" s="695">
        <v>0</v>
      </c>
      <c r="CZ13" s="196">
        <v>0</v>
      </c>
      <c r="DA13" s="695">
        <v>0</v>
      </c>
      <c r="DB13" s="196">
        <v>0</v>
      </c>
      <c r="DC13" s="695">
        <v>0</v>
      </c>
      <c r="DD13" s="196">
        <v>0</v>
      </c>
      <c r="DE13" s="51">
        <v>0</v>
      </c>
      <c r="DF13" s="196">
        <v>0</v>
      </c>
      <c r="DG13" s="695">
        <v>0</v>
      </c>
      <c r="DH13" s="196">
        <v>0</v>
      </c>
      <c r="DI13" s="51">
        <f>+CJ13</f>
        <v>0</v>
      </c>
      <c r="DJ13" s="54">
        <f>CK13+CM13+CO13+CQ13+CS13+CU13+CW13+CY13+DA13+DC13+DE13+DG13</f>
        <v>0</v>
      </c>
      <c r="DK13" s="51">
        <f>+CV13+CX13+CZ13+DB13+DD13+DF13+DH13</f>
        <v>0</v>
      </c>
      <c r="DL13" s="51">
        <f>+CK13+CM13+CO13+CQ13+CS13+CU13+CW13+CY13+DA13+DC13+DE13+DG13</f>
        <v>0</v>
      </c>
      <c r="DM13" s="51">
        <f>+CR13</f>
        <v>0</v>
      </c>
      <c r="DN13" s="51">
        <v>0</v>
      </c>
      <c r="DO13" s="323">
        <v>0</v>
      </c>
      <c r="DP13" s="323">
        <v>0</v>
      </c>
      <c r="DQ13" s="323">
        <v>0</v>
      </c>
      <c r="DR13" s="323">
        <v>0</v>
      </c>
      <c r="DS13" s="323">
        <v>0</v>
      </c>
      <c r="DT13" s="323">
        <v>0</v>
      </c>
      <c r="DU13" s="323">
        <v>0</v>
      </c>
      <c r="DV13" s="323">
        <v>0</v>
      </c>
      <c r="DW13" s="276">
        <v>0</v>
      </c>
      <c r="DX13" s="276">
        <v>0</v>
      </c>
      <c r="DY13" s="276">
        <v>0</v>
      </c>
      <c r="DZ13" s="691"/>
      <c r="EA13" s="690"/>
      <c r="EB13" s="690"/>
      <c r="EC13" s="690"/>
      <c r="ED13" s="690"/>
      <c r="EE13" s="690"/>
      <c r="EF13" s="690"/>
      <c r="EG13" s="690"/>
      <c r="EH13" s="690"/>
      <c r="EI13" s="690"/>
      <c r="EJ13" s="690"/>
      <c r="EK13" s="690"/>
      <c r="EL13" s="691"/>
      <c r="EM13" s="51">
        <f>EI13+EG13+EE13+EC13+EA13+DY13+DW13+DU13+DS13+DQ13+DO13+EK13</f>
        <v>0</v>
      </c>
      <c r="EN13" s="364">
        <f t="shared" si="0"/>
        <v>0</v>
      </c>
      <c r="EO13" s="269">
        <f t="shared" si="0"/>
        <v>0</v>
      </c>
      <c r="EP13" s="51">
        <f>DQ13+DS13+DU13+DW13+DY13+EA13+EC13+EE13+EG13+EI13+EK13</f>
        <v>0</v>
      </c>
      <c r="EQ13" s="269">
        <f t="shared" ref="EQ13" si="4">DR13+DT13+DV13+DX13</f>
        <v>0</v>
      </c>
      <c r="ER13" s="134">
        <f t="shared" si="1"/>
        <v>0</v>
      </c>
      <c r="ES13" s="134">
        <f>IFERROR(EO13/EN13,0)</f>
        <v>0</v>
      </c>
      <c r="ET13" s="847">
        <f>IFERROR(EQ13/EP13,0)</f>
        <v>0</v>
      </c>
      <c r="EU13" s="847">
        <f>IFERROR((AA13+BE13+CI13+DM13+EO13)/(Z13+BD13+CH13+DL13+EN13),0)</f>
        <v>0</v>
      </c>
      <c r="EV13" s="337">
        <f>IFERROR(+(AA13+BE13+CI13+DM13+EQ13)/G13,0)</f>
        <v>0</v>
      </c>
      <c r="EW13" s="719"/>
      <c r="EX13" s="718" t="s">
        <v>547</v>
      </c>
      <c r="EY13" s="718" t="s">
        <v>547</v>
      </c>
      <c r="EZ13" s="717"/>
      <c r="FA13" s="716"/>
      <c r="FB13" s="465"/>
    </row>
    <row r="14" spans="1:159" s="291" customFormat="1" ht="24.95" customHeight="1" x14ac:dyDescent="0.25">
      <c r="A14" s="458"/>
      <c r="B14" s="458"/>
      <c r="C14" s="458"/>
      <c r="D14" s="458"/>
      <c r="E14" s="458"/>
      <c r="F14" s="290" t="s">
        <v>4</v>
      </c>
      <c r="G14" s="55">
        <f>+AA14+BE14+CI14+DM14+EP14</f>
        <v>2487836470</v>
      </c>
      <c r="H14" s="54">
        <v>0</v>
      </c>
      <c r="I14" s="55"/>
      <c r="J14" s="55"/>
      <c r="K14" s="55"/>
      <c r="L14" s="55"/>
      <c r="M14" s="55"/>
      <c r="N14" s="55"/>
      <c r="O14" s="55"/>
      <c r="P14" s="55"/>
      <c r="Q14" s="55"/>
      <c r="R14" s="55"/>
      <c r="S14" s="55"/>
      <c r="T14" s="54"/>
      <c r="U14" s="62"/>
      <c r="V14" s="62"/>
      <c r="W14" s="54">
        <v>0</v>
      </c>
      <c r="X14" s="54">
        <v>0</v>
      </c>
      <c r="Y14" s="54">
        <v>0</v>
      </c>
      <c r="Z14" s="54">
        <v>0</v>
      </c>
      <c r="AA14" s="55">
        <v>0</v>
      </c>
      <c r="AB14" s="54">
        <v>349704142</v>
      </c>
      <c r="AC14" s="55">
        <v>62876122</v>
      </c>
      <c r="AD14" s="55">
        <v>62876122</v>
      </c>
      <c r="AE14" s="62">
        <v>54302358</v>
      </c>
      <c r="AF14" s="55">
        <f>117178480-AD14</f>
        <v>54302358</v>
      </c>
      <c r="AG14" s="55">
        <v>104432327</v>
      </c>
      <c r="AH14" s="55">
        <f>221610807-AF14-AD14</f>
        <v>104432327</v>
      </c>
      <c r="AI14" s="55">
        <v>5682842</v>
      </c>
      <c r="AJ14" s="55">
        <f>227293649-AH14-AF14-AD14</f>
        <v>5682842</v>
      </c>
      <c r="AK14" s="55">
        <v>80059278</v>
      </c>
      <c r="AL14" s="55">
        <f>307352927-AJ14-AH14-AF14-AD14</f>
        <v>80059278</v>
      </c>
      <c r="AM14" s="55">
        <v>16097586</v>
      </c>
      <c r="AN14" s="55">
        <v>19233596</v>
      </c>
      <c r="AO14" s="55">
        <v>0</v>
      </c>
      <c r="AP14" s="55">
        <v>0</v>
      </c>
      <c r="AQ14" s="55">
        <v>0</v>
      </c>
      <c r="AR14" s="55">
        <v>9064999</v>
      </c>
      <c r="AS14" s="55">
        <f>26253629-11970000</f>
        <v>14283629</v>
      </c>
      <c r="AT14" s="55">
        <v>755053</v>
      </c>
      <c r="AU14" s="55">
        <v>0</v>
      </c>
      <c r="AV14" s="55">
        <v>0</v>
      </c>
      <c r="AW14" s="55">
        <v>0</v>
      </c>
      <c r="AX14" s="55">
        <v>337959</v>
      </c>
      <c r="AY14" s="55">
        <v>0</v>
      </c>
      <c r="AZ14" s="55">
        <v>989608</v>
      </c>
      <c r="BA14" s="55">
        <f>AY14+AW14+AU14+AS14+AQ14+AO14+AM14+AK14+AI14+AG14+AE14+AC14</f>
        <v>337734142</v>
      </c>
      <c r="BB14" s="55">
        <f>AC14+AE14+AG14+AI14+AK14+AM14+AO14+AQ14+AS14+AU14+AW14+AY14</f>
        <v>337734142</v>
      </c>
      <c r="BC14" s="55">
        <f>AD14+AF14+AH14+AJ14+AL14+AN14+AP14+AR14+AT14+AV14+AX14+AZ14</f>
        <v>337734142</v>
      </c>
      <c r="BD14" s="55">
        <f>AE14+AG14+AI14+AK14+AM14+AO14+AQ14+AS14+AU14+AW14+AY14+AC14</f>
        <v>337734142</v>
      </c>
      <c r="BE14" s="55">
        <f>AD14+AF14+AH14+AJ14+AL14+AN14+AP14+AR14+AT14+AV14+AX14+AZ14</f>
        <v>337734142</v>
      </c>
      <c r="BF14" s="55">
        <v>557602926</v>
      </c>
      <c r="BG14" s="55">
        <v>14814800</v>
      </c>
      <c r="BH14" s="55"/>
      <c r="BI14" s="55">
        <v>86403771</v>
      </c>
      <c r="BJ14" s="55">
        <v>42955919</v>
      </c>
      <c r="BK14" s="55">
        <v>66341056</v>
      </c>
      <c r="BL14" s="55">
        <v>0</v>
      </c>
      <c r="BM14" s="55">
        <v>37348492</v>
      </c>
      <c r="BN14" s="55">
        <v>0</v>
      </c>
      <c r="BO14" s="55">
        <v>6178859</v>
      </c>
      <c r="BP14" s="55">
        <v>0</v>
      </c>
      <c r="BQ14" s="55">
        <f>121462820- 1161533</f>
        <v>120301287</v>
      </c>
      <c r="BR14" s="55">
        <v>0</v>
      </c>
      <c r="BS14" s="55">
        <f>216642665+1161533</f>
        <v>217804198</v>
      </c>
      <c r="BT14" s="55">
        <v>514647007</v>
      </c>
      <c r="BU14" s="55">
        <v>4010463</v>
      </c>
      <c r="BV14" s="55">
        <v>-1518487</v>
      </c>
      <c r="BW14" s="55">
        <f>2400000-1518491</f>
        <v>881509</v>
      </c>
      <c r="BX14" s="55">
        <v>-111746667</v>
      </c>
      <c r="BY14" s="55">
        <f>--2000000-6000000</f>
        <v>-4000000</v>
      </c>
      <c r="BZ14" s="55">
        <v>62056044</v>
      </c>
      <c r="CA14" s="55">
        <v>7518491</v>
      </c>
      <c r="CB14" s="55">
        <v>29318876</v>
      </c>
      <c r="CC14" s="55">
        <v>-7518491</v>
      </c>
      <c r="CD14" s="55">
        <v>0</v>
      </c>
      <c r="CE14" s="55">
        <f>CC14+CA14+BY14+BW14+BU14+BS14+BQ14+BO14+BM14+BK14+BI14+BG14</f>
        <v>550084435</v>
      </c>
      <c r="CF14" s="55">
        <f>+BG14+BI14+BK14+BM14+BO14+BQ14+BS14+BU14+BW14+BY14+CA14+CC14</f>
        <v>550084435</v>
      </c>
      <c r="CG14" s="55">
        <f>+BH14+BJ14+BL14+BN14+BP14+BR14+BT14+BV14+BX14+BZ14+CB14+CD14</f>
        <v>535712692</v>
      </c>
      <c r="CH14" s="54">
        <f>CC14+CA14+BY14+BW14+BU14+BS14+BQ14+BO14+BM14+BK14+BI14+BG14</f>
        <v>550084435</v>
      </c>
      <c r="CI14" s="54">
        <f>+BH14+BJ14+BL14+BN14+BP14+BR14+BT14+BV14+BX14+BZ14+CB14+CD14</f>
        <v>535712692</v>
      </c>
      <c r="CJ14" s="55">
        <v>988087570</v>
      </c>
      <c r="CK14" s="55">
        <v>21758150</v>
      </c>
      <c r="CL14" s="55">
        <v>26984507</v>
      </c>
      <c r="CM14" s="55">
        <v>118356562</v>
      </c>
      <c r="CN14" s="55">
        <v>56263467</v>
      </c>
      <c r="CO14" s="55">
        <v>120211583</v>
      </c>
      <c r="CP14" s="55">
        <v>65709409</v>
      </c>
      <c r="CQ14" s="55">
        <v>23286630</v>
      </c>
      <c r="CR14" s="55">
        <v>92786944</v>
      </c>
      <c r="CS14" s="55">
        <v>8376765</v>
      </c>
      <c r="CT14" s="180">
        <v>56768160</v>
      </c>
      <c r="CU14" s="162">
        <v>40032055</v>
      </c>
      <c r="CV14" s="162">
        <v>11168353</v>
      </c>
      <c r="CW14" s="162">
        <f>490136979-2782800</f>
        <v>487354179</v>
      </c>
      <c r="CX14" s="162">
        <v>3999670</v>
      </c>
      <c r="CY14" s="55">
        <v>6376765</v>
      </c>
      <c r="CZ14" s="162">
        <v>25273709</v>
      </c>
      <c r="DA14" s="162">
        <f>39626765-1963240</f>
        <v>37663525</v>
      </c>
      <c r="DB14" s="162">
        <v>87776000</v>
      </c>
      <c r="DC14" s="162">
        <f>37849516+202655747-202655748</f>
        <v>37849515</v>
      </c>
      <c r="DD14" s="162">
        <f>237839270-162493214</f>
        <v>75346056</v>
      </c>
      <c r="DE14" s="162">
        <v>37849516</v>
      </c>
      <c r="DF14" s="162">
        <v>219020089</v>
      </c>
      <c r="DG14" s="162">
        <f>44226284-330403</f>
        <v>43895881</v>
      </c>
      <c r="DH14" s="162">
        <v>233866582</v>
      </c>
      <c r="DI14" s="54">
        <f>DG14+DE14+DC14+DA14+CY14+CW14+CU14+CM14+CS14+CO14+CQ14+CK14</f>
        <v>983011126</v>
      </c>
      <c r="DJ14" s="54">
        <f>CK14+CM14+CO14+CQ14+CS14+CU14+CW14+CY14+DA14+DC14+DE14+DG14</f>
        <v>983011126</v>
      </c>
      <c r="DK14" s="54">
        <f>CL14+CN14+CP14+CR14+CT14+CV14+CX14+CZ14+DB14+DD14+DF14+DH14</f>
        <v>954962946</v>
      </c>
      <c r="DL14" s="54">
        <f>CM14+CO14+CQ14+CS14+CU14+CW14+CY14+DA14+DC14+DE14+DG14+CK14</f>
        <v>983011126</v>
      </c>
      <c r="DM14" s="54">
        <f>DK14</f>
        <v>954962946</v>
      </c>
      <c r="DN14" s="55">
        <f>DO14+DQ14+DS14+DU14+DW14+DY14+EA14</f>
        <v>659426690</v>
      </c>
      <c r="DO14" s="180">
        <v>23268741</v>
      </c>
      <c r="DP14" s="180">
        <v>23268741</v>
      </c>
      <c r="DQ14" s="180">
        <v>46528333</v>
      </c>
      <c r="DR14" s="180">
        <v>46275539</v>
      </c>
      <c r="DS14" s="180">
        <v>76554706</v>
      </c>
      <c r="DT14" s="180">
        <v>27655010</v>
      </c>
      <c r="DU14" s="180">
        <v>550000</v>
      </c>
      <c r="DV14" s="180">
        <v>23561700</v>
      </c>
      <c r="DW14" s="162">
        <v>550000</v>
      </c>
      <c r="DX14" s="162">
        <v>21869208</v>
      </c>
      <c r="DY14" s="162">
        <v>550000</v>
      </c>
      <c r="DZ14" s="55"/>
      <c r="EA14" s="55">
        <v>511424910</v>
      </c>
      <c r="EB14" s="162"/>
      <c r="EC14" s="162"/>
      <c r="ED14" s="162"/>
      <c r="EE14" s="162"/>
      <c r="EF14" s="162"/>
      <c r="EG14" s="162"/>
      <c r="EH14" s="162"/>
      <c r="EI14" s="162"/>
      <c r="EJ14" s="162"/>
      <c r="EK14" s="162"/>
      <c r="EL14" s="55"/>
      <c r="EM14" s="61">
        <f>EK14+EI14+EG14+EE14+EC14+EA14+DY14+DW14+DU14+DS14+DQ14+DO14</f>
        <v>659426690</v>
      </c>
      <c r="EN14" s="365">
        <f t="shared" si="0"/>
        <v>147451780</v>
      </c>
      <c r="EO14" s="365">
        <f t="shared" si="0"/>
        <v>142630198</v>
      </c>
      <c r="EP14" s="54">
        <f>DQ14+DS14+DU14+DW14+DY14+EA14+EC14+EE14+EG14+EI14+EK14+DO14</f>
        <v>659426690</v>
      </c>
      <c r="EQ14" s="61">
        <f>DP14+DR14+DT14+DV14+DX14</f>
        <v>142630198</v>
      </c>
      <c r="ER14" s="134">
        <f t="shared" si="1"/>
        <v>39.762196363636363</v>
      </c>
      <c r="ES14" s="134">
        <f t="shared" ref="ES14:ES57" si="5">IFERROR(EO14/EN14,0)</f>
        <v>0.96730061854797544</v>
      </c>
      <c r="ET14" s="847">
        <f t="shared" ref="ET14:ET57" si="6">IFERROR(EQ14/EP14,0)</f>
        <v>0.21629424492963728</v>
      </c>
      <c r="EU14" s="847">
        <f>IFERROR((AA14+BE14+CI14+DM14+EO14)/(Z14+BD14+CH14+DL14+EN14),0)</f>
        <v>0.97659320298089458</v>
      </c>
      <c r="EV14" s="337">
        <f t="shared" ref="EV14:EV56" si="7">+(AA14+BE14+CI14+DM14+EQ14)/G14</f>
        <v>0.79227071464226906</v>
      </c>
      <c r="EW14" s="719"/>
      <c r="EX14" s="718" t="s">
        <v>547</v>
      </c>
      <c r="EY14" s="718" t="s">
        <v>547</v>
      </c>
      <c r="EZ14" s="717"/>
      <c r="FA14" s="716"/>
      <c r="FB14" s="465"/>
    </row>
    <row r="15" spans="1:159" s="56" customFormat="1" ht="24.95" customHeight="1" thickBot="1" x14ac:dyDescent="0.3">
      <c r="A15" s="458"/>
      <c r="B15" s="458"/>
      <c r="C15" s="458"/>
      <c r="D15" s="458"/>
      <c r="E15" s="458"/>
      <c r="F15" s="165" t="s">
        <v>42</v>
      </c>
      <c r="G15" s="822">
        <f>+G10+G13</f>
        <v>1</v>
      </c>
      <c r="H15" s="822">
        <f>+H10+H13</f>
        <v>1</v>
      </c>
      <c r="I15" s="776"/>
      <c r="J15" s="776"/>
      <c r="K15" s="776"/>
      <c r="L15" s="776"/>
      <c r="M15" s="776"/>
      <c r="N15" s="787"/>
      <c r="O15" s="776"/>
      <c r="P15" s="787"/>
      <c r="Q15" s="776"/>
      <c r="R15" s="813"/>
      <c r="S15" s="776"/>
      <c r="T15" s="787"/>
      <c r="U15" s="776"/>
      <c r="V15" s="776"/>
      <c r="W15" s="132">
        <f t="shared" ref="W15:AK15" si="8">+W10+W13</f>
        <v>1</v>
      </c>
      <c r="X15" s="132">
        <f t="shared" si="8"/>
        <v>1</v>
      </c>
      <c r="Y15" s="132">
        <f t="shared" si="8"/>
        <v>1</v>
      </c>
      <c r="Z15" s="132">
        <f t="shared" si="8"/>
        <v>1</v>
      </c>
      <c r="AA15" s="132">
        <f t="shared" si="8"/>
        <v>1</v>
      </c>
      <c r="AB15" s="132">
        <f t="shared" si="8"/>
        <v>1</v>
      </c>
      <c r="AC15" s="132">
        <f t="shared" si="8"/>
        <v>1</v>
      </c>
      <c r="AD15" s="132">
        <f t="shared" si="8"/>
        <v>0.86</v>
      </c>
      <c r="AE15" s="132">
        <f t="shared" si="8"/>
        <v>1</v>
      </c>
      <c r="AF15" s="132">
        <f t="shared" si="8"/>
        <v>0.75</v>
      </c>
      <c r="AG15" s="132">
        <f t="shared" si="8"/>
        <v>1</v>
      </c>
      <c r="AH15" s="132">
        <f t="shared" si="8"/>
        <v>0.8</v>
      </c>
      <c r="AI15" s="132">
        <f t="shared" si="8"/>
        <v>1</v>
      </c>
      <c r="AJ15" s="132">
        <f t="shared" si="8"/>
        <v>1</v>
      </c>
      <c r="AK15" s="132">
        <f t="shared" si="8"/>
        <v>1</v>
      </c>
      <c r="AL15" s="132">
        <f t="shared" ref="AL15:BJ15" si="9">+AL10+AL13</f>
        <v>1</v>
      </c>
      <c r="AM15" s="132">
        <f t="shared" si="9"/>
        <v>1</v>
      </c>
      <c r="AN15" s="132">
        <f t="shared" si="9"/>
        <v>1</v>
      </c>
      <c r="AO15" s="132">
        <f t="shared" si="9"/>
        <v>1</v>
      </c>
      <c r="AP15" s="132">
        <f t="shared" si="9"/>
        <v>0.95</v>
      </c>
      <c r="AQ15" s="132">
        <f t="shared" si="9"/>
        <v>1</v>
      </c>
      <c r="AR15" s="132">
        <f t="shared" si="9"/>
        <v>0.95</v>
      </c>
      <c r="AS15" s="132">
        <f t="shared" si="9"/>
        <v>1</v>
      </c>
      <c r="AT15" s="132">
        <f t="shared" si="9"/>
        <v>0.98</v>
      </c>
      <c r="AU15" s="132">
        <f t="shared" si="9"/>
        <v>1</v>
      </c>
      <c r="AV15" s="132">
        <f t="shared" si="9"/>
        <v>1</v>
      </c>
      <c r="AW15" s="132">
        <f t="shared" si="9"/>
        <v>1</v>
      </c>
      <c r="AX15" s="132">
        <f t="shared" si="9"/>
        <v>1</v>
      </c>
      <c r="AY15" s="132">
        <f t="shared" si="9"/>
        <v>1</v>
      </c>
      <c r="AZ15" s="132">
        <f t="shared" si="9"/>
        <v>1</v>
      </c>
      <c r="BA15" s="132">
        <f t="shared" si="9"/>
        <v>1</v>
      </c>
      <c r="BB15" s="132">
        <f t="shared" si="9"/>
        <v>1</v>
      </c>
      <c r="BC15" s="132">
        <f t="shared" si="9"/>
        <v>1</v>
      </c>
      <c r="BD15" s="132">
        <f t="shared" si="9"/>
        <v>1</v>
      </c>
      <c r="BE15" s="132">
        <f t="shared" si="9"/>
        <v>1</v>
      </c>
      <c r="BF15" s="132">
        <f t="shared" si="9"/>
        <v>1</v>
      </c>
      <c r="BG15" s="132">
        <f t="shared" si="9"/>
        <v>1</v>
      </c>
      <c r="BH15" s="132">
        <f t="shared" si="9"/>
        <v>1</v>
      </c>
      <c r="BI15" s="132">
        <f t="shared" si="9"/>
        <v>1</v>
      </c>
      <c r="BJ15" s="132">
        <f t="shared" si="9"/>
        <v>1</v>
      </c>
      <c r="BK15" s="132">
        <f t="shared" ref="BK15:CD15" si="10">+BK10+BK13</f>
        <v>1</v>
      </c>
      <c r="BL15" s="132">
        <f t="shared" si="10"/>
        <v>1</v>
      </c>
      <c r="BM15" s="132">
        <f t="shared" si="10"/>
        <v>1</v>
      </c>
      <c r="BN15" s="132">
        <f>+BN10+BN13</f>
        <v>1</v>
      </c>
      <c r="BO15" s="132">
        <f t="shared" si="10"/>
        <v>1</v>
      </c>
      <c r="BP15" s="132">
        <f t="shared" si="10"/>
        <v>1</v>
      </c>
      <c r="BQ15" s="132">
        <f t="shared" si="10"/>
        <v>1</v>
      </c>
      <c r="BR15" s="132">
        <f t="shared" si="10"/>
        <v>1</v>
      </c>
      <c r="BS15" s="132">
        <f t="shared" si="10"/>
        <v>1</v>
      </c>
      <c r="BT15" s="132">
        <f t="shared" si="10"/>
        <v>1</v>
      </c>
      <c r="BU15" s="132">
        <f t="shared" si="10"/>
        <v>1</v>
      </c>
      <c r="BV15" s="132">
        <f>+BV10+BV13</f>
        <v>1</v>
      </c>
      <c r="BW15" s="132">
        <f t="shared" si="10"/>
        <v>1</v>
      </c>
      <c r="BX15" s="132">
        <f t="shared" si="10"/>
        <v>1</v>
      </c>
      <c r="BY15" s="132">
        <f t="shared" si="10"/>
        <v>1</v>
      </c>
      <c r="BZ15" s="132">
        <f t="shared" si="10"/>
        <v>1</v>
      </c>
      <c r="CA15" s="132">
        <f t="shared" si="10"/>
        <v>1</v>
      </c>
      <c r="CB15" s="132">
        <f t="shared" si="10"/>
        <v>1</v>
      </c>
      <c r="CC15" s="132">
        <f t="shared" si="10"/>
        <v>1</v>
      </c>
      <c r="CD15" s="132">
        <f t="shared" si="10"/>
        <v>1</v>
      </c>
      <c r="CE15" s="132">
        <f t="shared" ref="CE15:CI16" si="11">+CE10+CE13</f>
        <v>1</v>
      </c>
      <c r="CF15" s="132">
        <f t="shared" si="11"/>
        <v>1</v>
      </c>
      <c r="CG15" s="132">
        <f t="shared" si="11"/>
        <v>1</v>
      </c>
      <c r="CH15" s="132">
        <f t="shared" si="11"/>
        <v>1</v>
      </c>
      <c r="CI15" s="132">
        <f t="shared" si="11"/>
        <v>1</v>
      </c>
      <c r="CJ15" s="822">
        <f>+CJ10+CJ13</f>
        <v>1</v>
      </c>
      <c r="CK15" s="822">
        <f>+CK10+CK13</f>
        <v>1</v>
      </c>
      <c r="CL15" s="822">
        <f t="shared" ref="CL15:DG16" si="12">+CL10+CL13</f>
        <v>1</v>
      </c>
      <c r="CM15" s="822">
        <f t="shared" si="12"/>
        <v>1</v>
      </c>
      <c r="CN15" s="822">
        <f t="shared" si="12"/>
        <v>1</v>
      </c>
      <c r="CO15" s="822">
        <f t="shared" si="12"/>
        <v>1</v>
      </c>
      <c r="CP15" s="822">
        <f>+CP10+CP13</f>
        <v>1</v>
      </c>
      <c r="CQ15" s="822">
        <f t="shared" si="12"/>
        <v>1</v>
      </c>
      <c r="CR15" s="822">
        <f t="shared" si="12"/>
        <v>1</v>
      </c>
      <c r="CS15" s="822">
        <f t="shared" si="12"/>
        <v>1</v>
      </c>
      <c r="CT15" s="837"/>
      <c r="CU15" s="822">
        <f>+CU10+CU13</f>
        <v>1</v>
      </c>
      <c r="CV15" s="822">
        <f>+CV10+CV13</f>
        <v>1</v>
      </c>
      <c r="CW15" s="822">
        <f t="shared" si="12"/>
        <v>1</v>
      </c>
      <c r="CX15" s="848">
        <f t="shared" si="12"/>
        <v>1</v>
      </c>
      <c r="CY15" s="822">
        <f>+CY10+CY13</f>
        <v>1</v>
      </c>
      <c r="CZ15" s="822">
        <f>+CZ10+CZ13</f>
        <v>1</v>
      </c>
      <c r="DA15" s="822">
        <f t="shared" si="12"/>
        <v>1</v>
      </c>
      <c r="DB15" s="848">
        <f t="shared" si="12"/>
        <v>1</v>
      </c>
      <c r="DC15" s="822">
        <f t="shared" si="12"/>
        <v>1</v>
      </c>
      <c r="DD15" s="861"/>
      <c r="DE15" s="822">
        <f t="shared" si="12"/>
        <v>1</v>
      </c>
      <c r="DF15" s="848">
        <f t="shared" si="12"/>
        <v>1</v>
      </c>
      <c r="DG15" s="822">
        <f t="shared" si="12"/>
        <v>1</v>
      </c>
      <c r="DH15" s="848">
        <f t="shared" ref="DH15:DM15" si="13">+DH10+DH13</f>
        <v>1</v>
      </c>
      <c r="DI15" s="822">
        <f t="shared" si="13"/>
        <v>1</v>
      </c>
      <c r="DJ15" s="822">
        <f>+DJ10+DJ13</f>
        <v>1</v>
      </c>
      <c r="DK15" s="822">
        <f>+DK10+DK13</f>
        <v>1</v>
      </c>
      <c r="DL15" s="822">
        <f>+DL10+DL13</f>
        <v>1</v>
      </c>
      <c r="DM15" s="822">
        <f t="shared" si="13"/>
        <v>1</v>
      </c>
      <c r="DN15" s="132">
        <f t="shared" ref="DN15:DR16" si="14">+DN10+DN13</f>
        <v>1</v>
      </c>
      <c r="DO15" s="319">
        <f t="shared" si="14"/>
        <v>1</v>
      </c>
      <c r="DP15" s="324">
        <f t="shared" si="14"/>
        <v>1</v>
      </c>
      <c r="DQ15" s="319">
        <f t="shared" si="14"/>
        <v>1</v>
      </c>
      <c r="DR15" s="319">
        <f t="shared" si="14"/>
        <v>1</v>
      </c>
      <c r="DS15" s="319">
        <f t="shared" ref="DS15:DY15" si="15">+DS10+DS13</f>
        <v>1</v>
      </c>
      <c r="DT15" s="319">
        <f t="shared" si="15"/>
        <v>1</v>
      </c>
      <c r="DU15" s="319">
        <f t="shared" si="15"/>
        <v>1</v>
      </c>
      <c r="DV15" s="319">
        <f t="shared" si="15"/>
        <v>1</v>
      </c>
      <c r="DW15" s="266">
        <f t="shared" si="15"/>
        <v>1</v>
      </c>
      <c r="DX15" s="266">
        <f t="shared" si="15"/>
        <v>1</v>
      </c>
      <c r="DY15" s="266">
        <f t="shared" si="15"/>
        <v>1</v>
      </c>
      <c r="DZ15" s="824"/>
      <c r="EA15" s="866"/>
      <c r="EB15" s="866"/>
      <c r="EC15" s="866"/>
      <c r="ED15" s="866"/>
      <c r="EE15" s="866"/>
      <c r="EF15" s="866"/>
      <c r="EG15" s="866"/>
      <c r="EH15" s="866"/>
      <c r="EI15" s="866"/>
      <c r="EJ15" s="866"/>
      <c r="EK15" s="866"/>
      <c r="EL15" s="824"/>
      <c r="EM15" s="132">
        <f>DO15</f>
        <v>1</v>
      </c>
      <c r="EN15" s="319">
        <f>EN10+EN13</f>
        <v>1</v>
      </c>
      <c r="EO15" s="319">
        <f>DV15</f>
        <v>1</v>
      </c>
      <c r="EP15" s="319">
        <f>EP10</f>
        <v>1</v>
      </c>
      <c r="EQ15" s="319">
        <f>EQ10+EQ13</f>
        <v>1</v>
      </c>
      <c r="ER15" s="134">
        <f t="shared" si="1"/>
        <v>1</v>
      </c>
      <c r="ES15" s="259">
        <f>IFERROR(EO15/EN15,0)</f>
        <v>1</v>
      </c>
      <c r="ET15" s="870">
        <f t="shared" si="6"/>
        <v>1</v>
      </c>
      <c r="EU15" s="870">
        <f>IFERROR((AA15+BE15+CI15+DM15+EO15)/(Z15+BD15+CH15+DL15+EN15),0)</f>
        <v>1</v>
      </c>
      <c r="EV15" s="338">
        <f>+(AA15+BE15+CI15+DM15+EQ15)/500%</f>
        <v>1</v>
      </c>
      <c r="EW15" s="719"/>
      <c r="EX15" s="718" t="s">
        <v>547</v>
      </c>
      <c r="EY15" s="718" t="s">
        <v>547</v>
      </c>
      <c r="EZ15" s="717"/>
      <c r="FA15" s="716"/>
      <c r="FB15" s="465"/>
    </row>
    <row r="16" spans="1:159" s="58" customFormat="1" ht="24.95" customHeight="1" thickBot="1" x14ac:dyDescent="0.3">
      <c r="A16" s="458"/>
      <c r="B16" s="458"/>
      <c r="C16" s="458"/>
      <c r="D16" s="458"/>
      <c r="E16" s="458"/>
      <c r="F16" s="166" t="s">
        <v>44</v>
      </c>
      <c r="G16" s="135">
        <f>+G11+G14</f>
        <v>11793393528</v>
      </c>
      <c r="H16" s="136">
        <f>+H11+H14</f>
        <v>775545944</v>
      </c>
      <c r="I16" s="136"/>
      <c r="J16" s="136"/>
      <c r="K16" s="136"/>
      <c r="L16" s="136"/>
      <c r="M16" s="136"/>
      <c r="N16" s="136"/>
      <c r="O16" s="136"/>
      <c r="P16" s="136"/>
      <c r="Q16" s="136"/>
      <c r="R16" s="136"/>
      <c r="S16" s="136"/>
      <c r="T16" s="137"/>
      <c r="U16" s="136"/>
      <c r="V16" s="136"/>
      <c r="W16" s="136">
        <f t="shared" ref="W16:AK16" si="16">+W11+W14</f>
        <v>775545944</v>
      </c>
      <c r="X16" s="136">
        <f t="shared" si="16"/>
        <v>775545944</v>
      </c>
      <c r="Y16" s="136">
        <f t="shared" si="16"/>
        <v>731213017</v>
      </c>
      <c r="Z16" s="136">
        <f t="shared" si="16"/>
        <v>780545944</v>
      </c>
      <c r="AA16" s="136">
        <f t="shared" si="16"/>
        <v>731213017</v>
      </c>
      <c r="AB16" s="136">
        <f t="shared" si="16"/>
        <v>1914382142</v>
      </c>
      <c r="AC16" s="136">
        <f t="shared" si="16"/>
        <v>62876122</v>
      </c>
      <c r="AD16" s="136">
        <f t="shared" si="16"/>
        <v>62876122</v>
      </c>
      <c r="AE16" s="136">
        <f t="shared" si="16"/>
        <v>242534358</v>
      </c>
      <c r="AF16" s="136">
        <f t="shared" si="16"/>
        <v>242534358</v>
      </c>
      <c r="AG16" s="136">
        <f t="shared" si="16"/>
        <v>453424327</v>
      </c>
      <c r="AH16" s="136">
        <f t="shared" si="16"/>
        <v>453424327</v>
      </c>
      <c r="AI16" s="136">
        <f t="shared" si="16"/>
        <v>133162699</v>
      </c>
      <c r="AJ16" s="136">
        <f t="shared" si="16"/>
        <v>133162699</v>
      </c>
      <c r="AK16" s="136">
        <f t="shared" si="16"/>
        <v>80059278</v>
      </c>
      <c r="AL16" s="136">
        <f t="shared" ref="AL16:BJ16" si="17">+AL11+AL14</f>
        <v>80059278</v>
      </c>
      <c r="AM16" s="136">
        <f t="shared" si="17"/>
        <v>222729343</v>
      </c>
      <c r="AN16" s="136">
        <f t="shared" si="17"/>
        <v>225711492</v>
      </c>
      <c r="AO16" s="136">
        <f t="shared" si="17"/>
        <v>0</v>
      </c>
      <c r="AP16" s="136">
        <f t="shared" si="17"/>
        <v>0</v>
      </c>
      <c r="AQ16" s="136">
        <f t="shared" si="17"/>
        <v>145468477</v>
      </c>
      <c r="AR16" s="136">
        <f t="shared" si="17"/>
        <v>9064999</v>
      </c>
      <c r="AS16" s="136">
        <f t="shared" si="17"/>
        <v>95595406</v>
      </c>
      <c r="AT16" s="136">
        <f t="shared" si="17"/>
        <v>28395387</v>
      </c>
      <c r="AU16" s="136">
        <f t="shared" si="17"/>
        <v>145468477</v>
      </c>
      <c r="AV16" s="136">
        <f t="shared" si="17"/>
        <v>186104768</v>
      </c>
      <c r="AW16" s="136">
        <f t="shared" si="17"/>
        <v>145468477</v>
      </c>
      <c r="AX16" s="136">
        <f t="shared" si="17"/>
        <v>226020001</v>
      </c>
      <c r="AY16" s="136">
        <f t="shared" si="17"/>
        <v>145468478</v>
      </c>
      <c r="AZ16" s="136">
        <f t="shared" si="17"/>
        <v>186969331</v>
      </c>
      <c r="BA16" s="136">
        <f t="shared" si="17"/>
        <v>1872255442</v>
      </c>
      <c r="BB16" s="136">
        <f t="shared" si="17"/>
        <v>1872255442</v>
      </c>
      <c r="BC16" s="136">
        <f t="shared" si="17"/>
        <v>1834322762</v>
      </c>
      <c r="BD16" s="136">
        <f t="shared" si="17"/>
        <v>1872255442</v>
      </c>
      <c r="BE16" s="136">
        <f t="shared" si="17"/>
        <v>1834322762</v>
      </c>
      <c r="BF16" s="136">
        <f t="shared" si="17"/>
        <v>2777211926</v>
      </c>
      <c r="BG16" s="136">
        <f t="shared" si="17"/>
        <v>1236838800</v>
      </c>
      <c r="BH16" s="136">
        <f t="shared" si="17"/>
        <v>665963000</v>
      </c>
      <c r="BI16" s="136">
        <f t="shared" si="17"/>
        <v>114403771</v>
      </c>
      <c r="BJ16" s="136">
        <f t="shared" si="17"/>
        <v>42955919</v>
      </c>
      <c r="BK16" s="136">
        <f t="shared" ref="BK16:CD16" si="18">+BK11+BK14</f>
        <v>810926056</v>
      </c>
      <c r="BL16" s="136">
        <f t="shared" si="18"/>
        <v>0</v>
      </c>
      <c r="BM16" s="136">
        <f t="shared" si="18"/>
        <v>37348492</v>
      </c>
      <c r="BN16" s="136">
        <f t="shared" si="18"/>
        <v>0</v>
      </c>
      <c r="BO16" s="136">
        <f t="shared" si="18"/>
        <v>26178859</v>
      </c>
      <c r="BP16" s="136">
        <f t="shared" si="18"/>
        <v>112000000</v>
      </c>
      <c r="BQ16" s="136">
        <f t="shared" si="18"/>
        <v>150301287</v>
      </c>
      <c r="BR16" s="136">
        <f t="shared" si="18"/>
        <v>38000000</v>
      </c>
      <c r="BS16" s="136">
        <f t="shared" si="18"/>
        <v>217804198</v>
      </c>
      <c r="BT16" s="136">
        <f t="shared" si="18"/>
        <v>514647007</v>
      </c>
      <c r="BU16" s="136">
        <f t="shared" si="18"/>
        <v>124010463</v>
      </c>
      <c r="BV16" s="136">
        <f>+BV11+BV14</f>
        <v>-1518487</v>
      </c>
      <c r="BW16" s="136">
        <f t="shared" si="18"/>
        <v>-109628532</v>
      </c>
      <c r="BX16" s="136">
        <f t="shared" si="18"/>
        <v>-91434667</v>
      </c>
      <c r="BY16" s="136">
        <f t="shared" si="18"/>
        <v>66639641</v>
      </c>
      <c r="BZ16" s="136">
        <f t="shared" si="18"/>
        <v>166034644</v>
      </c>
      <c r="CA16" s="136">
        <f t="shared" si="18"/>
        <v>7518491</v>
      </c>
      <c r="CB16" s="136">
        <f t="shared" si="18"/>
        <v>151804776</v>
      </c>
      <c r="CC16" s="136">
        <f t="shared" si="18"/>
        <v>8481509</v>
      </c>
      <c r="CD16" s="136">
        <f t="shared" si="18"/>
        <v>851512450</v>
      </c>
      <c r="CE16" s="136">
        <f t="shared" si="11"/>
        <v>2690823035</v>
      </c>
      <c r="CF16" s="136">
        <f t="shared" si="11"/>
        <v>2690823035</v>
      </c>
      <c r="CG16" s="136">
        <f t="shared" si="11"/>
        <v>2449964642</v>
      </c>
      <c r="CH16" s="137">
        <f t="shared" si="11"/>
        <v>2690823035</v>
      </c>
      <c r="CI16" s="137">
        <f>+CI11+CI14</f>
        <v>2449964642</v>
      </c>
      <c r="CJ16" s="136">
        <f>+CJ11+CJ14</f>
        <v>2972271570</v>
      </c>
      <c r="CK16" s="136">
        <f>+CK11+CK14</f>
        <v>-240021350</v>
      </c>
      <c r="CL16" s="136">
        <f t="shared" si="12"/>
        <v>73314507</v>
      </c>
      <c r="CM16" s="136">
        <f t="shared" si="12"/>
        <v>218869379</v>
      </c>
      <c r="CN16" s="136">
        <f>+CN11+CM14</f>
        <v>518456562</v>
      </c>
      <c r="CO16" s="136">
        <f t="shared" si="12"/>
        <v>236824400</v>
      </c>
      <c r="CP16" s="136">
        <f>+CP11+CP14</f>
        <v>372892409</v>
      </c>
      <c r="CQ16" s="136">
        <f t="shared" si="12"/>
        <v>127899447</v>
      </c>
      <c r="CR16" s="136">
        <f t="shared" si="12"/>
        <v>229776944</v>
      </c>
      <c r="CS16" s="136">
        <f t="shared" si="12"/>
        <v>112989582</v>
      </c>
      <c r="CT16" s="182">
        <f>+CT11+CT14</f>
        <v>88072160</v>
      </c>
      <c r="CU16" s="136">
        <f>+CU11+CU14</f>
        <v>143644872</v>
      </c>
      <c r="CV16" s="136">
        <f>+CV11+CV14</f>
        <v>11168353</v>
      </c>
      <c r="CW16" s="136">
        <f t="shared" si="12"/>
        <v>665639330</v>
      </c>
      <c r="CX16" s="236">
        <f t="shared" si="12"/>
        <v>3999670</v>
      </c>
      <c r="CY16" s="136">
        <f t="shared" si="12"/>
        <v>110989582</v>
      </c>
      <c r="CZ16" s="136">
        <f>+CZ11+CZ14</f>
        <v>46273709</v>
      </c>
      <c r="DA16" s="136">
        <f>+DA11+DA14</f>
        <v>379304342</v>
      </c>
      <c r="DB16" s="136">
        <f>+DB11+DB14</f>
        <v>230476000</v>
      </c>
      <c r="DC16" s="136">
        <f t="shared" si="12"/>
        <v>-145612348</v>
      </c>
      <c r="DD16" s="136"/>
      <c r="DE16" s="136">
        <f t="shared" si="12"/>
        <v>42450533</v>
      </c>
      <c r="DF16" s="136"/>
      <c r="DG16" s="136">
        <f t="shared" si="12"/>
        <v>917863711</v>
      </c>
      <c r="DH16" s="136">
        <f t="shared" ref="DH16:DM16" si="19">+DH11+DH14</f>
        <v>685997653</v>
      </c>
      <c r="DI16" s="136">
        <f t="shared" si="19"/>
        <v>2570841480</v>
      </c>
      <c r="DJ16" s="136">
        <f>+DJ11+DJ14</f>
        <v>2570841480</v>
      </c>
      <c r="DK16" s="136">
        <f>+DK11+DK14</f>
        <v>2536472417</v>
      </c>
      <c r="DL16" s="136">
        <f t="shared" si="19"/>
        <v>2570841480</v>
      </c>
      <c r="DM16" s="136">
        <f t="shared" si="19"/>
        <v>2536472417</v>
      </c>
      <c r="DN16" s="136">
        <f t="shared" si="14"/>
        <v>4241420690</v>
      </c>
      <c r="DO16" s="182">
        <f t="shared" si="14"/>
        <v>226559373</v>
      </c>
      <c r="DP16" s="182">
        <f t="shared" si="14"/>
        <v>226559373</v>
      </c>
      <c r="DQ16" s="182">
        <f t="shared" si="14"/>
        <v>556964378</v>
      </c>
      <c r="DR16" s="182">
        <f>+DR11+DR14</f>
        <v>373051539</v>
      </c>
      <c r="DS16" s="182">
        <f>+DS11+DS14</f>
        <v>659196543</v>
      </c>
      <c r="DT16" s="182">
        <f>+DT11+DT14</f>
        <v>215487010</v>
      </c>
      <c r="DU16" s="182">
        <f>+DU11+DW14</f>
        <v>594775642</v>
      </c>
      <c r="DV16" s="182">
        <f>+DV11+DX14</f>
        <v>23842648</v>
      </c>
      <c r="DW16" s="236">
        <f>+DW11+DY14</f>
        <v>636191825</v>
      </c>
      <c r="DX16" s="236">
        <f>+DX11+DZ14</f>
        <v>304670293</v>
      </c>
      <c r="DY16" s="236">
        <f>+DY11+EA14</f>
        <v>1097066641</v>
      </c>
      <c r="DZ16" s="138"/>
      <c r="EA16" s="280"/>
      <c r="EB16" s="280"/>
      <c r="EC16" s="280"/>
      <c r="ED16" s="280"/>
      <c r="EE16" s="280"/>
      <c r="EF16" s="280"/>
      <c r="EG16" s="280"/>
      <c r="EH16" s="280"/>
      <c r="EI16" s="280"/>
      <c r="EJ16" s="280"/>
      <c r="EK16" s="280"/>
      <c r="EL16" s="138"/>
      <c r="EM16" s="137">
        <f>EM11+EM14</f>
        <v>4241420690</v>
      </c>
      <c r="EN16" s="136">
        <f>+EN11+EN14</f>
        <v>2673687761</v>
      </c>
      <c r="EO16" s="142">
        <f>EO11+EO14</f>
        <v>1167172563</v>
      </c>
      <c r="EP16" s="136">
        <f>+EP11+EP14</f>
        <v>4241420690</v>
      </c>
      <c r="EQ16" s="136">
        <f>EQ11+EQ14</f>
        <v>1167172563</v>
      </c>
      <c r="ER16" s="260">
        <f>IFERROR(DX16/DW16,0)</f>
        <v>0.47889690031776189</v>
      </c>
      <c r="ES16" s="260">
        <f>IFERROR(EO16/EN16,0)</f>
        <v>0.4365403395359298</v>
      </c>
      <c r="ET16" s="845">
        <f>IFERROR(EQ16/EP16,0)</f>
        <v>0.27518434230111705</v>
      </c>
      <c r="EU16" s="845">
        <f>IFERROR((AA16+BE16+CI16+DM16+EO16)/(Z16+BD16+CH16+DL16+EN16),0)</f>
        <v>0.82348119222072547</v>
      </c>
      <c r="EV16" s="846">
        <f t="shared" si="7"/>
        <v>0.73932455321692714</v>
      </c>
      <c r="EW16" s="719"/>
      <c r="EX16" s="718" t="s">
        <v>547</v>
      </c>
      <c r="EY16" s="718" t="s">
        <v>547</v>
      </c>
      <c r="EZ16" s="717"/>
      <c r="FA16" s="716"/>
      <c r="FB16" s="465"/>
    </row>
    <row r="17" spans="1:162" s="56" customFormat="1" ht="24.95" customHeight="1" x14ac:dyDescent="0.25">
      <c r="A17" s="458" t="s">
        <v>292</v>
      </c>
      <c r="B17" s="458">
        <v>2</v>
      </c>
      <c r="C17" s="458" t="s">
        <v>610</v>
      </c>
      <c r="D17" s="458" t="s">
        <v>255</v>
      </c>
      <c r="E17" s="458">
        <v>272</v>
      </c>
      <c r="F17" s="165" t="s">
        <v>40</v>
      </c>
      <c r="G17" s="321">
        <f>+AA17+BE17+CI17+DM17+EP17</f>
        <v>29</v>
      </c>
      <c r="H17" s="658">
        <v>4</v>
      </c>
      <c r="I17" s="658"/>
      <c r="J17" s="658"/>
      <c r="K17" s="658"/>
      <c r="L17" s="658"/>
      <c r="M17" s="658"/>
      <c r="N17" s="658"/>
      <c r="O17" s="658"/>
      <c r="P17" s="658"/>
      <c r="Q17" s="658"/>
      <c r="R17" s="658"/>
      <c r="S17" s="658"/>
      <c r="T17" s="658"/>
      <c r="U17" s="658"/>
      <c r="V17" s="658"/>
      <c r="W17" s="658">
        <v>4</v>
      </c>
      <c r="X17" s="658">
        <v>4</v>
      </c>
      <c r="Y17" s="658">
        <v>4</v>
      </c>
      <c r="Z17" s="658">
        <v>4</v>
      </c>
      <c r="AA17" s="658">
        <v>4</v>
      </c>
      <c r="AB17" s="658">
        <v>8</v>
      </c>
      <c r="AC17" s="689">
        <v>0.2</v>
      </c>
      <c r="AD17" s="689">
        <v>0.2</v>
      </c>
      <c r="AE17" s="689">
        <v>0.25</v>
      </c>
      <c r="AF17" s="689">
        <v>0.25</v>
      </c>
      <c r="AG17" s="689">
        <v>0.55000000000000004</v>
      </c>
      <c r="AH17" s="689">
        <v>0.55000000000000004</v>
      </c>
      <c r="AI17" s="689">
        <v>0.6</v>
      </c>
      <c r="AJ17" s="689">
        <v>0.6</v>
      </c>
      <c r="AK17" s="689">
        <v>0.7</v>
      </c>
      <c r="AL17" s="689">
        <v>0.7</v>
      </c>
      <c r="AM17" s="689">
        <v>0.7</v>
      </c>
      <c r="AN17" s="689">
        <v>0.7</v>
      </c>
      <c r="AO17" s="689">
        <v>0.75</v>
      </c>
      <c r="AP17" s="689">
        <v>0.75</v>
      </c>
      <c r="AQ17" s="689">
        <v>0.85</v>
      </c>
      <c r="AR17" s="689">
        <v>0.85</v>
      </c>
      <c r="AS17" s="689">
        <v>1.05</v>
      </c>
      <c r="AT17" s="689">
        <v>1.05</v>
      </c>
      <c r="AU17" s="689">
        <v>0.85</v>
      </c>
      <c r="AV17" s="689">
        <v>0.85</v>
      </c>
      <c r="AW17" s="689">
        <v>0.6</v>
      </c>
      <c r="AX17" s="689">
        <v>0.6</v>
      </c>
      <c r="AY17" s="689">
        <v>0.9</v>
      </c>
      <c r="AZ17" s="689">
        <v>0.9</v>
      </c>
      <c r="BA17" s="658">
        <f>AY17+AW17+AU17+AS17+AQ17+AO17+AM17+AK17+AI17+AG17+AE17+AC17</f>
        <v>8</v>
      </c>
      <c r="BB17" s="658">
        <f t="shared" ref="BB17:BC21" si="20">AC17+AE17+AG17+AI17+AK17+AM17+AO17+AQ17+AS17+AU17+AW17+AY17</f>
        <v>7.9999999999999991</v>
      </c>
      <c r="BC17" s="658">
        <f t="shared" si="20"/>
        <v>7.9999999999999991</v>
      </c>
      <c r="BD17" s="658">
        <f>AE17+AG17+AI17+AK17+AM17+AO17+AQ17+AS17+AU17+AW17+AY17+AC17</f>
        <v>7.9999999999999991</v>
      </c>
      <c r="BE17" s="658">
        <f>AD17+AF17+AH17+AJ17+AL17+AN17+AP17+AR17+AT17+AV17+AX17+AZ17</f>
        <v>7.9999999999999991</v>
      </c>
      <c r="BF17" s="689">
        <v>6</v>
      </c>
      <c r="BG17" s="689">
        <v>0.2</v>
      </c>
      <c r="BH17" s="689">
        <v>0</v>
      </c>
      <c r="BI17" s="689">
        <v>0.25</v>
      </c>
      <c r="BJ17" s="689">
        <v>0.45</v>
      </c>
      <c r="BK17" s="689">
        <v>0.55000000000000004</v>
      </c>
      <c r="BL17" s="689">
        <v>0.55000000000000004</v>
      </c>
      <c r="BM17" s="689">
        <v>0.60000000000000009</v>
      </c>
      <c r="BN17" s="689">
        <v>0.6</v>
      </c>
      <c r="BO17" s="689">
        <v>0.7</v>
      </c>
      <c r="BP17" s="689">
        <v>0.7</v>
      </c>
      <c r="BQ17" s="689">
        <v>0.7</v>
      </c>
      <c r="BR17" s="689">
        <v>0.7</v>
      </c>
      <c r="BS17" s="689">
        <v>0.30000000000000004</v>
      </c>
      <c r="BT17" s="689">
        <v>0.3</v>
      </c>
      <c r="BU17" s="689">
        <v>0.2</v>
      </c>
      <c r="BV17" s="689">
        <v>0.2</v>
      </c>
      <c r="BW17" s="689">
        <v>0.6</v>
      </c>
      <c r="BX17" s="689">
        <v>0.6</v>
      </c>
      <c r="BY17" s="689">
        <f>0.6+1</f>
        <v>1.6</v>
      </c>
      <c r="BZ17" s="689">
        <v>0.6</v>
      </c>
      <c r="CA17" s="689">
        <v>0.7</v>
      </c>
      <c r="CB17" s="689">
        <v>0.7</v>
      </c>
      <c r="CC17" s="689">
        <v>0.6</v>
      </c>
      <c r="CD17" s="689">
        <v>0.6</v>
      </c>
      <c r="CE17" s="689">
        <f>CC17+CA17+BY17+BW17+BU17+BS17+BQ17+BO17+BM17+BK17+BI17+BG17</f>
        <v>7</v>
      </c>
      <c r="CF17" s="689">
        <f t="shared" ref="CF17:CG21" si="21">+BG17+BI17+BK17+BM17+BO17+BQ17+BS17+BU17+BW17+BY17+CA17+CC17</f>
        <v>6.9999999999999991</v>
      </c>
      <c r="CG17" s="133">
        <f t="shared" si="21"/>
        <v>5.9999999999999991</v>
      </c>
      <c r="CH17" s="133">
        <f>CC17+CA17+BY17+BW17+BU17+BS17+BQ17+BO17+BM17+BK17+BI17+BG17</f>
        <v>7</v>
      </c>
      <c r="CI17" s="133">
        <f>+BH17+BJ17+BL17+BN17+BP17+BR17+BT17+BV17+BX17+BZ17+CB17+CD17</f>
        <v>5.9999999999999991</v>
      </c>
      <c r="CJ17" s="689">
        <v>7</v>
      </c>
      <c r="CK17" s="689">
        <v>0.2</v>
      </c>
      <c r="CL17" s="689">
        <v>0.2</v>
      </c>
      <c r="CM17" s="689">
        <v>0.25</v>
      </c>
      <c r="CN17" s="689">
        <v>0.25</v>
      </c>
      <c r="CO17" s="689">
        <v>0.55000000000000004</v>
      </c>
      <c r="CP17" s="689">
        <v>0.55000000000000004</v>
      </c>
      <c r="CQ17" s="689">
        <v>0.6</v>
      </c>
      <c r="CR17" s="689">
        <v>0.6</v>
      </c>
      <c r="CS17" s="689">
        <v>0.7</v>
      </c>
      <c r="CT17" s="689">
        <v>0.7</v>
      </c>
      <c r="CU17" s="689">
        <v>0.7</v>
      </c>
      <c r="CV17" s="688">
        <v>0.7</v>
      </c>
      <c r="CW17" s="689">
        <v>0.2</v>
      </c>
      <c r="CX17" s="688">
        <v>0.2</v>
      </c>
      <c r="CY17" s="689">
        <v>0.25</v>
      </c>
      <c r="CZ17" s="688">
        <v>0.25</v>
      </c>
      <c r="DA17" s="689">
        <v>0.55000000000000004</v>
      </c>
      <c r="DB17" s="688">
        <v>0.55000000000000004</v>
      </c>
      <c r="DC17" s="689">
        <v>0.6</v>
      </c>
      <c r="DD17" s="688">
        <v>0.6</v>
      </c>
      <c r="DE17" s="689">
        <v>0.7</v>
      </c>
      <c r="DF17" s="688">
        <v>0.7</v>
      </c>
      <c r="DG17" s="689">
        <v>1.7</v>
      </c>
      <c r="DH17" s="688">
        <v>1.7</v>
      </c>
      <c r="DI17" s="689">
        <f>DG17+DE17+DC17+DA17+CY17+CW17+CU17+CS17+CQ17+CO17+CM17+CK17</f>
        <v>7</v>
      </c>
      <c r="DJ17" s="689">
        <f t="shared" ref="DJ17:DK20" si="22">CK17+CM17+CO17+CQ17+CS17+CU17+CW17+CY17+DA17+DC17+DE17+DG17</f>
        <v>7</v>
      </c>
      <c r="DK17" s="689">
        <f t="shared" si="22"/>
        <v>7</v>
      </c>
      <c r="DL17" s="133">
        <f t="shared" ref="DL17:DM19" si="23">CM17+CO17+CQ17+CS17+CU17+CW17+CY17+DA17+DC17+DE17+DG17+CK17</f>
        <v>7</v>
      </c>
      <c r="DM17" s="133">
        <f t="shared" si="23"/>
        <v>7</v>
      </c>
      <c r="DN17" s="658">
        <v>4</v>
      </c>
      <c r="DO17" s="700">
        <v>0.45</v>
      </c>
      <c r="DP17" s="700">
        <v>0.45</v>
      </c>
      <c r="DQ17" s="700">
        <v>0.55000000000000004</v>
      </c>
      <c r="DR17" s="700">
        <v>0.55000000000000004</v>
      </c>
      <c r="DS17" s="700">
        <v>0.7</v>
      </c>
      <c r="DT17" s="700">
        <v>0.7</v>
      </c>
      <c r="DU17" s="700">
        <v>0.6</v>
      </c>
      <c r="DV17" s="700">
        <v>0.6</v>
      </c>
      <c r="DW17" s="775">
        <v>0.95</v>
      </c>
      <c r="DX17" s="775">
        <v>0.95</v>
      </c>
      <c r="DY17" s="775">
        <v>0.75</v>
      </c>
      <c r="DZ17" s="700"/>
      <c r="EA17" s="775"/>
      <c r="EB17" s="775"/>
      <c r="EC17" s="775"/>
      <c r="ED17" s="775"/>
      <c r="EE17" s="775"/>
      <c r="EF17" s="775"/>
      <c r="EG17" s="697"/>
      <c r="EH17" s="697"/>
      <c r="EI17" s="697"/>
      <c r="EJ17" s="697"/>
      <c r="EK17" s="697"/>
      <c r="EL17" s="701"/>
      <c r="EM17" s="700">
        <f>EK17+EI17+EG17+EE17+EC17+EA17+DY17+DW17+DU17+DS17+DQ17+DO17</f>
        <v>4</v>
      </c>
      <c r="EN17" s="700">
        <f>DO17+DQ17+DS17+DU17+DW17</f>
        <v>3.25</v>
      </c>
      <c r="EO17" s="700">
        <f>DP17+DR17+DT17+DV17+DX17</f>
        <v>3.25</v>
      </c>
      <c r="EP17" s="687">
        <f>DQ17+DS17+DU17+DW17+DY17+EA17+EC17+EE17+EG17+EI17+EK17+DO17</f>
        <v>4</v>
      </c>
      <c r="EQ17" s="700">
        <f>DR17+DT17+DV17+DX17+DP17</f>
        <v>3.25</v>
      </c>
      <c r="ER17" s="134">
        <f>IFERROR(DX17/DW17,0)</f>
        <v>1</v>
      </c>
      <c r="ES17" s="134">
        <f t="shared" si="5"/>
        <v>1</v>
      </c>
      <c r="ET17" s="847">
        <f t="shared" si="6"/>
        <v>0.8125</v>
      </c>
      <c r="EU17" s="847">
        <f t="shared" ref="EU17:EU57" si="24">IFERROR((AA17+BE17+CI17+DM17+EO17)/(Z17+BD17+CH17+DL17+EN17),0)</f>
        <v>0.96581196581196582</v>
      </c>
      <c r="EV17" s="336">
        <f t="shared" si="7"/>
        <v>0.97413793103448276</v>
      </c>
      <c r="EW17" s="715" t="s">
        <v>787</v>
      </c>
      <c r="EX17" s="714" t="s">
        <v>547</v>
      </c>
      <c r="EY17" s="714" t="s">
        <v>547</v>
      </c>
      <c r="EZ17" s="717" t="s">
        <v>515</v>
      </c>
      <c r="FA17" s="713" t="s">
        <v>678</v>
      </c>
      <c r="FB17" s="465"/>
      <c r="FC17" s="3"/>
    </row>
    <row r="18" spans="1:162" s="58" customFormat="1" ht="24.95" customHeight="1" x14ac:dyDescent="0.25">
      <c r="A18" s="458"/>
      <c r="B18" s="458"/>
      <c r="C18" s="458"/>
      <c r="D18" s="458"/>
      <c r="E18" s="458"/>
      <c r="F18" s="166" t="s">
        <v>3</v>
      </c>
      <c r="G18" s="55">
        <f>+AA18+BE18+CI18+DM18+EP18</f>
        <v>14321278689</v>
      </c>
      <c r="H18" s="54">
        <v>613840322</v>
      </c>
      <c r="I18" s="55"/>
      <c r="J18" s="55"/>
      <c r="K18" s="55"/>
      <c r="L18" s="55"/>
      <c r="M18" s="55"/>
      <c r="N18" s="55"/>
      <c r="O18" s="55"/>
      <c r="P18" s="55"/>
      <c r="Q18" s="55"/>
      <c r="R18" s="55"/>
      <c r="S18" s="55"/>
      <c r="T18" s="54"/>
      <c r="U18" s="62"/>
      <c r="V18" s="62"/>
      <c r="W18" s="54">
        <v>613840322</v>
      </c>
      <c r="X18" s="54">
        <v>613840322</v>
      </c>
      <c r="Y18" s="62">
        <v>670473105</v>
      </c>
      <c r="Z18" s="62">
        <v>826840322</v>
      </c>
      <c r="AA18" s="62">
        <v>670473105</v>
      </c>
      <c r="AB18" s="62">
        <v>1374057000</v>
      </c>
      <c r="AC18" s="55">
        <v>0</v>
      </c>
      <c r="AD18" s="55">
        <v>0</v>
      </c>
      <c r="AE18" s="62">
        <v>582050000</v>
      </c>
      <c r="AF18" s="55">
        <f>582050000-AD18</f>
        <v>582050000</v>
      </c>
      <c r="AG18" s="55">
        <v>539567000</v>
      </c>
      <c r="AH18" s="55">
        <f>1121617000-AF18-AD18</f>
        <v>539567000</v>
      </c>
      <c r="AI18" s="55">
        <v>94112000</v>
      </c>
      <c r="AJ18" s="55">
        <f>1215729000-AH18-AF18-AD18</f>
        <v>94112000</v>
      </c>
      <c r="AK18" s="55">
        <v>0</v>
      </c>
      <c r="AL18" s="55">
        <f>1215729000-AJ18-AH18-AF18-AD18</f>
        <v>0</v>
      </c>
      <c r="AM18" s="55">
        <v>0</v>
      </c>
      <c r="AN18" s="55">
        <v>0</v>
      </c>
      <c r="AO18" s="55">
        <v>0</v>
      </c>
      <c r="AP18" s="55">
        <v>24890000</v>
      </c>
      <c r="AQ18" s="55">
        <f>15755000+22212600</f>
        <v>37967600</v>
      </c>
      <c r="AR18" s="55">
        <v>0</v>
      </c>
      <c r="AS18" s="55">
        <f>15755000+22212600+15940314</f>
        <v>53907914</v>
      </c>
      <c r="AT18" s="55">
        <v>15763667</v>
      </c>
      <c r="AU18" s="55">
        <f>15755000+22212600</f>
        <v>37967600</v>
      </c>
      <c r="AV18" s="55">
        <v>42747866</v>
      </c>
      <c r="AW18" s="55">
        <v>22212600</v>
      </c>
      <c r="AX18" s="55">
        <v>26787667</v>
      </c>
      <c r="AY18" s="55">
        <v>22212600</v>
      </c>
      <c r="AZ18" s="55">
        <v>12430600</v>
      </c>
      <c r="BA18" s="61">
        <f>AY18+AW18+AU18+AS18+AQ18+AO18+AM18+AK18+AI18+AG18+AE18+AC18</f>
        <v>1389997314</v>
      </c>
      <c r="BB18" s="61">
        <f t="shared" si="20"/>
        <v>1389997314</v>
      </c>
      <c r="BC18" s="61">
        <f t="shared" si="20"/>
        <v>1338348800</v>
      </c>
      <c r="BD18" s="61">
        <f>AE18+AG18+AI18+AK18+AM18+AO18+AQ18+AS18+AU18+AW18+AY18+AC18</f>
        <v>1389997314</v>
      </c>
      <c r="BE18" s="61">
        <f>AD18+AF18+AH18+AJ18+AL18+AN18+AP18+AR18+AT18+AV18+AX18+AZ18</f>
        <v>1338348800</v>
      </c>
      <c r="BF18" s="61">
        <v>6130432000</v>
      </c>
      <c r="BG18" s="55">
        <v>1620441000</v>
      </c>
      <c r="BH18" s="55">
        <v>1835843000</v>
      </c>
      <c r="BI18" s="55">
        <v>0</v>
      </c>
      <c r="BJ18" s="55">
        <v>0</v>
      </c>
      <c r="BK18" s="55">
        <f>25000000+88827000</f>
        <v>113827000</v>
      </c>
      <c r="BL18" s="55">
        <v>0</v>
      </c>
      <c r="BM18" s="55">
        <v>450000000</v>
      </c>
      <c r="BN18" s="55">
        <v>0</v>
      </c>
      <c r="BO18" s="55">
        <v>0</v>
      </c>
      <c r="BP18" s="55">
        <v>0</v>
      </c>
      <c r="BQ18" s="55">
        <v>4034991000</v>
      </c>
      <c r="BR18" s="55">
        <v>90000000</v>
      </c>
      <c r="BS18" s="55">
        <v>0</v>
      </c>
      <c r="BT18" s="55">
        <v>-45866000</v>
      </c>
      <c r="BU18" s="55">
        <v>-60207700</v>
      </c>
      <c r="BV18" s="55">
        <v>0</v>
      </c>
      <c r="BW18" s="55">
        <v>-622145332</v>
      </c>
      <c r="BX18" s="55">
        <v>235812834</v>
      </c>
      <c r="BY18" s="55">
        <v>699803138</v>
      </c>
      <c r="BZ18" s="55">
        <v>220773700</v>
      </c>
      <c r="CA18" s="55">
        <v>211140743</v>
      </c>
      <c r="CB18" s="55">
        <v>2941298639</v>
      </c>
      <c r="CC18" s="55">
        <v>-456000000</v>
      </c>
      <c r="CD18" s="55">
        <v>428033688</v>
      </c>
      <c r="CE18" s="55">
        <f>CC18+CA18+BY18+BW18+BU18+BS18+BQ18+BO18+BM18+BK18+BI18+BG18</f>
        <v>5991849849</v>
      </c>
      <c r="CF18" s="55">
        <f t="shared" si="21"/>
        <v>5991849849</v>
      </c>
      <c r="CG18" s="55">
        <f t="shared" si="21"/>
        <v>5705895861</v>
      </c>
      <c r="CH18" s="54">
        <f>CC18+CA18+BY18+BW18+BU18+BS18+BQ18+BO18+BM18+BK18+BI18+BG18</f>
        <v>5991849849</v>
      </c>
      <c r="CI18" s="54">
        <f>+BH18+BJ18+BL18+BN18+BP18+BR18+BT18+BV18+BX18+BZ18+CB18+CD18</f>
        <v>5705895861</v>
      </c>
      <c r="CJ18" s="55">
        <v>3039461000</v>
      </c>
      <c r="CK18" s="55">
        <v>595021000</v>
      </c>
      <c r="CL18" s="55">
        <v>0</v>
      </c>
      <c r="CM18" s="55">
        <v>212647000</v>
      </c>
      <c r="CN18" s="55">
        <v>584274500</v>
      </c>
      <c r="CO18" s="55">
        <f>216247000-12000000</f>
        <v>204247000</v>
      </c>
      <c r="CP18" s="55">
        <v>744997500</v>
      </c>
      <c r="CQ18" s="55">
        <v>216247000</v>
      </c>
      <c r="CR18" s="55">
        <v>159940500</v>
      </c>
      <c r="CS18" s="55">
        <v>216247000</v>
      </c>
      <c r="CT18" s="180">
        <v>149985500</v>
      </c>
      <c r="CU18" s="162">
        <f>488867000+1000000</f>
        <v>489867000</v>
      </c>
      <c r="CV18" s="162">
        <v>138196398</v>
      </c>
      <c r="CW18" s="162">
        <f>374665000-36467500</f>
        <v>338197500</v>
      </c>
      <c r="CX18" s="162">
        <v>725780</v>
      </c>
      <c r="CY18" s="55">
        <f>227365000-56858500</f>
        <v>170506500</v>
      </c>
      <c r="CZ18" s="162">
        <v>725780</v>
      </c>
      <c r="DA18" s="162">
        <f>334465000+-32206000</f>
        <v>302259000</v>
      </c>
      <c r="DB18" s="162">
        <v>45782989</v>
      </c>
      <c r="DC18" s="162">
        <f>227865000+65708800</f>
        <v>293573800</v>
      </c>
      <c r="DD18" s="162">
        <v>273936697</v>
      </c>
      <c r="DE18" s="162">
        <f>32265000+8374400</f>
        <v>40639400</v>
      </c>
      <c r="DF18" s="162">
        <v>25975180</v>
      </c>
      <c r="DG18" s="162">
        <f>492581000-628286500</f>
        <v>-135705500</v>
      </c>
      <c r="DH18" s="162">
        <v>192410099</v>
      </c>
      <c r="DI18" s="54">
        <f>DG18+DE18+DC18+DA18+CY18+CW18+CU18+CS18+CQ18+CO18+CM18+CK18</f>
        <v>2943746700</v>
      </c>
      <c r="DJ18" s="54">
        <f t="shared" si="22"/>
        <v>2943746700</v>
      </c>
      <c r="DK18" s="54">
        <f t="shared" si="22"/>
        <v>2316950923</v>
      </c>
      <c r="DL18" s="54">
        <f t="shared" si="23"/>
        <v>2943746700</v>
      </c>
      <c r="DM18" s="54">
        <f t="shared" si="23"/>
        <v>2316950923</v>
      </c>
      <c r="DN18" s="55">
        <f>DO18+DQ18+DS18+DU18+DW18+DY18+EA18</f>
        <v>4289610000</v>
      </c>
      <c r="DO18" s="180">
        <v>41290000</v>
      </c>
      <c r="DP18" s="180">
        <v>41290000</v>
      </c>
      <c r="DQ18" s="180">
        <v>492926000</v>
      </c>
      <c r="DR18" s="180">
        <v>410464500</v>
      </c>
      <c r="DS18" s="180">
        <f>637773500-7000000</f>
        <v>630773500</v>
      </c>
      <c r="DT18" s="180">
        <v>136962000</v>
      </c>
      <c r="DU18" s="180">
        <f>764764000+11300000</f>
        <v>776064000</v>
      </c>
      <c r="DV18" s="180">
        <v>44889340</v>
      </c>
      <c r="DW18" s="162">
        <v>737482596</v>
      </c>
      <c r="DX18" s="279">
        <v>387441560</v>
      </c>
      <c r="DY18" s="162">
        <v>1122596341</v>
      </c>
      <c r="DZ18" s="57"/>
      <c r="EA18" s="162">
        <v>488477563</v>
      </c>
      <c r="EB18" s="279"/>
      <c r="EC18" s="279"/>
      <c r="ED18" s="279"/>
      <c r="EE18" s="279"/>
      <c r="EF18" s="279"/>
      <c r="EG18" s="279"/>
      <c r="EH18" s="279"/>
      <c r="EI18" s="279"/>
      <c r="EJ18" s="279"/>
      <c r="EK18" s="279"/>
      <c r="EL18" s="57"/>
      <c r="EM18" s="61">
        <f>EK18+EI18+EG18+EE18+EC18+EA18+DY18+DW18+DU18+DS18+DQ18+DO18</f>
        <v>4289610000</v>
      </c>
      <c r="EN18" s="686">
        <f t="shared" ref="EN18:EN19" si="25">DO18+DQ18+DS18+DU18+DW18</f>
        <v>2678536096</v>
      </c>
      <c r="EO18" s="686">
        <f t="shared" ref="EO18:EO19" si="26">DP18+DR18+DT18+DV18+DX18</f>
        <v>1021047400</v>
      </c>
      <c r="EP18" s="54">
        <f>DQ18+DS18+DU18+DW18+DY18+EA18+EC18+EE18+EG18+EI18+EK18+DO18</f>
        <v>4289610000</v>
      </c>
      <c r="EQ18" s="61">
        <f>DP18+DR18+DT18+DV18+DX18</f>
        <v>1021047400</v>
      </c>
      <c r="ER18" s="134">
        <f t="shared" ref="ER18:ER22" si="27">IFERROR(DX18/DW18,0)</f>
        <v>0.52535688584575091</v>
      </c>
      <c r="ES18" s="134">
        <f t="shared" si="5"/>
        <v>0.38119605762445546</v>
      </c>
      <c r="ET18" s="847">
        <f t="shared" si="6"/>
        <v>0.23802802585782856</v>
      </c>
      <c r="EU18" s="847">
        <f t="shared" si="24"/>
        <v>0.79912803400231669</v>
      </c>
      <c r="EV18" s="337">
        <f t="shared" si="7"/>
        <v>0.77176880144714011</v>
      </c>
      <c r="EW18" s="719"/>
      <c r="EX18" s="718" t="s">
        <v>547</v>
      </c>
      <c r="EY18" s="718" t="s">
        <v>547</v>
      </c>
      <c r="EZ18" s="717"/>
      <c r="FA18" s="716"/>
      <c r="FB18" s="465"/>
    </row>
    <row r="19" spans="1:162" s="58" customFormat="1" ht="24.95" customHeight="1" x14ac:dyDescent="0.25">
      <c r="A19" s="458"/>
      <c r="B19" s="458"/>
      <c r="C19" s="458"/>
      <c r="D19" s="458"/>
      <c r="E19" s="458"/>
      <c r="F19" s="167" t="s">
        <v>205</v>
      </c>
      <c r="G19" s="55"/>
      <c r="H19" s="54"/>
      <c r="I19" s="55"/>
      <c r="J19" s="55"/>
      <c r="K19" s="55"/>
      <c r="L19" s="55"/>
      <c r="M19" s="55"/>
      <c r="N19" s="55"/>
      <c r="O19" s="55"/>
      <c r="P19" s="55"/>
      <c r="Q19" s="55"/>
      <c r="R19" s="55"/>
      <c r="S19" s="55"/>
      <c r="T19" s="54"/>
      <c r="U19" s="62"/>
      <c r="V19" s="62"/>
      <c r="W19" s="54"/>
      <c r="X19" s="54"/>
      <c r="Y19" s="54"/>
      <c r="Z19" s="62"/>
      <c r="AA19" s="62"/>
      <c r="AB19" s="62"/>
      <c r="AC19" s="55">
        <v>0</v>
      </c>
      <c r="AD19" s="55">
        <v>0</v>
      </c>
      <c r="AE19" s="62">
        <v>0</v>
      </c>
      <c r="AF19" s="55">
        <v>0</v>
      </c>
      <c r="AG19" s="55">
        <v>3498367</v>
      </c>
      <c r="AH19" s="55">
        <v>3498367</v>
      </c>
      <c r="AI19" s="55">
        <v>88785267</v>
      </c>
      <c r="AJ19" s="55">
        <f>92283634-AH19</f>
        <v>88785267</v>
      </c>
      <c r="AK19" s="55">
        <v>122743101</v>
      </c>
      <c r="AL19" s="55">
        <f>211528368-AJ19-AH19</f>
        <v>119244734</v>
      </c>
      <c r="AM19" s="55">
        <v>175067700</v>
      </c>
      <c r="AN19" s="55">
        <v>175067700</v>
      </c>
      <c r="AO19" s="55">
        <v>0</v>
      </c>
      <c r="AP19" s="55">
        <v>147283000</v>
      </c>
      <c r="AQ19" s="55">
        <v>0</v>
      </c>
      <c r="AR19" s="55">
        <v>142960000</v>
      </c>
      <c r="AS19" s="55">
        <v>0</v>
      </c>
      <c r="AT19" s="55">
        <v>149431400</v>
      </c>
      <c r="AU19" s="55">
        <v>0</v>
      </c>
      <c r="AV19" s="55">
        <v>147938000</v>
      </c>
      <c r="AW19" s="55">
        <v>0</v>
      </c>
      <c r="AX19" s="55">
        <v>139522000</v>
      </c>
      <c r="AY19" s="55">
        <v>0</v>
      </c>
      <c r="AZ19" s="55">
        <v>169754698</v>
      </c>
      <c r="BA19" s="61">
        <f>AY19+AW19+AU19+AS19+AQ19+AO19+AM19+AK19+AI19+AG19+AE19+AC19</f>
        <v>390094435</v>
      </c>
      <c r="BB19" s="61">
        <f t="shared" si="20"/>
        <v>390094435</v>
      </c>
      <c r="BC19" s="61">
        <f t="shared" si="20"/>
        <v>1283485166</v>
      </c>
      <c r="BD19" s="61">
        <f>AE19+AG19+AI19+AK19+AM19+AO19+AQ19+AS19+AU19+AW19+AY19+AC19</f>
        <v>390094435</v>
      </c>
      <c r="BE19" s="61">
        <f>AD19+AF19+AH19+AJ19+AL19+AN19+AP19+AR19+AT19+AV19+AX19+AZ19</f>
        <v>1283485166</v>
      </c>
      <c r="BF19" s="55">
        <v>0</v>
      </c>
      <c r="BG19" s="55">
        <v>0</v>
      </c>
      <c r="BH19" s="55">
        <v>0</v>
      </c>
      <c r="BI19" s="55"/>
      <c r="BJ19" s="55">
        <v>3828801</v>
      </c>
      <c r="BK19" s="55"/>
      <c r="BL19" s="55">
        <v>168435968</v>
      </c>
      <c r="BM19" s="55"/>
      <c r="BN19" s="55">
        <v>230989133</v>
      </c>
      <c r="BO19" s="55"/>
      <c r="BP19" s="55">
        <v>200317933</v>
      </c>
      <c r="BQ19" s="55"/>
      <c r="BR19" s="55">
        <v>220946000</v>
      </c>
      <c r="BS19" s="55"/>
      <c r="BT19" s="55">
        <v>196290000</v>
      </c>
      <c r="BU19" s="55">
        <v>0</v>
      </c>
      <c r="BV19" s="55">
        <v>209790500</v>
      </c>
      <c r="BW19" s="55">
        <v>0</v>
      </c>
      <c r="BX19" s="55">
        <v>188565633</v>
      </c>
      <c r="BY19" s="55">
        <v>0</v>
      </c>
      <c r="BZ19" s="55">
        <v>196695592</v>
      </c>
      <c r="CA19" s="55">
        <v>0</v>
      </c>
      <c r="CB19" s="55">
        <v>2955742324</v>
      </c>
      <c r="CC19" s="55">
        <v>0</v>
      </c>
      <c r="CD19" s="55">
        <v>362171772</v>
      </c>
      <c r="CE19" s="55">
        <f>CC19+CA19+BY19+BW19+BU19+BS19+BQ19+BO19+BM19+BK19+BI19+BG19</f>
        <v>0</v>
      </c>
      <c r="CF19" s="55">
        <f t="shared" si="21"/>
        <v>0</v>
      </c>
      <c r="CG19" s="55">
        <f t="shared" si="21"/>
        <v>4933773656</v>
      </c>
      <c r="CH19" s="54">
        <f>CC19+CA19+BY19+BW19+BU19+BS19+BQ19+BO19+BM19+BK19+BI19+BG19</f>
        <v>0</v>
      </c>
      <c r="CI19" s="54">
        <f>+BH19+BJ19+BL19+BN19+BP19+BR19+BT19+BV19+BX19+BZ19+CB19+CD19</f>
        <v>4933773656</v>
      </c>
      <c r="CJ19" s="55">
        <v>3039461000</v>
      </c>
      <c r="CK19" s="55">
        <v>595021000</v>
      </c>
      <c r="CL19" s="55">
        <v>0</v>
      </c>
      <c r="CM19" s="55">
        <v>212647000</v>
      </c>
      <c r="CN19" s="55">
        <v>0</v>
      </c>
      <c r="CO19" s="55">
        <f>216247000-12000000</f>
        <v>204247000</v>
      </c>
      <c r="CP19" s="55">
        <v>31425433</v>
      </c>
      <c r="CQ19" s="55">
        <v>216247000</v>
      </c>
      <c r="CR19" s="55">
        <v>90502766</v>
      </c>
      <c r="CS19" s="55">
        <v>216247000</v>
      </c>
      <c r="CT19" s="180">
        <v>137745800</v>
      </c>
      <c r="CU19" s="162">
        <f>488867000+1000000</f>
        <v>489867000</v>
      </c>
      <c r="CV19" s="162">
        <v>150197665</v>
      </c>
      <c r="CW19" s="162">
        <f>374665000-36467500</f>
        <v>338197500</v>
      </c>
      <c r="CX19" s="162">
        <v>182693913</v>
      </c>
      <c r="CY19" s="55">
        <f>227365000-56858500</f>
        <v>170506500</v>
      </c>
      <c r="CZ19" s="162">
        <v>192703047</v>
      </c>
      <c r="DA19" s="162">
        <f>334465000+-32206000</f>
        <v>302259000</v>
      </c>
      <c r="DB19" s="162">
        <v>201791147</v>
      </c>
      <c r="DC19" s="162">
        <f>227865000+65708800</f>
        <v>293573800</v>
      </c>
      <c r="DD19" s="162">
        <v>224467287</v>
      </c>
      <c r="DE19" s="162">
        <f>32265000+8374400</f>
        <v>40639400</v>
      </c>
      <c r="DF19" s="162">
        <v>254972930</v>
      </c>
      <c r="DG19" s="162">
        <f>492581000-628286500</f>
        <v>-135705500</v>
      </c>
      <c r="DH19" s="162">
        <v>278393180</v>
      </c>
      <c r="DI19" s="54">
        <f>DG19+DE19+DC19+DA19+CY19+CW19+CU19+CS19+CQ19+CO19+CM19+CK19</f>
        <v>2943746700</v>
      </c>
      <c r="DJ19" s="54">
        <f t="shared" si="22"/>
        <v>2943746700</v>
      </c>
      <c r="DK19" s="54">
        <f t="shared" si="22"/>
        <v>1744893168</v>
      </c>
      <c r="DL19" s="54">
        <f t="shared" si="23"/>
        <v>2943746700</v>
      </c>
      <c r="DM19" s="54">
        <f t="shared" si="23"/>
        <v>1744893168</v>
      </c>
      <c r="DN19" s="55">
        <f>DO19+DQ19+DS19+DU19+DW19+DY19+EA19</f>
        <v>4289610000</v>
      </c>
      <c r="DO19" s="180">
        <v>41290000</v>
      </c>
      <c r="DP19" s="180">
        <v>41290000</v>
      </c>
      <c r="DQ19" s="180">
        <v>492926000</v>
      </c>
      <c r="DR19" s="180">
        <v>-41290000</v>
      </c>
      <c r="DS19" s="180">
        <v>630773500</v>
      </c>
      <c r="DT19" s="180">
        <v>46044032</v>
      </c>
      <c r="DU19" s="180">
        <f>764764000+11300000</f>
        <v>776064000</v>
      </c>
      <c r="DV19" s="180">
        <v>159345441</v>
      </c>
      <c r="DW19" s="162">
        <v>737482596</v>
      </c>
      <c r="DX19" s="279">
        <v>145890247</v>
      </c>
      <c r="DY19" s="162">
        <v>1122596341</v>
      </c>
      <c r="DZ19" s="57"/>
      <c r="EA19" s="162">
        <v>488477563</v>
      </c>
      <c r="EB19" s="279"/>
      <c r="EC19" s="279"/>
      <c r="ED19" s="279"/>
      <c r="EE19" s="279"/>
      <c r="EF19" s="279"/>
      <c r="EG19" s="279"/>
      <c r="EH19" s="279"/>
      <c r="EI19" s="279"/>
      <c r="EJ19" s="279"/>
      <c r="EK19" s="279"/>
      <c r="EL19" s="57"/>
      <c r="EM19" s="61">
        <f>EK19+EI19+EG19+EE19+EC19+EA19+DY19+DW19+DU19+DS19+DQ19+DO19</f>
        <v>4289610000</v>
      </c>
      <c r="EN19" s="686">
        <f t="shared" si="25"/>
        <v>2678536096</v>
      </c>
      <c r="EO19" s="686">
        <f t="shared" si="26"/>
        <v>351279720</v>
      </c>
      <c r="EP19" s="54">
        <f>DQ19+DS19+DU19+DW19+DY19+EA19+EC19+EE19+EG19+EI19+EK19+DO19</f>
        <v>4289610000</v>
      </c>
      <c r="EQ19" s="61">
        <f>DP19+DR19+DT19+DV19+DX19</f>
        <v>351279720</v>
      </c>
      <c r="ER19" s="134">
        <f t="shared" si="27"/>
        <v>0.19782195239764003</v>
      </c>
      <c r="ES19" s="134">
        <f t="shared" si="5"/>
        <v>0.13114615872624777</v>
      </c>
      <c r="ET19" s="847">
        <f t="shared" si="6"/>
        <v>8.1890829236224275E-2</v>
      </c>
      <c r="EU19" s="847" t="s">
        <v>311</v>
      </c>
      <c r="EV19" s="336" t="s">
        <v>311</v>
      </c>
      <c r="EW19" s="719"/>
      <c r="EX19" s="718" t="s">
        <v>547</v>
      </c>
      <c r="EY19" s="718" t="s">
        <v>547</v>
      </c>
      <c r="EZ19" s="717"/>
      <c r="FA19" s="716"/>
      <c r="FB19" s="465"/>
    </row>
    <row r="20" spans="1:162" s="56" customFormat="1" ht="24.95" customHeight="1" x14ac:dyDescent="0.25">
      <c r="A20" s="458"/>
      <c r="B20" s="458"/>
      <c r="C20" s="458"/>
      <c r="D20" s="458"/>
      <c r="E20" s="458"/>
      <c r="F20" s="165" t="s">
        <v>41</v>
      </c>
      <c r="G20" s="189">
        <f>+AA20+BE20+CI20+DM20+EP20</f>
        <v>1</v>
      </c>
      <c r="H20" s="694">
        <v>0</v>
      </c>
      <c r="I20" s="694"/>
      <c r="J20" s="694"/>
      <c r="K20" s="694"/>
      <c r="L20" s="694"/>
      <c r="M20" s="694"/>
      <c r="N20" s="694"/>
      <c r="O20" s="694"/>
      <c r="P20" s="694"/>
      <c r="Q20" s="694"/>
      <c r="R20" s="694"/>
      <c r="S20" s="694"/>
      <c r="T20" s="694"/>
      <c r="U20" s="694"/>
      <c r="V20" s="694"/>
      <c r="W20" s="694">
        <v>0</v>
      </c>
      <c r="X20" s="694">
        <v>0</v>
      </c>
      <c r="Y20" s="694">
        <v>0</v>
      </c>
      <c r="Z20" s="694">
        <v>0</v>
      </c>
      <c r="AA20" s="694">
        <v>0</v>
      </c>
      <c r="AB20" s="694">
        <v>0</v>
      </c>
      <c r="AC20" s="694">
        <v>0</v>
      </c>
      <c r="AD20" s="694">
        <v>0</v>
      </c>
      <c r="AE20" s="694">
        <v>0</v>
      </c>
      <c r="AF20" s="694">
        <v>0</v>
      </c>
      <c r="AG20" s="694">
        <v>0</v>
      </c>
      <c r="AH20" s="694">
        <v>0</v>
      </c>
      <c r="AI20" s="694">
        <v>0</v>
      </c>
      <c r="AJ20" s="694">
        <v>0</v>
      </c>
      <c r="AK20" s="694">
        <v>0</v>
      </c>
      <c r="AL20" s="694">
        <v>0</v>
      </c>
      <c r="AM20" s="694">
        <v>0</v>
      </c>
      <c r="AN20" s="694">
        <v>0</v>
      </c>
      <c r="AO20" s="694">
        <v>0</v>
      </c>
      <c r="AP20" s="694">
        <v>0</v>
      </c>
      <c r="AQ20" s="694">
        <v>0</v>
      </c>
      <c r="AR20" s="694">
        <v>0</v>
      </c>
      <c r="AS20" s="694">
        <v>0</v>
      </c>
      <c r="AT20" s="694">
        <v>0</v>
      </c>
      <c r="AU20" s="694">
        <v>0</v>
      </c>
      <c r="AV20" s="694">
        <v>0</v>
      </c>
      <c r="AW20" s="694">
        <v>0</v>
      </c>
      <c r="AX20" s="694">
        <v>0</v>
      </c>
      <c r="AY20" s="694">
        <v>0</v>
      </c>
      <c r="AZ20" s="694">
        <v>0</v>
      </c>
      <c r="BA20" s="694">
        <f>AY20+AW20+AU20+AS20+AQ20+AO20+AM20+AK20+AI20+AG20+AE20+AC20</f>
        <v>0</v>
      </c>
      <c r="BB20" s="694">
        <f t="shared" si="20"/>
        <v>0</v>
      </c>
      <c r="BC20" s="694">
        <f t="shared" si="20"/>
        <v>0</v>
      </c>
      <c r="BD20" s="694">
        <f>AE20+AG20+AI20+AK20+AM20+AO20+AQ20+AS20+AU20+AW20+AY20+AC20</f>
        <v>0</v>
      </c>
      <c r="BE20" s="694">
        <f>AD20+AF20+AH20+AJ20+AL20+AN20+AP20+AR20+AT20+AV20+AX20+AZ20</f>
        <v>0</v>
      </c>
      <c r="BF20" s="694">
        <v>0</v>
      </c>
      <c r="BG20" s="779">
        <v>0</v>
      </c>
      <c r="BH20" s="779">
        <v>0</v>
      </c>
      <c r="BI20" s="779">
        <v>0</v>
      </c>
      <c r="BJ20" s="779">
        <v>0</v>
      </c>
      <c r="BK20" s="779">
        <v>0</v>
      </c>
      <c r="BL20" s="779">
        <v>0</v>
      </c>
      <c r="BM20" s="779">
        <v>0</v>
      </c>
      <c r="BN20" s="779">
        <v>0</v>
      </c>
      <c r="BO20" s="779">
        <v>0</v>
      </c>
      <c r="BP20" s="779">
        <v>0</v>
      </c>
      <c r="BQ20" s="779">
        <v>0</v>
      </c>
      <c r="BR20" s="779">
        <v>0</v>
      </c>
      <c r="BS20" s="779">
        <v>0</v>
      </c>
      <c r="BT20" s="779">
        <v>0</v>
      </c>
      <c r="BU20" s="779">
        <v>0</v>
      </c>
      <c r="BV20" s="779">
        <v>0</v>
      </c>
      <c r="BW20" s="779">
        <v>0</v>
      </c>
      <c r="BX20" s="779">
        <v>0</v>
      </c>
      <c r="BY20" s="779">
        <v>0</v>
      </c>
      <c r="BZ20" s="779">
        <v>0</v>
      </c>
      <c r="CA20" s="779">
        <v>0</v>
      </c>
      <c r="CB20" s="779">
        <v>0</v>
      </c>
      <c r="CC20" s="779">
        <v>0</v>
      </c>
      <c r="CD20" s="694">
        <v>0</v>
      </c>
      <c r="CE20" s="779">
        <f>CC20+CA20+BY20+BW20+BU20+BS20+BQ20+BO20+BM20+BK20+BI20+BG20</f>
        <v>0</v>
      </c>
      <c r="CF20" s="802">
        <f t="shared" si="21"/>
        <v>0</v>
      </c>
      <c r="CG20" s="115">
        <f t="shared" si="21"/>
        <v>0</v>
      </c>
      <c r="CH20" s="114">
        <f>CC20+CA20+BY20+BW20+BU20+BS20+BQ20+BO20+BM20+BK20+BI20+BG20</f>
        <v>0</v>
      </c>
      <c r="CI20" s="115">
        <f>+BH20+BJ20+BL20+BN20+BP20+BR20+BT20+BV20+BX20+BZ20+CB20+CD20</f>
        <v>0</v>
      </c>
      <c r="CJ20" s="118">
        <v>1</v>
      </c>
      <c r="CK20" s="118">
        <v>0</v>
      </c>
      <c r="CL20" s="118">
        <v>0</v>
      </c>
      <c r="CM20" s="118">
        <v>0</v>
      </c>
      <c r="CN20" s="118">
        <v>0</v>
      </c>
      <c r="CO20" s="118">
        <v>0</v>
      </c>
      <c r="CP20" s="118">
        <v>0</v>
      </c>
      <c r="CQ20" s="118">
        <v>0</v>
      </c>
      <c r="CR20" s="779">
        <v>0</v>
      </c>
      <c r="CS20" s="131">
        <v>0</v>
      </c>
      <c r="CT20" s="779">
        <v>0</v>
      </c>
      <c r="CU20" s="131">
        <v>0</v>
      </c>
      <c r="CV20" s="790">
        <v>0</v>
      </c>
      <c r="CW20" s="779">
        <v>1</v>
      </c>
      <c r="CX20" s="790">
        <v>0</v>
      </c>
      <c r="CY20" s="131">
        <v>0</v>
      </c>
      <c r="CZ20" s="790">
        <v>0</v>
      </c>
      <c r="DA20" s="131">
        <v>0</v>
      </c>
      <c r="DB20" s="790">
        <v>0</v>
      </c>
      <c r="DC20" s="131">
        <v>0</v>
      </c>
      <c r="DD20" s="790">
        <v>1</v>
      </c>
      <c r="DE20" s="131">
        <v>0</v>
      </c>
      <c r="DF20" s="790">
        <v>0</v>
      </c>
      <c r="DG20" s="131">
        <v>0</v>
      </c>
      <c r="DH20" s="790">
        <v>0</v>
      </c>
      <c r="DI20" s="778">
        <f>DG20+DE20+DC20+CW20+CY20+CU20+CS20+CQ20+CO20+CM20+CK20</f>
        <v>1</v>
      </c>
      <c r="DJ20" s="689">
        <f t="shared" si="22"/>
        <v>1</v>
      </c>
      <c r="DK20" s="689">
        <f t="shared" si="22"/>
        <v>1</v>
      </c>
      <c r="DL20" s="689">
        <f>CK20+CM20+CO20+CQ20+CS20+CU20+CW20+CY20+DA20+DC20+DE20+DG20</f>
        <v>1</v>
      </c>
      <c r="DM20" s="264">
        <f>DK20</f>
        <v>1</v>
      </c>
      <c r="DN20" s="779">
        <v>0</v>
      </c>
      <c r="DO20" s="691">
        <v>0</v>
      </c>
      <c r="DP20" s="691">
        <v>0</v>
      </c>
      <c r="DQ20" s="691">
        <v>0</v>
      </c>
      <c r="DR20" s="691">
        <v>0</v>
      </c>
      <c r="DS20" s="691">
        <v>0</v>
      </c>
      <c r="DT20" s="691">
        <v>0</v>
      </c>
      <c r="DU20" s="691">
        <v>0</v>
      </c>
      <c r="DV20" s="691">
        <v>0</v>
      </c>
      <c r="DW20" s="690">
        <v>0</v>
      </c>
      <c r="DX20" s="690">
        <v>0</v>
      </c>
      <c r="DY20" s="690">
        <v>0</v>
      </c>
      <c r="DZ20" s="691"/>
      <c r="EA20" s="690"/>
      <c r="EB20" s="690"/>
      <c r="EC20" s="690"/>
      <c r="ED20" s="690"/>
      <c r="EE20" s="690"/>
      <c r="EF20" s="690"/>
      <c r="EG20" s="690"/>
      <c r="EH20" s="690"/>
      <c r="EI20" s="690"/>
      <c r="EJ20" s="690"/>
      <c r="EK20" s="690"/>
      <c r="EL20" s="691"/>
      <c r="EM20" s="694">
        <f>EI20+EG20+EE20+EC20+EA20+DY20+DW20+DU20+DS20+DQ20+DO20+EK20</f>
        <v>0</v>
      </c>
      <c r="EN20" s="270">
        <f>DO20+DQ20+DS20+DU20+DW20</f>
        <v>0</v>
      </c>
      <c r="EO20" s="270">
        <f>DP20+DR20+DT20+DV20+DX20</f>
        <v>0</v>
      </c>
      <c r="EP20" s="801">
        <f>DQ20+DS20+DU20+DW20+DY20+EA20+EC20+EE20+EG20+EI20+EK20</f>
        <v>0</v>
      </c>
      <c r="EQ20" s="694"/>
      <c r="ER20" s="134">
        <f t="shared" si="27"/>
        <v>0</v>
      </c>
      <c r="ES20" s="134">
        <f t="shared" si="5"/>
        <v>0</v>
      </c>
      <c r="ET20" s="847">
        <f t="shared" si="6"/>
        <v>0</v>
      </c>
      <c r="EU20" s="847">
        <f t="shared" si="24"/>
        <v>1</v>
      </c>
      <c r="EV20" s="337">
        <f t="shared" si="7"/>
        <v>1</v>
      </c>
      <c r="EW20" s="719"/>
      <c r="EX20" s="718" t="s">
        <v>547</v>
      </c>
      <c r="EY20" s="718" t="s">
        <v>547</v>
      </c>
      <c r="EZ20" s="717"/>
      <c r="FA20" s="716"/>
      <c r="FB20" s="465"/>
      <c r="FF20" s="331"/>
    </row>
    <row r="21" spans="1:162" s="56" customFormat="1" ht="24.95" customHeight="1" x14ac:dyDescent="0.25">
      <c r="A21" s="458"/>
      <c r="B21" s="458"/>
      <c r="C21" s="458"/>
      <c r="D21" s="458"/>
      <c r="E21" s="458"/>
      <c r="F21" s="166" t="s">
        <v>4</v>
      </c>
      <c r="G21" s="55">
        <f>+AA21+BE21+CI21+DM21+EP21</f>
        <v>1538048737</v>
      </c>
      <c r="H21" s="54">
        <v>0</v>
      </c>
      <c r="I21" s="55">
        <v>0</v>
      </c>
      <c r="J21" s="55">
        <v>0</v>
      </c>
      <c r="K21" s="55">
        <v>0</v>
      </c>
      <c r="L21" s="55">
        <v>0</v>
      </c>
      <c r="M21" s="55">
        <v>0</v>
      </c>
      <c r="N21" s="55">
        <v>0</v>
      </c>
      <c r="O21" s="55">
        <v>0</v>
      </c>
      <c r="P21" s="55">
        <v>0</v>
      </c>
      <c r="Q21" s="55">
        <v>0</v>
      </c>
      <c r="R21" s="55">
        <v>0</v>
      </c>
      <c r="S21" s="55">
        <v>0</v>
      </c>
      <c r="T21" s="54">
        <v>0</v>
      </c>
      <c r="U21" s="62">
        <v>0</v>
      </c>
      <c r="V21" s="62">
        <v>0</v>
      </c>
      <c r="W21" s="54">
        <v>0</v>
      </c>
      <c r="X21" s="54">
        <v>0</v>
      </c>
      <c r="Y21" s="54">
        <v>0</v>
      </c>
      <c r="Z21" s="62">
        <v>0</v>
      </c>
      <c r="AA21" s="62">
        <v>0</v>
      </c>
      <c r="AB21" s="62">
        <v>220512384</v>
      </c>
      <c r="AC21" s="55">
        <v>62045867</v>
      </c>
      <c r="AD21" s="55">
        <v>62045867</v>
      </c>
      <c r="AE21" s="62">
        <v>68053533</v>
      </c>
      <c r="AF21" s="55">
        <f>130099400-AD21</f>
        <v>68053533</v>
      </c>
      <c r="AG21" s="55">
        <v>10948200</v>
      </c>
      <c r="AH21" s="55">
        <f>141047600-AF21-AD21</f>
        <v>10948200</v>
      </c>
      <c r="AI21" s="55">
        <v>8101667</v>
      </c>
      <c r="AJ21" s="55">
        <f>149149267-AH21-AF21-AD21</f>
        <v>8101667</v>
      </c>
      <c r="AK21" s="55">
        <v>15903967</v>
      </c>
      <c r="AL21" s="55">
        <f>165053234-AJ21-AH21-AF21-AD21</f>
        <v>15903967</v>
      </c>
      <c r="AM21" s="55">
        <v>5571367</v>
      </c>
      <c r="AN21" s="55">
        <v>5571367</v>
      </c>
      <c r="AO21" s="55">
        <v>0</v>
      </c>
      <c r="AP21" s="55">
        <v>0</v>
      </c>
      <c r="AQ21" s="55">
        <v>49887783</v>
      </c>
      <c r="AR21" s="55">
        <v>0</v>
      </c>
      <c r="AS21" s="55">
        <v>0</v>
      </c>
      <c r="AT21" s="55">
        <v>0</v>
      </c>
      <c r="AU21" s="55">
        <v>0</v>
      </c>
      <c r="AV21" s="55">
        <v>0</v>
      </c>
      <c r="AW21" s="55">
        <v>0</v>
      </c>
      <c r="AX21" s="55">
        <v>0</v>
      </c>
      <c r="AY21" s="55">
        <v>0</v>
      </c>
      <c r="AZ21" s="55"/>
      <c r="BA21" s="61">
        <f>AY21+AW21+AU21+AS21+AQ21+AO21+AM21+AK21+AI21+AG21+AE21+AC21</f>
        <v>220512384</v>
      </c>
      <c r="BB21" s="61">
        <f t="shared" si="20"/>
        <v>220512384</v>
      </c>
      <c r="BC21" s="61">
        <f t="shared" si="20"/>
        <v>170624601</v>
      </c>
      <c r="BD21" s="61">
        <f>AE21+AG21+AI21+AK21+AM21+AO21+AQ21+AS21+AU21+AW21+AY21+AC21</f>
        <v>220512384</v>
      </c>
      <c r="BE21" s="61">
        <f>AD21+AF21+AH21+AJ21+AL21+AN21+AP21+AR21+AT21+AV21+AX21+AZ21</f>
        <v>170624601</v>
      </c>
      <c r="BF21" s="55">
        <v>54863634</v>
      </c>
      <c r="BG21" s="55">
        <v>9071666</v>
      </c>
      <c r="BH21" s="55">
        <v>0</v>
      </c>
      <c r="BI21" s="55">
        <v>45791968</v>
      </c>
      <c r="BJ21" s="55">
        <v>45990566</v>
      </c>
      <c r="BK21" s="55"/>
      <c r="BL21" s="55">
        <v>0</v>
      </c>
      <c r="BM21" s="55"/>
      <c r="BN21" s="55">
        <v>0</v>
      </c>
      <c r="BO21" s="55"/>
      <c r="BP21" s="55">
        <v>0</v>
      </c>
      <c r="BQ21" s="55"/>
      <c r="BR21" s="55">
        <v>0</v>
      </c>
      <c r="BS21" s="55">
        <v>0</v>
      </c>
      <c r="BT21" s="55">
        <v>7711535</v>
      </c>
      <c r="BU21" s="55">
        <v>0</v>
      </c>
      <c r="BV21" s="55">
        <v>0</v>
      </c>
      <c r="BW21" s="55">
        <v>-1161534</v>
      </c>
      <c r="BX21" s="55">
        <v>-2157135</v>
      </c>
      <c r="BY21" s="55">
        <v>0</v>
      </c>
      <c r="BZ21" s="55">
        <v>0</v>
      </c>
      <c r="CA21" s="55">
        <v>1161534</v>
      </c>
      <c r="CB21" s="55">
        <v>2157134</v>
      </c>
      <c r="CC21" s="55">
        <v>-1161534</v>
      </c>
      <c r="CD21" s="55">
        <v>0</v>
      </c>
      <c r="CE21" s="55">
        <f>CC21+CA21+BY21+BW21+BU21+BS21+BQ21+BO21+BM21+BK21+BI21+BG21</f>
        <v>53702100</v>
      </c>
      <c r="CF21" s="55">
        <f t="shared" si="21"/>
        <v>53702100</v>
      </c>
      <c r="CG21" s="55">
        <f t="shared" si="21"/>
        <v>53702100</v>
      </c>
      <c r="CH21" s="54">
        <f>CC21+CA21+BY21+BW21+BU21+BS21+BQ21+BO21+BM21+BK21+BI21+BG21</f>
        <v>53702100</v>
      </c>
      <c r="CI21" s="54">
        <f>+BH21+BJ21+BL21+BN21+BP21+BR21+BT21+BV21+BX21+BZ21+CB21+CD21</f>
        <v>53702100</v>
      </c>
      <c r="CJ21" s="55">
        <v>772122205</v>
      </c>
      <c r="CK21" s="55">
        <v>124423833</v>
      </c>
      <c r="CL21" s="55">
        <v>67700813</v>
      </c>
      <c r="CM21" s="55">
        <v>172585032</v>
      </c>
      <c r="CN21" s="55">
        <v>184917039</v>
      </c>
      <c r="CO21" s="55">
        <v>51200066</v>
      </c>
      <c r="CP21" s="55">
        <v>48622169</v>
      </c>
      <c r="CQ21" s="55">
        <v>13742667</v>
      </c>
      <c r="CR21" s="55">
        <v>43233800</v>
      </c>
      <c r="CS21" s="162">
        <f>6070500-8217300</f>
        <v>-2146800</v>
      </c>
      <c r="CT21" s="180">
        <v>26106736</v>
      </c>
      <c r="CU21" s="162">
        <v>-8377100</v>
      </c>
      <c r="CV21" s="162">
        <v>21016552</v>
      </c>
      <c r="CW21" s="162">
        <v>0</v>
      </c>
      <c r="CX21" s="162">
        <v>21670209</v>
      </c>
      <c r="CY21" s="162">
        <v>0</v>
      </c>
      <c r="CZ21" s="162">
        <v>9817467</v>
      </c>
      <c r="DA21" s="162">
        <f>14259915-191500</f>
        <v>14068415</v>
      </c>
      <c r="DB21" s="162">
        <v>17770473</v>
      </c>
      <c r="DC21" s="162">
        <f>14259915+28519830-28519830</f>
        <v>14259915</v>
      </c>
      <c r="DD21" s="162">
        <f>329302409-28493386</f>
        <v>300809023</v>
      </c>
      <c r="DE21" s="162">
        <v>14259915</v>
      </c>
      <c r="DF21" s="162">
        <v>0</v>
      </c>
      <c r="DG21" s="162">
        <f>361320362-52224</f>
        <v>361268138</v>
      </c>
      <c r="DH21" s="162">
        <v>0</v>
      </c>
      <c r="DI21" s="163">
        <f>DG21+DE21+DC21+DA21+CY21+CW21+CU21+CM21+CS21+CO21+CQ21+CK21</f>
        <v>755284081</v>
      </c>
      <c r="DJ21" s="54">
        <f>CK21+CM21+CO21+CQ21+CS21+CU21+CW21+CY21+DA21+DC21+DG21</f>
        <v>741024166</v>
      </c>
      <c r="DK21" s="54">
        <f>CL21+CN21+CP21+CR21+CT21+CV21+CX21+CZ21+DB21+DD21+DF21+DH21</f>
        <v>741664281</v>
      </c>
      <c r="DL21" s="54">
        <f>CM21+CO21+CQ21+CS21+CU21+CW21+CY21+DA21+DC21+DE21+DG21+CK21</f>
        <v>755284081</v>
      </c>
      <c r="DM21" s="54">
        <f>DK21</f>
        <v>741664281</v>
      </c>
      <c r="DN21" s="55">
        <f>DO21+DQ21+DS21+DU21+DW21+DY21+EA21</f>
        <v>572057755</v>
      </c>
      <c r="DO21" s="180">
        <v>55317100</v>
      </c>
      <c r="DP21" s="180">
        <v>55317100</v>
      </c>
      <c r="DQ21" s="180">
        <v>385367942</v>
      </c>
      <c r="DR21" s="180">
        <v>123182267</v>
      </c>
      <c r="DS21" s="361">
        <v>26803327</v>
      </c>
      <c r="DT21" s="180">
        <v>28184560</v>
      </c>
      <c r="DU21" s="361">
        <v>10154000</v>
      </c>
      <c r="DV21" s="180">
        <v>248453792</v>
      </c>
      <c r="DW21" s="363">
        <v>10154000</v>
      </c>
      <c r="DX21" s="162">
        <v>12756233</v>
      </c>
      <c r="DY21" s="292">
        <v>10154000</v>
      </c>
      <c r="DZ21" s="55"/>
      <c r="EA21" s="292">
        <v>74107386</v>
      </c>
      <c r="EB21" s="265"/>
      <c r="EC21" s="265"/>
      <c r="ED21" s="265"/>
      <c r="EE21" s="265"/>
      <c r="EF21" s="265"/>
      <c r="EG21" s="265"/>
      <c r="EH21" s="265"/>
      <c r="EI21" s="265"/>
      <c r="EJ21" s="265"/>
      <c r="EK21" s="265"/>
      <c r="EL21" s="59"/>
      <c r="EM21" s="61">
        <f>EK21+EI21+EG21+EE21+EC21+EA21+DY21+DW21+DU21+DS21+DQ21+DO21</f>
        <v>572057755</v>
      </c>
      <c r="EN21" s="366">
        <f t="shared" ref="EN21:EN22" si="28">DO21+DQ21+DS21+DU21+DW21</f>
        <v>487796369</v>
      </c>
      <c r="EO21" s="61">
        <f>DP21+DR21+DT21+DV21+DX21</f>
        <v>467893952</v>
      </c>
      <c r="EP21" s="54">
        <f>DQ21+DS21+DU21+DW21+DY21+EA21+EC21+EE21+EG21+EI21+EK21+DO21</f>
        <v>572057755</v>
      </c>
      <c r="EQ21" s="61">
        <f>DP21+DR21+DT21+DV21+DX21</f>
        <v>467893952</v>
      </c>
      <c r="ER21" s="134">
        <f t="shared" si="27"/>
        <v>1.2562766397478826</v>
      </c>
      <c r="ES21" s="134">
        <f t="shared" si="5"/>
        <v>0.95919933344153285</v>
      </c>
      <c r="ET21" s="847">
        <f t="shared" si="6"/>
        <v>0.81791383459175382</v>
      </c>
      <c r="EU21" s="847">
        <f t="shared" si="24"/>
        <v>0.94502716767127881</v>
      </c>
      <c r="EV21" s="337">
        <f t="shared" si="7"/>
        <v>0.93227535610921286</v>
      </c>
      <c r="EW21" s="719"/>
      <c r="EX21" s="718" t="s">
        <v>547</v>
      </c>
      <c r="EY21" s="718" t="s">
        <v>547</v>
      </c>
      <c r="EZ21" s="717"/>
      <c r="FA21" s="716"/>
      <c r="FB21" s="465"/>
    </row>
    <row r="22" spans="1:162" s="56" customFormat="1" ht="24.95" customHeight="1" thickBot="1" x14ac:dyDescent="0.3">
      <c r="A22" s="458"/>
      <c r="B22" s="458"/>
      <c r="C22" s="458"/>
      <c r="D22" s="458"/>
      <c r="E22" s="458"/>
      <c r="F22" s="165" t="s">
        <v>42</v>
      </c>
      <c r="G22" s="823">
        <f>+G17+G20</f>
        <v>30</v>
      </c>
      <c r="H22" s="787">
        <f>+H17+H19</f>
        <v>4</v>
      </c>
      <c r="I22" s="787"/>
      <c r="J22" s="787"/>
      <c r="K22" s="787"/>
      <c r="L22" s="787"/>
      <c r="M22" s="787"/>
      <c r="N22" s="787"/>
      <c r="O22" s="787"/>
      <c r="P22" s="787"/>
      <c r="Q22" s="787"/>
      <c r="R22" s="787"/>
      <c r="S22" s="787"/>
      <c r="T22" s="787"/>
      <c r="U22" s="787"/>
      <c r="V22" s="787"/>
      <c r="W22" s="787">
        <f>+W17+W19</f>
        <v>4</v>
      </c>
      <c r="X22" s="787">
        <f>+X17+X19</f>
        <v>4</v>
      </c>
      <c r="Y22" s="787">
        <f t="shared" ref="Y22:AM22" si="29">+Y17+Y20</f>
        <v>4</v>
      </c>
      <c r="Z22" s="787">
        <f t="shared" si="29"/>
        <v>4</v>
      </c>
      <c r="AA22" s="787">
        <f t="shared" si="29"/>
        <v>4</v>
      </c>
      <c r="AB22" s="787">
        <f t="shared" si="29"/>
        <v>8</v>
      </c>
      <c r="AC22" s="787">
        <f t="shared" si="29"/>
        <v>0.2</v>
      </c>
      <c r="AD22" s="787">
        <f t="shared" si="29"/>
        <v>0.2</v>
      </c>
      <c r="AE22" s="787">
        <f t="shared" si="29"/>
        <v>0.25</v>
      </c>
      <c r="AF22" s="787">
        <f t="shared" si="29"/>
        <v>0.25</v>
      </c>
      <c r="AG22" s="787">
        <f t="shared" si="29"/>
        <v>0.55000000000000004</v>
      </c>
      <c r="AH22" s="787">
        <f t="shared" si="29"/>
        <v>0.55000000000000004</v>
      </c>
      <c r="AI22" s="787">
        <f t="shared" si="29"/>
        <v>0.6</v>
      </c>
      <c r="AJ22" s="787">
        <f t="shared" si="29"/>
        <v>0.6</v>
      </c>
      <c r="AK22" s="787">
        <f t="shared" si="29"/>
        <v>0.7</v>
      </c>
      <c r="AL22" s="787">
        <f t="shared" si="29"/>
        <v>0.7</v>
      </c>
      <c r="AM22" s="787">
        <f t="shared" si="29"/>
        <v>0.7</v>
      </c>
      <c r="AN22" s="787">
        <f>+AN17+AN20</f>
        <v>0.7</v>
      </c>
      <c r="AO22" s="787">
        <f t="shared" ref="AO22:AQ23" si="30">+AO17+AO20</f>
        <v>0.75</v>
      </c>
      <c r="AP22" s="787">
        <f t="shared" si="30"/>
        <v>0.75</v>
      </c>
      <c r="AQ22" s="787">
        <f t="shared" si="30"/>
        <v>0.85</v>
      </c>
      <c r="AR22" s="787">
        <f>+AR17+AR20</f>
        <v>0.85</v>
      </c>
      <c r="AS22" s="787">
        <f t="shared" ref="AS22:AU23" si="31">+AS17+AS20</f>
        <v>1.05</v>
      </c>
      <c r="AT22" s="787">
        <f t="shared" si="31"/>
        <v>1.05</v>
      </c>
      <c r="AU22" s="787">
        <f t="shared" si="31"/>
        <v>0.85</v>
      </c>
      <c r="AV22" s="787">
        <f t="shared" ref="AV22:AZ23" si="32">+AV17+AV20</f>
        <v>0.85</v>
      </c>
      <c r="AW22" s="787">
        <f t="shared" si="32"/>
        <v>0.6</v>
      </c>
      <c r="AX22" s="787">
        <f t="shared" si="32"/>
        <v>0.6</v>
      </c>
      <c r="AY22" s="787">
        <f t="shared" si="32"/>
        <v>0.9</v>
      </c>
      <c r="AZ22" s="787">
        <f t="shared" si="32"/>
        <v>0.9</v>
      </c>
      <c r="BA22" s="787">
        <f t="shared" ref="BA22:BE23" si="33">+BA17+BA20</f>
        <v>8</v>
      </c>
      <c r="BB22" s="787">
        <f>+BB17+BB20</f>
        <v>7.9999999999999991</v>
      </c>
      <c r="BC22" s="787">
        <f t="shared" si="33"/>
        <v>7.9999999999999991</v>
      </c>
      <c r="BD22" s="787">
        <f t="shared" si="33"/>
        <v>7.9999999999999991</v>
      </c>
      <c r="BE22" s="787">
        <f t="shared" si="33"/>
        <v>7.9999999999999991</v>
      </c>
      <c r="BF22" s="787">
        <f t="shared" ref="BF22:CD22" si="34">+BF17+BF20</f>
        <v>6</v>
      </c>
      <c r="BG22" s="787">
        <f t="shared" si="34"/>
        <v>0.2</v>
      </c>
      <c r="BH22" s="787">
        <f t="shared" si="34"/>
        <v>0</v>
      </c>
      <c r="BI22" s="787">
        <f t="shared" si="34"/>
        <v>0.25</v>
      </c>
      <c r="BJ22" s="787">
        <f>+BJ17+BJ20</f>
        <v>0.45</v>
      </c>
      <c r="BK22" s="787">
        <f t="shared" si="34"/>
        <v>0.55000000000000004</v>
      </c>
      <c r="BL22" s="787">
        <f t="shared" si="34"/>
        <v>0.55000000000000004</v>
      </c>
      <c r="BM22" s="787">
        <f t="shared" si="34"/>
        <v>0.60000000000000009</v>
      </c>
      <c r="BN22" s="787">
        <f t="shared" si="34"/>
        <v>0.6</v>
      </c>
      <c r="BO22" s="787">
        <f t="shared" si="34"/>
        <v>0.7</v>
      </c>
      <c r="BP22" s="787">
        <f t="shared" si="34"/>
        <v>0.7</v>
      </c>
      <c r="BQ22" s="787">
        <f t="shared" si="34"/>
        <v>0.7</v>
      </c>
      <c r="BR22" s="787">
        <f t="shared" si="34"/>
        <v>0.7</v>
      </c>
      <c r="BS22" s="787">
        <f t="shared" si="34"/>
        <v>0.30000000000000004</v>
      </c>
      <c r="BT22" s="787">
        <f t="shared" si="34"/>
        <v>0.3</v>
      </c>
      <c r="BU22" s="787">
        <f t="shared" si="34"/>
        <v>0.2</v>
      </c>
      <c r="BV22" s="787">
        <f t="shared" si="34"/>
        <v>0.2</v>
      </c>
      <c r="BW22" s="787">
        <f t="shared" si="34"/>
        <v>0.6</v>
      </c>
      <c r="BX22" s="787">
        <f t="shared" si="34"/>
        <v>0.6</v>
      </c>
      <c r="BY22" s="787">
        <f t="shared" si="34"/>
        <v>1.6</v>
      </c>
      <c r="BZ22" s="787">
        <f t="shared" si="34"/>
        <v>0.6</v>
      </c>
      <c r="CA22" s="787">
        <f t="shared" si="34"/>
        <v>0.7</v>
      </c>
      <c r="CB22" s="787">
        <f t="shared" si="34"/>
        <v>0.7</v>
      </c>
      <c r="CC22" s="787">
        <f t="shared" si="34"/>
        <v>0.6</v>
      </c>
      <c r="CD22" s="787">
        <f t="shared" si="34"/>
        <v>0.6</v>
      </c>
      <c r="CE22" s="787">
        <f>+CE17+CE20</f>
        <v>7</v>
      </c>
      <c r="CF22" s="787">
        <f t="shared" ref="CE22:CI23" si="35">+CF17+CF20</f>
        <v>6.9999999999999991</v>
      </c>
      <c r="CG22" s="787">
        <f t="shared" si="35"/>
        <v>5.9999999999999991</v>
      </c>
      <c r="CH22" s="139">
        <f t="shared" si="35"/>
        <v>7</v>
      </c>
      <c r="CI22" s="139">
        <f t="shared" si="35"/>
        <v>5.9999999999999991</v>
      </c>
      <c r="CJ22" s="825">
        <f>+CJ17+CJ20</f>
        <v>8</v>
      </c>
      <c r="CK22" s="826">
        <f t="shared" ref="CK22:DH23" si="36">+CK17+CK20</f>
        <v>0.2</v>
      </c>
      <c r="CL22" s="826">
        <f t="shared" si="36"/>
        <v>0.2</v>
      </c>
      <c r="CM22" s="826">
        <f t="shared" si="36"/>
        <v>0.25</v>
      </c>
      <c r="CN22" s="826">
        <f t="shared" si="36"/>
        <v>0.25</v>
      </c>
      <c r="CO22" s="826">
        <f t="shared" si="36"/>
        <v>0.55000000000000004</v>
      </c>
      <c r="CP22" s="826">
        <f>+CP17+CP20</f>
        <v>0.55000000000000004</v>
      </c>
      <c r="CQ22" s="826">
        <f t="shared" si="36"/>
        <v>0.6</v>
      </c>
      <c r="CR22" s="826">
        <f t="shared" si="36"/>
        <v>0.6</v>
      </c>
      <c r="CS22" s="826">
        <f t="shared" si="36"/>
        <v>0.7</v>
      </c>
      <c r="CT22" s="838">
        <f>CT17+CT20</f>
        <v>0.7</v>
      </c>
      <c r="CU22" s="826">
        <f>+CU17+CU20</f>
        <v>0.7</v>
      </c>
      <c r="CV22" s="826">
        <f>+CV17+CV20</f>
        <v>0.7</v>
      </c>
      <c r="CW22" s="825">
        <f>CW17+CW20</f>
        <v>1.2</v>
      </c>
      <c r="CX22" s="844">
        <f>CX17+CX20</f>
        <v>0.2</v>
      </c>
      <c r="CY22" s="826">
        <f t="shared" si="36"/>
        <v>0.25</v>
      </c>
      <c r="CZ22" s="826">
        <f t="shared" si="36"/>
        <v>0.25</v>
      </c>
      <c r="DA22" s="826">
        <f>+DA17+DA20</f>
        <v>0.55000000000000004</v>
      </c>
      <c r="DB22" s="849">
        <f>+DB17+DB20</f>
        <v>0.55000000000000004</v>
      </c>
      <c r="DC22" s="826">
        <f t="shared" si="36"/>
        <v>0.6</v>
      </c>
      <c r="DD22" s="844"/>
      <c r="DE22" s="787">
        <f t="shared" si="36"/>
        <v>0.7</v>
      </c>
      <c r="DF22" s="789">
        <f t="shared" si="36"/>
        <v>0.7</v>
      </c>
      <c r="DG22" s="787">
        <f t="shared" si="36"/>
        <v>1.7</v>
      </c>
      <c r="DH22" s="848">
        <f t="shared" si="36"/>
        <v>1.7</v>
      </c>
      <c r="DI22" s="787">
        <f t="shared" ref="DI22:DM23" si="37">+DI17+DI20</f>
        <v>8</v>
      </c>
      <c r="DJ22" s="787">
        <f>+DJ17+DJ20</f>
        <v>8</v>
      </c>
      <c r="DK22" s="787">
        <f>+DK17+DK20</f>
        <v>8</v>
      </c>
      <c r="DL22" s="787">
        <f t="shared" si="37"/>
        <v>8</v>
      </c>
      <c r="DM22" s="787">
        <f t="shared" si="37"/>
        <v>8</v>
      </c>
      <c r="DN22" s="787">
        <f t="shared" ref="DN22:DQ23" si="38">+DN17+DN20</f>
        <v>4</v>
      </c>
      <c r="DO22" s="787">
        <f t="shared" si="38"/>
        <v>0.45</v>
      </c>
      <c r="DP22" s="787">
        <f t="shared" si="38"/>
        <v>0.45</v>
      </c>
      <c r="DQ22" s="787">
        <f t="shared" si="38"/>
        <v>0.55000000000000004</v>
      </c>
      <c r="DR22" s="787">
        <f t="shared" ref="DR22:DV22" si="39">+DR17+DR20</f>
        <v>0.55000000000000004</v>
      </c>
      <c r="DS22" s="787">
        <f t="shared" si="39"/>
        <v>0.7</v>
      </c>
      <c r="DT22" s="787">
        <f t="shared" si="39"/>
        <v>0.7</v>
      </c>
      <c r="DU22" s="787">
        <f t="shared" si="39"/>
        <v>0.6</v>
      </c>
      <c r="DV22" s="787">
        <f t="shared" si="39"/>
        <v>0.6</v>
      </c>
      <c r="DW22" s="789">
        <f>+DW17+DW20</f>
        <v>0.95</v>
      </c>
      <c r="DX22" s="789">
        <f t="shared" ref="DX22" si="40">+DX17+DX20</f>
        <v>0.95</v>
      </c>
      <c r="DY22" s="787">
        <f>+DY17+DY20</f>
        <v>0.75</v>
      </c>
      <c r="DZ22" s="824"/>
      <c r="EA22" s="787"/>
      <c r="EB22" s="866"/>
      <c r="EC22" s="866"/>
      <c r="ED22" s="866"/>
      <c r="EE22" s="866"/>
      <c r="EF22" s="866"/>
      <c r="EG22" s="866"/>
      <c r="EH22" s="866"/>
      <c r="EI22" s="866"/>
      <c r="EJ22" s="866"/>
      <c r="EK22" s="866"/>
      <c r="EL22" s="824"/>
      <c r="EM22" s="787">
        <f>EI22+EG22+EE22+EC22+EA22+DY22+DW22+DU22+DS22+DQ22+DO22+EK22</f>
        <v>4</v>
      </c>
      <c r="EN22" s="270">
        <f t="shared" si="28"/>
        <v>3.25</v>
      </c>
      <c r="EO22" s="787">
        <f>DP22+DR22+DT22+DV22+DX22</f>
        <v>3.25</v>
      </c>
      <c r="EP22" s="787">
        <f>DQ22+DS22+DU22+DW22+DY22+EA22+EC22+EE22+EG22+EI22+EK22+DO22</f>
        <v>4</v>
      </c>
      <c r="EQ22" s="700">
        <f>DR22+DT22+DV22+DX22+DP22</f>
        <v>3.25</v>
      </c>
      <c r="ER22" s="134">
        <f t="shared" si="27"/>
        <v>1</v>
      </c>
      <c r="ES22" s="259">
        <f t="shared" si="5"/>
        <v>1</v>
      </c>
      <c r="ET22" s="870">
        <f t="shared" si="6"/>
        <v>0.8125</v>
      </c>
      <c r="EU22" s="870">
        <f t="shared" si="24"/>
        <v>0.96694214876033058</v>
      </c>
      <c r="EV22" s="338">
        <f t="shared" si="7"/>
        <v>0.97499999999999998</v>
      </c>
      <c r="EW22" s="719"/>
      <c r="EX22" s="718" t="s">
        <v>547</v>
      </c>
      <c r="EY22" s="718" t="s">
        <v>547</v>
      </c>
      <c r="EZ22" s="717"/>
      <c r="FA22" s="716"/>
      <c r="FB22" s="465"/>
    </row>
    <row r="23" spans="1:162" s="60" customFormat="1" ht="24.95" customHeight="1" thickBot="1" x14ac:dyDescent="0.3">
      <c r="A23" s="458"/>
      <c r="B23" s="458"/>
      <c r="C23" s="458"/>
      <c r="D23" s="458"/>
      <c r="E23" s="458"/>
      <c r="F23" s="166" t="s">
        <v>44</v>
      </c>
      <c r="G23" s="135">
        <f>+G18+G21</f>
        <v>15859327426</v>
      </c>
      <c r="H23" s="137">
        <f>+H18+H20</f>
        <v>613840322</v>
      </c>
      <c r="I23" s="136"/>
      <c r="J23" s="136"/>
      <c r="K23" s="136"/>
      <c r="L23" s="136"/>
      <c r="M23" s="136"/>
      <c r="N23" s="136"/>
      <c r="O23" s="136"/>
      <c r="P23" s="136"/>
      <c r="Q23" s="136"/>
      <c r="R23" s="136"/>
      <c r="S23" s="136"/>
      <c r="T23" s="137"/>
      <c r="U23" s="141"/>
      <c r="V23" s="141"/>
      <c r="W23" s="137">
        <f>+W18+W20</f>
        <v>613840322</v>
      </c>
      <c r="X23" s="137">
        <f>+X18+X20</f>
        <v>613840322</v>
      </c>
      <c r="Y23" s="137">
        <f t="shared" ref="Y23:AM23" si="41">+Y18+Y21</f>
        <v>670473105</v>
      </c>
      <c r="Z23" s="141">
        <f t="shared" si="41"/>
        <v>826840322</v>
      </c>
      <c r="AA23" s="141">
        <f t="shared" si="41"/>
        <v>670473105</v>
      </c>
      <c r="AB23" s="141">
        <f t="shared" si="41"/>
        <v>1594569384</v>
      </c>
      <c r="AC23" s="141">
        <f t="shared" si="41"/>
        <v>62045867</v>
      </c>
      <c r="AD23" s="136">
        <f t="shared" si="41"/>
        <v>62045867</v>
      </c>
      <c r="AE23" s="141">
        <f t="shared" si="41"/>
        <v>650103533</v>
      </c>
      <c r="AF23" s="136">
        <f t="shared" si="41"/>
        <v>650103533</v>
      </c>
      <c r="AG23" s="136">
        <f t="shared" si="41"/>
        <v>550515200</v>
      </c>
      <c r="AH23" s="136">
        <f t="shared" si="41"/>
        <v>550515200</v>
      </c>
      <c r="AI23" s="136">
        <f t="shared" si="41"/>
        <v>102213667</v>
      </c>
      <c r="AJ23" s="136">
        <f t="shared" si="41"/>
        <v>102213667</v>
      </c>
      <c r="AK23" s="136">
        <f t="shared" si="41"/>
        <v>15903967</v>
      </c>
      <c r="AL23" s="136">
        <f>+AL18+AL21</f>
        <v>15903967</v>
      </c>
      <c r="AM23" s="136">
        <f t="shared" si="41"/>
        <v>5571367</v>
      </c>
      <c r="AN23" s="136">
        <f>+AN18+AN21</f>
        <v>5571367</v>
      </c>
      <c r="AO23" s="136">
        <f t="shared" si="30"/>
        <v>0</v>
      </c>
      <c r="AP23" s="136">
        <f t="shared" si="30"/>
        <v>24890000</v>
      </c>
      <c r="AQ23" s="136">
        <f t="shared" si="30"/>
        <v>87855383</v>
      </c>
      <c r="AR23" s="136">
        <f>+AR18+AR21</f>
        <v>0</v>
      </c>
      <c r="AS23" s="136">
        <f t="shared" si="31"/>
        <v>53907914</v>
      </c>
      <c r="AT23" s="136">
        <f t="shared" si="31"/>
        <v>15763667</v>
      </c>
      <c r="AU23" s="136">
        <f t="shared" si="31"/>
        <v>37967600</v>
      </c>
      <c r="AV23" s="136">
        <f t="shared" si="32"/>
        <v>42747866</v>
      </c>
      <c r="AW23" s="136">
        <f t="shared" si="32"/>
        <v>22212600</v>
      </c>
      <c r="AX23" s="136">
        <f t="shared" si="32"/>
        <v>26787667</v>
      </c>
      <c r="AY23" s="136">
        <f t="shared" si="32"/>
        <v>22212600</v>
      </c>
      <c r="AZ23" s="136">
        <f t="shared" si="32"/>
        <v>12430600</v>
      </c>
      <c r="BA23" s="142">
        <f t="shared" si="33"/>
        <v>1610509698</v>
      </c>
      <c r="BB23" s="142">
        <f t="shared" si="33"/>
        <v>1610509698</v>
      </c>
      <c r="BC23" s="142">
        <f t="shared" si="33"/>
        <v>1508973401</v>
      </c>
      <c r="BD23" s="142">
        <f t="shared" si="33"/>
        <v>1610509698</v>
      </c>
      <c r="BE23" s="142">
        <f t="shared" si="33"/>
        <v>1508973401</v>
      </c>
      <c r="BF23" s="142">
        <f t="shared" ref="BF23:CD23" si="42">+BF18+BF21</f>
        <v>6185295634</v>
      </c>
      <c r="BG23" s="142">
        <f t="shared" si="42"/>
        <v>1629512666</v>
      </c>
      <c r="BH23" s="142">
        <f>+BH18+BH21</f>
        <v>1835843000</v>
      </c>
      <c r="BI23" s="142">
        <f t="shared" si="42"/>
        <v>45791968</v>
      </c>
      <c r="BJ23" s="142">
        <f>+BJ18+BJ21</f>
        <v>45990566</v>
      </c>
      <c r="BK23" s="142">
        <f t="shared" si="42"/>
        <v>113827000</v>
      </c>
      <c r="BL23" s="142">
        <f t="shared" si="42"/>
        <v>0</v>
      </c>
      <c r="BM23" s="142">
        <f t="shared" si="42"/>
        <v>450000000</v>
      </c>
      <c r="BN23" s="142">
        <f t="shared" si="42"/>
        <v>0</v>
      </c>
      <c r="BO23" s="142">
        <f t="shared" si="42"/>
        <v>0</v>
      </c>
      <c r="BP23" s="142">
        <f t="shared" si="42"/>
        <v>0</v>
      </c>
      <c r="BQ23" s="142">
        <f t="shared" si="42"/>
        <v>4034991000</v>
      </c>
      <c r="BR23" s="142">
        <f t="shared" si="42"/>
        <v>90000000</v>
      </c>
      <c r="BS23" s="142">
        <f t="shared" si="42"/>
        <v>0</v>
      </c>
      <c r="BT23" s="142">
        <f t="shared" si="42"/>
        <v>-38154465</v>
      </c>
      <c r="BU23" s="142">
        <f t="shared" si="42"/>
        <v>-60207700</v>
      </c>
      <c r="BV23" s="142">
        <f t="shared" si="42"/>
        <v>0</v>
      </c>
      <c r="BW23" s="142">
        <f t="shared" si="42"/>
        <v>-623306866</v>
      </c>
      <c r="BX23" s="142">
        <f t="shared" si="42"/>
        <v>233655699</v>
      </c>
      <c r="BY23" s="142">
        <f t="shared" si="42"/>
        <v>699803138</v>
      </c>
      <c r="BZ23" s="142">
        <f t="shared" si="42"/>
        <v>220773700</v>
      </c>
      <c r="CA23" s="142">
        <f t="shared" si="42"/>
        <v>212302277</v>
      </c>
      <c r="CB23" s="142">
        <f t="shared" si="42"/>
        <v>2943455773</v>
      </c>
      <c r="CC23" s="142">
        <f t="shared" si="42"/>
        <v>-457161534</v>
      </c>
      <c r="CD23" s="142">
        <f t="shared" si="42"/>
        <v>428033688</v>
      </c>
      <c r="CE23" s="142">
        <f t="shared" si="35"/>
        <v>6045551949</v>
      </c>
      <c r="CF23" s="142">
        <f t="shared" si="35"/>
        <v>6045551949</v>
      </c>
      <c r="CG23" s="142">
        <f t="shared" si="35"/>
        <v>5759597961</v>
      </c>
      <c r="CH23" s="137">
        <f t="shared" si="35"/>
        <v>6045551949</v>
      </c>
      <c r="CI23" s="137">
        <f t="shared" si="35"/>
        <v>5759597961</v>
      </c>
      <c r="CJ23" s="137">
        <f>+CJ18+CJ21</f>
        <v>3811583205</v>
      </c>
      <c r="CK23" s="137">
        <f t="shared" si="36"/>
        <v>719444833</v>
      </c>
      <c r="CL23" s="137">
        <f t="shared" si="36"/>
        <v>67700813</v>
      </c>
      <c r="CM23" s="137">
        <f t="shared" si="36"/>
        <v>385232032</v>
      </c>
      <c r="CN23" s="137">
        <f>+CN18+CM21</f>
        <v>756859532</v>
      </c>
      <c r="CO23" s="137">
        <f t="shared" si="36"/>
        <v>255447066</v>
      </c>
      <c r="CP23" s="137">
        <f>+CP18+CP21</f>
        <v>793619669</v>
      </c>
      <c r="CQ23" s="137">
        <f>+CQ18+CS21</f>
        <v>214100200</v>
      </c>
      <c r="CR23" s="137">
        <f t="shared" si="36"/>
        <v>203174300</v>
      </c>
      <c r="CS23" s="137">
        <f t="shared" si="36"/>
        <v>214100200</v>
      </c>
      <c r="CT23" s="182">
        <f t="shared" si="36"/>
        <v>176092236</v>
      </c>
      <c r="CU23" s="137">
        <f t="shared" si="36"/>
        <v>481489900</v>
      </c>
      <c r="CV23" s="137">
        <f t="shared" si="36"/>
        <v>159212950</v>
      </c>
      <c r="CW23" s="137">
        <f t="shared" si="36"/>
        <v>338197500</v>
      </c>
      <c r="CX23" s="237">
        <f t="shared" si="36"/>
        <v>22395989</v>
      </c>
      <c r="CY23" s="137">
        <f t="shared" si="36"/>
        <v>170506500</v>
      </c>
      <c r="CZ23" s="137">
        <f>+CZ18+CZ21</f>
        <v>10543247</v>
      </c>
      <c r="DA23" s="137">
        <f>+DA18+DA21</f>
        <v>316327415</v>
      </c>
      <c r="DB23" s="137">
        <f>+DB18+DB21</f>
        <v>63553462</v>
      </c>
      <c r="DC23" s="137">
        <f t="shared" si="36"/>
        <v>307833715</v>
      </c>
      <c r="DD23" s="137"/>
      <c r="DE23" s="137">
        <f t="shared" si="36"/>
        <v>54899315</v>
      </c>
      <c r="DF23" s="137"/>
      <c r="DG23" s="136">
        <f t="shared" si="36"/>
        <v>225562638</v>
      </c>
      <c r="DH23" s="136">
        <f t="shared" si="36"/>
        <v>192410099</v>
      </c>
      <c r="DI23" s="137">
        <f t="shared" si="37"/>
        <v>3699030781</v>
      </c>
      <c r="DJ23" s="136">
        <f>+DJ18+DJ21</f>
        <v>3684770866</v>
      </c>
      <c r="DK23" s="136">
        <f>+DK18+DK21</f>
        <v>3058615204</v>
      </c>
      <c r="DL23" s="136">
        <f t="shared" si="37"/>
        <v>3699030781</v>
      </c>
      <c r="DM23" s="136">
        <f t="shared" si="37"/>
        <v>3058615204</v>
      </c>
      <c r="DN23" s="136">
        <f t="shared" si="38"/>
        <v>4861667755</v>
      </c>
      <c r="DO23" s="182">
        <f t="shared" si="38"/>
        <v>96607100</v>
      </c>
      <c r="DP23" s="182">
        <f t="shared" si="38"/>
        <v>96607100</v>
      </c>
      <c r="DQ23" s="182">
        <f t="shared" si="38"/>
        <v>878293942</v>
      </c>
      <c r="DR23" s="182">
        <f t="shared" ref="DR23" si="43">+DR18+DR21</f>
        <v>533646767</v>
      </c>
      <c r="DS23" s="182">
        <f>+DS18+DS21</f>
        <v>657576827</v>
      </c>
      <c r="DT23" s="182">
        <f>+DT18+DT21</f>
        <v>165146560</v>
      </c>
      <c r="DU23" s="182">
        <f>+DU18+DU21</f>
        <v>786218000</v>
      </c>
      <c r="DV23" s="182">
        <f>+DV18+DV21</f>
        <v>293343132</v>
      </c>
      <c r="DW23" s="236">
        <f>+DW18+DW21</f>
        <v>747636596</v>
      </c>
      <c r="DX23" s="236">
        <f>+DX18+DX21</f>
        <v>400197793</v>
      </c>
      <c r="DY23" s="136">
        <f>+DY18+DY21</f>
        <v>1132750341</v>
      </c>
      <c r="DZ23" s="138"/>
      <c r="EA23" s="280"/>
      <c r="EB23" s="280"/>
      <c r="EC23" s="280"/>
      <c r="ED23" s="280"/>
      <c r="EE23" s="280"/>
      <c r="EF23" s="280"/>
      <c r="EG23" s="280"/>
      <c r="EH23" s="280"/>
      <c r="EI23" s="280"/>
      <c r="EJ23" s="280"/>
      <c r="EK23" s="280"/>
      <c r="EL23" s="138"/>
      <c r="EM23" s="137">
        <f>EM18+EM21</f>
        <v>4861667755</v>
      </c>
      <c r="EN23" s="136">
        <f>+EN18+EN21</f>
        <v>3166332465</v>
      </c>
      <c r="EO23" s="142">
        <f>EO18+EO21</f>
        <v>1488941352</v>
      </c>
      <c r="EP23" s="136">
        <f>+EP18+EP21</f>
        <v>4861667755</v>
      </c>
      <c r="EQ23" s="136">
        <f>EQ18+EQ21</f>
        <v>1488941352</v>
      </c>
      <c r="ER23" s="260">
        <f>IFERROR(DX23/DW23,0)</f>
        <v>0.53528384664573059</v>
      </c>
      <c r="ES23" s="260">
        <f>IFERROR(EO23/EN23,0)</f>
        <v>0.4702416339593069</v>
      </c>
      <c r="ET23" s="845">
        <f>IFERROR(EQ23/EP23,0)</f>
        <v>0.30626143682251689</v>
      </c>
      <c r="EU23" s="845">
        <f>IFERROR((AA23+BE23+CI23+DM23+EO23)/(Z23+BD23+CH23+DL23+EN23),0)</f>
        <v>0.81355129378379065</v>
      </c>
      <c r="EV23" s="846">
        <f t="shared" si="7"/>
        <v>0.78733484009727261</v>
      </c>
      <c r="EW23" s="719"/>
      <c r="EX23" s="718" t="s">
        <v>547</v>
      </c>
      <c r="EY23" s="718" t="s">
        <v>547</v>
      </c>
      <c r="EZ23" s="717"/>
      <c r="FA23" s="716"/>
      <c r="FB23" s="465"/>
    </row>
    <row r="24" spans="1:162" s="3" customFormat="1" ht="24.95" customHeight="1" x14ac:dyDescent="0.25">
      <c r="A24" s="458" t="s">
        <v>292</v>
      </c>
      <c r="B24" s="458">
        <v>3</v>
      </c>
      <c r="C24" s="458" t="s">
        <v>520</v>
      </c>
      <c r="D24" s="458" t="s">
        <v>255</v>
      </c>
      <c r="E24" s="458">
        <v>272</v>
      </c>
      <c r="F24" s="165" t="s">
        <v>40</v>
      </c>
      <c r="G24" s="321">
        <f>+AA24+BE24+CI24+DM24+EP24</f>
        <v>8</v>
      </c>
      <c r="H24" s="658">
        <v>1</v>
      </c>
      <c r="I24" s="658"/>
      <c r="J24" s="658"/>
      <c r="K24" s="658"/>
      <c r="L24" s="658"/>
      <c r="M24" s="658"/>
      <c r="N24" s="658"/>
      <c r="O24" s="658"/>
      <c r="P24" s="658"/>
      <c r="Q24" s="658"/>
      <c r="R24" s="658"/>
      <c r="S24" s="658"/>
      <c r="T24" s="658"/>
      <c r="U24" s="658"/>
      <c r="V24" s="658"/>
      <c r="W24" s="658">
        <v>1</v>
      </c>
      <c r="X24" s="658">
        <v>1</v>
      </c>
      <c r="Y24" s="658">
        <v>1</v>
      </c>
      <c r="Z24" s="658">
        <v>1</v>
      </c>
      <c r="AA24" s="658">
        <v>1</v>
      </c>
      <c r="AB24" s="658">
        <v>2</v>
      </c>
      <c r="AC24" s="689">
        <v>0.17</v>
      </c>
      <c r="AD24" s="689">
        <v>0.15</v>
      </c>
      <c r="AE24" s="689">
        <v>0.17</v>
      </c>
      <c r="AF24" s="689">
        <v>0.11</v>
      </c>
      <c r="AG24" s="689">
        <v>0.17</v>
      </c>
      <c r="AH24" s="689">
        <v>0.1</v>
      </c>
      <c r="AI24" s="689">
        <v>0.17</v>
      </c>
      <c r="AJ24" s="689">
        <v>0.15</v>
      </c>
      <c r="AK24" s="689">
        <v>0.14000000000000001</v>
      </c>
      <c r="AL24" s="689">
        <v>0.14000000000000001</v>
      </c>
      <c r="AM24" s="689">
        <v>0.17</v>
      </c>
      <c r="AN24" s="689">
        <v>0.35</v>
      </c>
      <c r="AO24" s="689">
        <v>0.17</v>
      </c>
      <c r="AP24" s="689">
        <v>0.26</v>
      </c>
      <c r="AQ24" s="689">
        <v>0.17</v>
      </c>
      <c r="AR24" s="689">
        <v>0.13</v>
      </c>
      <c r="AS24" s="689">
        <v>0.17</v>
      </c>
      <c r="AT24" s="689">
        <v>0.17</v>
      </c>
      <c r="AU24" s="689">
        <v>0.17</v>
      </c>
      <c r="AV24" s="689">
        <v>0.21</v>
      </c>
      <c r="AW24" s="689">
        <v>0.17</v>
      </c>
      <c r="AX24" s="689">
        <v>0.17</v>
      </c>
      <c r="AY24" s="689">
        <v>0.16</v>
      </c>
      <c r="AZ24" s="689">
        <v>0.06</v>
      </c>
      <c r="BA24" s="140">
        <f>AY24+AW24+AU24+AS24+AQ24+AO24+AM24+AK24+AI24+AG24+AE24+AC24</f>
        <v>1.9999999999999996</v>
      </c>
      <c r="BB24" s="140">
        <f t="shared" ref="BB24:BC28" si="44">AC24+AE24+AG24+AI24+AK24+AM24+AO24+AQ24+AS24+AU24+AW24+AY24</f>
        <v>1.9999999999999998</v>
      </c>
      <c r="BC24" s="140">
        <f t="shared" si="44"/>
        <v>2</v>
      </c>
      <c r="BD24" s="140">
        <f>AE24+AG24+AI24+AK24+AM24+AO24+AQ24+AS24+AU24+AW24+AY24+AC24</f>
        <v>1.9999999999999998</v>
      </c>
      <c r="BE24" s="140">
        <f>AD24+AF24+AH24+AJ24+AL24+AN24+AP24+AR24+AT24+AV24+AX24+AZ24</f>
        <v>2</v>
      </c>
      <c r="BF24" s="658">
        <v>2</v>
      </c>
      <c r="BG24" s="689">
        <v>0.17</v>
      </c>
      <c r="BH24" s="689">
        <v>0</v>
      </c>
      <c r="BI24" s="689">
        <v>0.17</v>
      </c>
      <c r="BJ24" s="689">
        <v>0.33</v>
      </c>
      <c r="BK24" s="689">
        <v>0.17</v>
      </c>
      <c r="BL24" s="689">
        <v>0.17</v>
      </c>
      <c r="BM24" s="689">
        <v>0.17</v>
      </c>
      <c r="BN24" s="689">
        <v>0.17</v>
      </c>
      <c r="BO24" s="689">
        <v>0.14000000000000001</v>
      </c>
      <c r="BP24" s="689">
        <v>0.14000000000000001</v>
      </c>
      <c r="BQ24" s="689">
        <v>0.18</v>
      </c>
      <c r="BR24" s="689">
        <v>0.17</v>
      </c>
      <c r="BS24" s="689">
        <v>0.17</v>
      </c>
      <c r="BT24" s="689">
        <v>0.19</v>
      </c>
      <c r="BU24" s="689">
        <v>0.17</v>
      </c>
      <c r="BV24" s="689">
        <v>0.17</v>
      </c>
      <c r="BW24" s="689">
        <v>0.17</v>
      </c>
      <c r="BX24" s="689">
        <v>0.17</v>
      </c>
      <c r="BY24" s="689">
        <v>0.17</v>
      </c>
      <c r="BZ24" s="689">
        <v>0.17</v>
      </c>
      <c r="CA24" s="689">
        <v>0.17</v>
      </c>
      <c r="CB24" s="689">
        <v>0.17</v>
      </c>
      <c r="CC24" s="689">
        <v>0.15</v>
      </c>
      <c r="CD24" s="689">
        <v>0.15</v>
      </c>
      <c r="CE24" s="689">
        <f>CC24+CA24+BY24+BW24+BU24+BS24+BQ24+BO24+BM24+BK24+BI24+BG24</f>
        <v>1.9999999999999996</v>
      </c>
      <c r="CF24" s="689">
        <f t="shared" ref="CF24:CG28" si="45">+BG24+BI24+BK24+BM24+BO24+BQ24+BS24+BU24+BW24+BY24+CA24+CC24</f>
        <v>1.9999999999999996</v>
      </c>
      <c r="CG24" s="133">
        <f t="shared" si="45"/>
        <v>1.9999999999999998</v>
      </c>
      <c r="CH24" s="133">
        <f>CC24+CA24+BY24+BW24+BU24+BS24+BQ24+BO24+BM24+BK24+BI24+BG24</f>
        <v>1.9999999999999996</v>
      </c>
      <c r="CI24" s="133">
        <f>+BH24+BJ24+BL24+BN24+BP24+BR24+BT24+BV24+BX24+BZ24+CB24+CD24</f>
        <v>1.9999999999999998</v>
      </c>
      <c r="CJ24" s="689">
        <v>2</v>
      </c>
      <c r="CK24" s="689">
        <v>0.17</v>
      </c>
      <c r="CL24" s="689">
        <v>0.17</v>
      </c>
      <c r="CM24" s="689">
        <v>0.17</v>
      </c>
      <c r="CN24" s="689">
        <v>0.17</v>
      </c>
      <c r="CO24" s="689">
        <v>0.17</v>
      </c>
      <c r="CP24" s="689">
        <v>0.17</v>
      </c>
      <c r="CQ24" s="689">
        <v>0.17</v>
      </c>
      <c r="CR24" s="689">
        <v>0.17</v>
      </c>
      <c r="CS24" s="689">
        <v>0.14000000000000001</v>
      </c>
      <c r="CT24" s="689">
        <v>0.14000000000000001</v>
      </c>
      <c r="CU24" s="689">
        <v>0.17</v>
      </c>
      <c r="CV24" s="688">
        <v>0.17</v>
      </c>
      <c r="CW24" s="689">
        <v>0.17</v>
      </c>
      <c r="CX24" s="688">
        <v>0.17</v>
      </c>
      <c r="CY24" s="689">
        <v>0.17</v>
      </c>
      <c r="CZ24" s="688">
        <v>0.17</v>
      </c>
      <c r="DA24" s="689">
        <v>0.17</v>
      </c>
      <c r="DB24" s="688">
        <v>0.17</v>
      </c>
      <c r="DC24" s="689">
        <v>0.17</v>
      </c>
      <c r="DD24" s="688">
        <v>0.17</v>
      </c>
      <c r="DE24" s="689">
        <v>0.17</v>
      </c>
      <c r="DF24" s="688">
        <v>0.17</v>
      </c>
      <c r="DG24" s="689">
        <v>0.16</v>
      </c>
      <c r="DH24" s="688">
        <v>0.16</v>
      </c>
      <c r="DI24" s="689">
        <f>DG24+DE24+DC24+DA24+CY24+CW24+CU24+CS24+CQ24+CO24+CM24+CK24</f>
        <v>1.9999999999999996</v>
      </c>
      <c r="DJ24" s="689">
        <f t="shared" ref="DJ24:DK28" si="46">CK24+CM24+CO24+CQ24+CS24+CU24+CW24+CY24+DA24+DC24+DE24+DG24</f>
        <v>1.9999999999999998</v>
      </c>
      <c r="DK24" s="689">
        <f t="shared" si="46"/>
        <v>1.9999999999999998</v>
      </c>
      <c r="DL24" s="133">
        <f t="shared" ref="DL24:DM26" si="47">CM24+CO24+CQ24+CS24+CU24+CW24+CY24+DA24+DC24+DE24+DG24+CK24</f>
        <v>1.9999999999999998</v>
      </c>
      <c r="DM24" s="133">
        <f>CN24+CP24+CR24+CT24+CV24+CX24+CZ24+DB24+DD24+DF24+DH24+CL24</f>
        <v>1.9999999999999998</v>
      </c>
      <c r="DN24" s="658">
        <v>1</v>
      </c>
      <c r="DO24" s="700">
        <v>0.17</v>
      </c>
      <c r="DP24" s="700">
        <v>0.17</v>
      </c>
      <c r="DQ24" s="700">
        <v>0.17</v>
      </c>
      <c r="DR24" s="700">
        <v>0.17</v>
      </c>
      <c r="DS24" s="700">
        <v>0.17</v>
      </c>
      <c r="DT24" s="700">
        <v>0.17</v>
      </c>
      <c r="DU24" s="700">
        <v>0.17</v>
      </c>
      <c r="DV24" s="700">
        <v>0.17</v>
      </c>
      <c r="DW24" s="775">
        <v>0.15</v>
      </c>
      <c r="DX24" s="775">
        <v>0.15</v>
      </c>
      <c r="DY24" s="775">
        <v>0.17</v>
      </c>
      <c r="DZ24" s="803"/>
      <c r="EA24" s="775"/>
      <c r="EB24" s="791"/>
      <c r="EC24" s="791"/>
      <c r="ED24" s="791"/>
      <c r="EE24" s="791"/>
      <c r="EF24" s="791"/>
      <c r="EG24" s="685"/>
      <c r="EH24" s="685"/>
      <c r="EI24" s="685"/>
      <c r="EJ24" s="685"/>
      <c r="EK24" s="685"/>
      <c r="EL24" s="780"/>
      <c r="EM24" s="700">
        <f>EK24+EI24+EG24+EE24+EC24+EA24+DY24+DW24+DU24+DS24+DQ24+DO24</f>
        <v>1</v>
      </c>
      <c r="EN24" s="700">
        <f>DO24+DQ24+DS24+DU24+DW24</f>
        <v>0.83000000000000007</v>
      </c>
      <c r="EO24" s="700">
        <f>DP24+DR24+DT24+DV24+DX24</f>
        <v>0.83000000000000007</v>
      </c>
      <c r="EP24" s="804">
        <f>DQ24+DS24+DU24+DW24+DY24+EA24+EC24+EE24+EG24+EI24+EK24+DO24</f>
        <v>1</v>
      </c>
      <c r="EQ24" s="700">
        <f>DR24+DT24+DV24+DX24+DP24</f>
        <v>0.83000000000000007</v>
      </c>
      <c r="ER24" s="134">
        <f>IFERROR(DX24/DW241,0)</f>
        <v>0</v>
      </c>
      <c r="ES24" s="134">
        <f>IFERROR(EO24/EN24,0)</f>
        <v>1</v>
      </c>
      <c r="ET24" s="847">
        <f t="shared" si="6"/>
        <v>0.83000000000000007</v>
      </c>
      <c r="EU24" s="847">
        <f t="shared" si="24"/>
        <v>1</v>
      </c>
      <c r="EV24" s="336">
        <f t="shared" si="7"/>
        <v>0.97875000000000001</v>
      </c>
      <c r="EW24" s="719" t="s">
        <v>788</v>
      </c>
      <c r="EX24" s="718" t="s">
        <v>547</v>
      </c>
      <c r="EY24" s="718" t="s">
        <v>547</v>
      </c>
      <c r="EZ24" s="712" t="s">
        <v>516</v>
      </c>
      <c r="FA24" s="713" t="s">
        <v>679</v>
      </c>
      <c r="FB24" s="427"/>
    </row>
    <row r="25" spans="1:162" s="39" customFormat="1" ht="24.95" customHeight="1" x14ac:dyDescent="0.25">
      <c r="A25" s="458"/>
      <c r="B25" s="458"/>
      <c r="C25" s="458"/>
      <c r="D25" s="458"/>
      <c r="E25" s="458"/>
      <c r="F25" s="166" t="s">
        <v>3</v>
      </c>
      <c r="G25" s="55">
        <f>+AA25+BE25+CI25+DM25+EP25</f>
        <v>14529368161.809999</v>
      </c>
      <c r="H25" s="54">
        <v>1412790000</v>
      </c>
      <c r="I25" s="55"/>
      <c r="J25" s="55"/>
      <c r="K25" s="55"/>
      <c r="L25" s="55"/>
      <c r="M25" s="55"/>
      <c r="N25" s="55"/>
      <c r="O25" s="55"/>
      <c r="P25" s="55"/>
      <c r="Q25" s="55"/>
      <c r="R25" s="55"/>
      <c r="S25" s="55"/>
      <c r="T25" s="54"/>
      <c r="U25" s="62"/>
      <c r="V25" s="62"/>
      <c r="W25" s="54">
        <v>1412790000</v>
      </c>
      <c r="X25" s="54">
        <v>1412790000</v>
      </c>
      <c r="Y25" s="54">
        <v>1326141063</v>
      </c>
      <c r="Z25" s="62">
        <v>1399790000</v>
      </c>
      <c r="AA25" s="62">
        <v>1326141063</v>
      </c>
      <c r="AB25" s="62">
        <v>2973776000</v>
      </c>
      <c r="AC25" s="62">
        <v>0</v>
      </c>
      <c r="AD25" s="62">
        <v>0</v>
      </c>
      <c r="AE25" s="62">
        <v>408790000</v>
      </c>
      <c r="AF25" s="62">
        <f>408790000-AD25</f>
        <v>408790000</v>
      </c>
      <c r="AG25" s="62">
        <v>1385154150</v>
      </c>
      <c r="AH25" s="62">
        <f>(1793944150-AF25-AD25)</f>
        <v>1385154150</v>
      </c>
      <c r="AI25" s="62">
        <v>557630000</v>
      </c>
      <c r="AJ25" s="62">
        <f>1942784150-AH25-AF25-AD25</f>
        <v>148840000</v>
      </c>
      <c r="AK25" s="55">
        <v>0</v>
      </c>
      <c r="AL25" s="55">
        <f>1942784150-AJ25-AH25-AF25-AD25+5000000</f>
        <v>5000000</v>
      </c>
      <c r="AM25" s="55">
        <v>244731564</v>
      </c>
      <c r="AN25" s="55">
        <v>244731564</v>
      </c>
      <c r="AO25" s="55">
        <v>0</v>
      </c>
      <c r="AP25" s="55">
        <v>0</v>
      </c>
      <c r="AQ25" s="55">
        <v>62546600</v>
      </c>
      <c r="AR25" s="55">
        <v>0</v>
      </c>
      <c r="AS25" s="55">
        <f>62546600+16124316</f>
        <v>78670916</v>
      </c>
      <c r="AT25" s="55">
        <v>13226834</v>
      </c>
      <c r="AU25" s="55">
        <f>5737286+62546600</f>
        <v>68283886</v>
      </c>
      <c r="AV25" s="55">
        <v>37553138</v>
      </c>
      <c r="AW25" s="55">
        <v>62546600</v>
      </c>
      <c r="AX25" s="55">
        <v>81644647</v>
      </c>
      <c r="AY25" s="55">
        <v>62546600</v>
      </c>
      <c r="AZ25" s="55">
        <v>357168990</v>
      </c>
      <c r="BA25" s="54">
        <f>AY25+AW25+AU25+AS25+AQ25+AO25+AM25+AK25+AI25+AG25+AE25+AC25</f>
        <v>2930900316</v>
      </c>
      <c r="BB25" s="54">
        <f t="shared" si="44"/>
        <v>2930900316</v>
      </c>
      <c r="BC25" s="54">
        <f t="shared" si="44"/>
        <v>2682109323</v>
      </c>
      <c r="BD25" s="54">
        <f>AE25+AG25+AI25+AK25+AM25+AO25+AQ25+AS25+AU25+AW25+AY25+AC25</f>
        <v>2930900316</v>
      </c>
      <c r="BE25" s="54">
        <f>AD25+AF25+AH25+AJ25+AL25+AN25+AP25+AR25+AT25+AV25+AX25+AZ25</f>
        <v>2682109323</v>
      </c>
      <c r="BF25" s="54">
        <v>3364237000</v>
      </c>
      <c r="BG25" s="55">
        <v>2599004000</v>
      </c>
      <c r="BH25" s="55">
        <v>2534638908</v>
      </c>
      <c r="BI25" s="55">
        <v>0</v>
      </c>
      <c r="BJ25" s="55">
        <v>0</v>
      </c>
      <c r="BK25" s="55">
        <v>599096000</v>
      </c>
      <c r="BL25" s="55">
        <v>50000000</v>
      </c>
      <c r="BM25" s="55">
        <v>81137000</v>
      </c>
      <c r="BN25" s="55">
        <v>0</v>
      </c>
      <c r="BO25" s="55">
        <v>0</v>
      </c>
      <c r="BP25" s="55">
        <v>162596000</v>
      </c>
      <c r="BQ25" s="55">
        <v>85000000</v>
      </c>
      <c r="BR25" s="55">
        <v>0</v>
      </c>
      <c r="BS25" s="55">
        <v>0</v>
      </c>
      <c r="BT25" s="55">
        <v>0</v>
      </c>
      <c r="BU25" s="55">
        <v>50000000</v>
      </c>
      <c r="BV25" s="55">
        <v>0</v>
      </c>
      <c r="BW25" s="55">
        <v>103669108</v>
      </c>
      <c r="BX25" s="55">
        <v>80893000</v>
      </c>
      <c r="BY25" s="55">
        <v>310316001</v>
      </c>
      <c r="BZ25" s="55">
        <v>121926900</v>
      </c>
      <c r="CA25" s="55">
        <v>0</v>
      </c>
      <c r="CB25" s="55">
        <v>375907900</v>
      </c>
      <c r="CC25" s="55">
        <v>182000000</v>
      </c>
      <c r="CD25" s="55">
        <v>485217080</v>
      </c>
      <c r="CE25" s="55">
        <f>CC25+CA25+BY25+BW25+BU25+BS25+BQ25+BO25+BM25+BK25+BI25+BG25</f>
        <v>4010222109</v>
      </c>
      <c r="CF25" s="55">
        <f t="shared" si="45"/>
        <v>4010222109</v>
      </c>
      <c r="CG25" s="55">
        <f t="shared" si="45"/>
        <v>3811179788</v>
      </c>
      <c r="CH25" s="54">
        <f>CC25+CA25+BY25+BW25+BU25+BS25+BQ25+BO25+BM25+BK25+BI25+BG25</f>
        <v>4010222109</v>
      </c>
      <c r="CI25" s="54">
        <f>+BH25+BJ25+BL25+BN25+BP25+BR25+BT25+BV25+BX25+BZ25+CB25+CD25</f>
        <v>3811179788</v>
      </c>
      <c r="CJ25" s="55">
        <v>3038408000</v>
      </c>
      <c r="CK25" s="55">
        <v>-203642500</v>
      </c>
      <c r="CL25" s="55">
        <v>0</v>
      </c>
      <c r="CM25" s="55">
        <v>254552000</v>
      </c>
      <c r="CN25" s="55">
        <v>756020000</v>
      </c>
      <c r="CO25" s="55">
        <v>296915636</v>
      </c>
      <c r="CP25" s="55">
        <v>1294865000</v>
      </c>
      <c r="CQ25" s="55">
        <v>256802000</v>
      </c>
      <c r="CR25" s="55">
        <v>95299000</v>
      </c>
      <c r="CS25" s="55">
        <v>299165636</v>
      </c>
      <c r="CT25" s="180">
        <v>92496695</v>
      </c>
      <c r="CU25" s="162">
        <v>256802000</v>
      </c>
      <c r="CV25" s="162">
        <v>321423000</v>
      </c>
      <c r="CW25" s="162">
        <f>299165636+82687500</f>
        <v>381853136</v>
      </c>
      <c r="CX25" s="162">
        <v>0</v>
      </c>
      <c r="CY25" s="55">
        <f>424801000+120000000</f>
        <v>544801000</v>
      </c>
      <c r="CZ25" s="162">
        <v>17017000</v>
      </c>
      <c r="DA25" s="162">
        <f>339165636+-45909000</f>
        <v>293256636</v>
      </c>
      <c r="DB25" s="162">
        <v>168000000</v>
      </c>
      <c r="DC25" s="162">
        <f>256802000+61934695</f>
        <v>318736695</v>
      </c>
      <c r="DD25" s="162">
        <v>7014000</v>
      </c>
      <c r="DE25" s="162">
        <f>114613636+11478400</f>
        <v>126092036</v>
      </c>
      <c r="DF25" s="162">
        <v>43875100</v>
      </c>
      <c r="DG25" s="162">
        <f>239622820-45730500</f>
        <v>193892320</v>
      </c>
      <c r="DH25" s="162">
        <v>217494193</v>
      </c>
      <c r="DI25" s="54">
        <f>DG25+DE25+DC25+DA25+CY25+CW25+CU25+CS25+CQ25+CO25+CM25+CK25</f>
        <v>3019226595</v>
      </c>
      <c r="DJ25" s="54">
        <f t="shared" si="46"/>
        <v>3019226595</v>
      </c>
      <c r="DK25" s="54">
        <f t="shared" si="46"/>
        <v>3013503988</v>
      </c>
      <c r="DL25" s="54">
        <f>CM25+CO25+CQ25+CS25+CU25+CW25+CY25+DA25+DC25+DE25+DG25+CK25</f>
        <v>3019226595</v>
      </c>
      <c r="DM25" s="54">
        <f t="shared" si="47"/>
        <v>3013503988</v>
      </c>
      <c r="DN25" s="55">
        <f>DO25+DQ25+DS25+DU25+DW25+DY25+EA25</f>
        <v>3696433999.8099999</v>
      </c>
      <c r="DO25" s="180">
        <v>164965845</v>
      </c>
      <c r="DP25" s="180">
        <v>164965845</v>
      </c>
      <c r="DQ25" s="180">
        <v>840042432.80999994</v>
      </c>
      <c r="DR25" s="180">
        <v>726402000</v>
      </c>
      <c r="DS25" s="180">
        <v>475482431</v>
      </c>
      <c r="DT25" s="180">
        <v>248728000</v>
      </c>
      <c r="DU25" s="180">
        <v>578636435</v>
      </c>
      <c r="DV25" s="180">
        <v>142928000</v>
      </c>
      <c r="DW25" s="162">
        <f>569185698-10000000</f>
        <v>559185698</v>
      </c>
      <c r="DX25" s="279">
        <v>305984768</v>
      </c>
      <c r="DY25" s="162">
        <v>675356879</v>
      </c>
      <c r="DZ25" s="49"/>
      <c r="EA25" s="162">
        <v>402764279</v>
      </c>
      <c r="EB25" s="281"/>
      <c r="EC25" s="281"/>
      <c r="ED25" s="281"/>
      <c r="EE25" s="281"/>
      <c r="EF25" s="281"/>
      <c r="EG25" s="281"/>
      <c r="EH25" s="281"/>
      <c r="EI25" s="281"/>
      <c r="EJ25" s="281"/>
      <c r="EK25" s="281"/>
      <c r="EL25" s="49"/>
      <c r="EM25" s="61">
        <f>EK25+EI25+EG25+EE25+EC25+EA25+DY25+DW25+DU25+DS25+DQ25+DO25</f>
        <v>3696433999.8099999</v>
      </c>
      <c r="EN25" s="686">
        <f t="shared" ref="EN25:EN26" si="48">DO25+DQ25+DS25+DU25+DW25</f>
        <v>2618312841.8099999</v>
      </c>
      <c r="EO25" s="686">
        <f t="shared" ref="EO25:EO28" si="49">DP25+DR25+DT25+DV25+DX25</f>
        <v>1589008613</v>
      </c>
      <c r="EP25" s="262">
        <f>DQ25+DS25+DU25+DW25+DY25+EA25+EC25+EE25+EG25+EI25+EK25+DO25</f>
        <v>3696433999.8099999</v>
      </c>
      <c r="EQ25" s="61">
        <f>DP25+DR25+DT25+DV25+DX25</f>
        <v>1589008613</v>
      </c>
      <c r="ER25" s="134">
        <f t="shared" ref="ER25:ER29" si="50">IFERROR(DX25/DW242,0)</f>
        <v>0</v>
      </c>
      <c r="ES25" s="134">
        <f t="shared" si="5"/>
        <v>0.60688264122844182</v>
      </c>
      <c r="ET25" s="847">
        <f t="shared" si="6"/>
        <v>0.4298760949287006</v>
      </c>
      <c r="EU25" s="847">
        <f t="shared" si="24"/>
        <v>0.88864939392448183</v>
      </c>
      <c r="EV25" s="337">
        <f t="shared" si="7"/>
        <v>0.85495409274924272</v>
      </c>
      <c r="EW25" s="719"/>
      <c r="EX25" s="718"/>
      <c r="EY25" s="718" t="s">
        <v>547</v>
      </c>
      <c r="EZ25" s="712"/>
      <c r="FA25" s="716"/>
      <c r="FB25" s="427"/>
    </row>
    <row r="26" spans="1:162" s="39" customFormat="1" ht="24.95" customHeight="1" x14ac:dyDescent="0.25">
      <c r="A26" s="458"/>
      <c r="B26" s="458"/>
      <c r="C26" s="458"/>
      <c r="D26" s="458"/>
      <c r="E26" s="458"/>
      <c r="F26" s="167" t="s">
        <v>205</v>
      </c>
      <c r="G26" s="55"/>
      <c r="H26" s="792"/>
      <c r="I26" s="55"/>
      <c r="J26" s="55"/>
      <c r="K26" s="55"/>
      <c r="L26" s="55"/>
      <c r="M26" s="55"/>
      <c r="N26" s="55"/>
      <c r="O26" s="55"/>
      <c r="P26" s="55"/>
      <c r="Q26" s="55"/>
      <c r="R26" s="55"/>
      <c r="S26" s="55"/>
      <c r="T26" s="54"/>
      <c r="U26" s="62"/>
      <c r="V26" s="62"/>
      <c r="W26" s="792"/>
      <c r="X26" s="792"/>
      <c r="Y26" s="792"/>
      <c r="Z26" s="62"/>
      <c r="AA26" s="62"/>
      <c r="AB26" s="62"/>
      <c r="AC26" s="55">
        <v>0</v>
      </c>
      <c r="AD26" s="55">
        <v>0</v>
      </c>
      <c r="AE26" s="62">
        <v>0</v>
      </c>
      <c r="AF26" s="55">
        <v>0</v>
      </c>
      <c r="AG26" s="55">
        <v>38410320</v>
      </c>
      <c r="AH26" s="55">
        <v>38410320</v>
      </c>
      <c r="AI26" s="55">
        <f>121559153-AG26</f>
        <v>83148833</v>
      </c>
      <c r="AJ26" s="55">
        <f>121559153-AH26</f>
        <v>83148833</v>
      </c>
      <c r="AK26" s="55">
        <v>253856212</v>
      </c>
      <c r="AL26" s="55">
        <f>375415365-AJ26-AH26-AF26-AD26-5062267</f>
        <v>248793945</v>
      </c>
      <c r="AM26" s="55">
        <v>303351665</v>
      </c>
      <c r="AN26" s="55">
        <v>303351665</v>
      </c>
      <c r="AO26" s="55">
        <v>0</v>
      </c>
      <c r="AP26" s="55">
        <v>207894550</v>
      </c>
      <c r="AQ26" s="55">
        <v>0</v>
      </c>
      <c r="AR26" s="55">
        <v>206559350</v>
      </c>
      <c r="AS26" s="55">
        <v>0</v>
      </c>
      <c r="AT26" s="55">
        <v>243123239</v>
      </c>
      <c r="AU26" s="55">
        <v>0</v>
      </c>
      <c r="AV26" s="55">
        <v>245622893</v>
      </c>
      <c r="AW26" s="55">
        <v>0</v>
      </c>
      <c r="AX26" s="55">
        <v>192872568</v>
      </c>
      <c r="AY26" s="55">
        <v>0</v>
      </c>
      <c r="AZ26" s="55">
        <v>365953417.93756247</v>
      </c>
      <c r="BA26" s="54">
        <f>AY26+AW26+AU26+AS26+AQ26+AO26+AM26+AK26+AI26+AG26+AE26+AC26</f>
        <v>678767030</v>
      </c>
      <c r="BB26" s="54">
        <f t="shared" si="44"/>
        <v>678767030</v>
      </c>
      <c r="BC26" s="54">
        <f t="shared" si="44"/>
        <v>2135730780.9375625</v>
      </c>
      <c r="BD26" s="54">
        <f>AE26+AG26+AI26+AK26+AM26+AO26+AQ26+AS26+AU26+AW26+AY26+AC26</f>
        <v>678767030</v>
      </c>
      <c r="BE26" s="54">
        <f>AD26+AF26+AH26+AJ26+AL26+AN26+AP26+AR26+AT26+AV26+AX26+AZ26</f>
        <v>2135730780.9375625</v>
      </c>
      <c r="BF26" s="55">
        <v>0</v>
      </c>
      <c r="BG26" s="55">
        <v>0</v>
      </c>
      <c r="BH26" s="55">
        <v>0</v>
      </c>
      <c r="BI26" s="55"/>
      <c r="BJ26" s="55">
        <v>9067333</v>
      </c>
      <c r="BK26" s="55"/>
      <c r="BL26" s="55">
        <v>212285736</v>
      </c>
      <c r="BM26" s="55"/>
      <c r="BN26" s="55">
        <v>373279828</v>
      </c>
      <c r="BO26" s="55"/>
      <c r="BP26" s="55">
        <v>298553561</v>
      </c>
      <c r="BQ26" s="55"/>
      <c r="BR26" s="55">
        <v>269039206</v>
      </c>
      <c r="BS26" s="55"/>
      <c r="BT26" s="55">
        <v>234759900</v>
      </c>
      <c r="BU26" s="55">
        <v>0</v>
      </c>
      <c r="BV26" s="55">
        <v>270020995</v>
      </c>
      <c r="BW26" s="55">
        <v>0</v>
      </c>
      <c r="BX26" s="55">
        <v>282708373</v>
      </c>
      <c r="BY26" s="55">
        <v>0</v>
      </c>
      <c r="BZ26" s="55">
        <v>346521377</v>
      </c>
      <c r="CA26" s="55">
        <v>0</v>
      </c>
      <c r="CB26" s="55">
        <v>301164041</v>
      </c>
      <c r="CC26" s="55">
        <v>0</v>
      </c>
      <c r="CD26" s="55">
        <v>447916918</v>
      </c>
      <c r="CE26" s="55">
        <f>CC26+CA26+BY26+BW26+BU26+BS26+BQ26+BO26+BM26+BK26+BI26+BG26</f>
        <v>0</v>
      </c>
      <c r="CF26" s="55">
        <f t="shared" si="45"/>
        <v>0</v>
      </c>
      <c r="CG26" s="55">
        <f t="shared" si="45"/>
        <v>3045317268</v>
      </c>
      <c r="CH26" s="54">
        <f>CC26+CA26+BY26+BW26+BU26+BS26+BQ26+BO26+BM26+BK26+BI26+BG26</f>
        <v>0</v>
      </c>
      <c r="CI26" s="54">
        <f>+BH26+BJ26+BL26+BN26+BP26+BR26+BT26+BV26+BX26+BZ26+CB26+CD26</f>
        <v>3045317268</v>
      </c>
      <c r="CJ26" s="55">
        <v>3038408000</v>
      </c>
      <c r="CK26" s="55">
        <v>-203642500</v>
      </c>
      <c r="CL26" s="55">
        <v>0</v>
      </c>
      <c r="CM26" s="55">
        <v>254552000</v>
      </c>
      <c r="CN26" s="55">
        <v>0</v>
      </c>
      <c r="CO26" s="55">
        <v>296915636</v>
      </c>
      <c r="CP26" s="55">
        <v>12747000</v>
      </c>
      <c r="CQ26" s="55">
        <v>256802000</v>
      </c>
      <c r="CR26" s="55">
        <v>121207810</v>
      </c>
      <c r="CS26" s="55">
        <v>299165636</v>
      </c>
      <c r="CT26" s="180">
        <v>232177171</v>
      </c>
      <c r="CU26" s="162">
        <v>256802000</v>
      </c>
      <c r="CV26" s="162">
        <v>185205571</v>
      </c>
      <c r="CW26" s="162">
        <f>299165636+82687500</f>
        <v>381853136</v>
      </c>
      <c r="CX26" s="162">
        <v>250397504</v>
      </c>
      <c r="CY26" s="55">
        <f>424801000+120000000</f>
        <v>544801000</v>
      </c>
      <c r="CZ26" s="162">
        <v>407342327</v>
      </c>
      <c r="DA26" s="162">
        <f>339165636+-45909000</f>
        <v>293256636</v>
      </c>
      <c r="DB26" s="162">
        <v>266542951</v>
      </c>
      <c r="DC26" s="162">
        <f>256802000+61934695</f>
        <v>318736695</v>
      </c>
      <c r="DD26" s="162">
        <v>294724379</v>
      </c>
      <c r="DE26" s="162">
        <f>114613636+11478400</f>
        <v>126092036</v>
      </c>
      <c r="DF26" s="162">
        <v>273893538</v>
      </c>
      <c r="DG26" s="162">
        <f>239622820-45730500</f>
        <v>193892320</v>
      </c>
      <c r="DH26" s="162">
        <v>451019017</v>
      </c>
      <c r="DI26" s="54">
        <f>DG26+DE26+DC26+DA26+CY26+CW26+CU26+CS26+CQ26+CO26+CM26+CK26</f>
        <v>3019226595</v>
      </c>
      <c r="DJ26" s="54">
        <f t="shared" si="46"/>
        <v>3019226595</v>
      </c>
      <c r="DK26" s="54">
        <f t="shared" si="46"/>
        <v>2495257268</v>
      </c>
      <c r="DL26" s="54">
        <f t="shared" si="47"/>
        <v>3019226595</v>
      </c>
      <c r="DM26" s="54">
        <f t="shared" si="47"/>
        <v>2495257268</v>
      </c>
      <c r="DN26" s="55">
        <f>DO26+DQ26+DS26+DU26+DW26+DY26+EA26</f>
        <v>3696433999.8099999</v>
      </c>
      <c r="DO26" s="180">
        <v>164965845</v>
      </c>
      <c r="DP26" s="180">
        <v>164965845</v>
      </c>
      <c r="DQ26" s="180">
        <v>840042432.80999994</v>
      </c>
      <c r="DR26" s="180">
        <v>-163320123</v>
      </c>
      <c r="DS26" s="180">
        <v>475482431</v>
      </c>
      <c r="DT26" s="180">
        <v>102631525</v>
      </c>
      <c r="DU26" s="180">
        <v>578636435</v>
      </c>
      <c r="DV26" s="180">
        <v>216377381</v>
      </c>
      <c r="DW26" s="162">
        <f>569185698-10000000</f>
        <v>559185698</v>
      </c>
      <c r="DX26" s="279">
        <v>230717046</v>
      </c>
      <c r="DY26" s="162">
        <v>675356879</v>
      </c>
      <c r="DZ26" s="49"/>
      <c r="EA26" s="162">
        <v>402764279</v>
      </c>
      <c r="EB26" s="281"/>
      <c r="EC26" s="281"/>
      <c r="ED26" s="281"/>
      <c r="EE26" s="281"/>
      <c r="EF26" s="281"/>
      <c r="EG26" s="281"/>
      <c r="EH26" s="281"/>
      <c r="EI26" s="281"/>
      <c r="EJ26" s="281"/>
      <c r="EK26" s="281"/>
      <c r="EL26" s="49"/>
      <c r="EM26" s="61">
        <f>EK26+EI26+EG26+EE26+EC26+EA26+DY26+DW26+DU26+DS26+DQ26+DO26</f>
        <v>3696433999.8099999</v>
      </c>
      <c r="EN26" s="686">
        <f t="shared" si="48"/>
        <v>2618312841.8099999</v>
      </c>
      <c r="EO26" s="686">
        <f t="shared" si="49"/>
        <v>551371674</v>
      </c>
      <c r="EP26" s="262">
        <f>DQ26+DS26+DU26+DW26+DY26+EA26+EC26+EE26+EG26+EI26+EK26+DO26</f>
        <v>3696433999.8099999</v>
      </c>
      <c r="EQ26" s="61">
        <f>DP26+DR26+DT26+DV26+DX26</f>
        <v>551371674</v>
      </c>
      <c r="ER26" s="134">
        <f t="shared" si="50"/>
        <v>0</v>
      </c>
      <c r="ES26" s="134">
        <f t="shared" si="5"/>
        <v>0.21058280935552573</v>
      </c>
      <c r="ET26" s="847">
        <f t="shared" si="6"/>
        <v>0.14916313236712492</v>
      </c>
      <c r="EU26" s="847" t="s">
        <v>311</v>
      </c>
      <c r="EV26" s="336" t="s">
        <v>311</v>
      </c>
      <c r="EW26" s="719"/>
      <c r="EX26" s="718"/>
      <c r="EY26" s="718" t="s">
        <v>547</v>
      </c>
      <c r="EZ26" s="712"/>
      <c r="FA26" s="716"/>
      <c r="FB26" s="427"/>
    </row>
    <row r="27" spans="1:162" s="3" customFormat="1" ht="24.95" customHeight="1" x14ac:dyDescent="0.25">
      <c r="A27" s="458"/>
      <c r="B27" s="458"/>
      <c r="C27" s="458"/>
      <c r="D27" s="458"/>
      <c r="E27" s="458"/>
      <c r="F27" s="165" t="s">
        <v>41</v>
      </c>
      <c r="G27" s="189">
        <f>+AA27+BE27+CI27+DM27+EP27</f>
        <v>0</v>
      </c>
      <c r="H27" s="54">
        <v>0</v>
      </c>
      <c r="I27" s="694"/>
      <c r="J27" s="694"/>
      <c r="K27" s="694"/>
      <c r="L27" s="694"/>
      <c r="M27" s="694"/>
      <c r="N27" s="694"/>
      <c r="O27" s="694"/>
      <c r="P27" s="694"/>
      <c r="Q27" s="694"/>
      <c r="R27" s="694"/>
      <c r="S27" s="694"/>
      <c r="T27" s="694"/>
      <c r="U27" s="694"/>
      <c r="V27" s="694"/>
      <c r="W27" s="54">
        <v>0</v>
      </c>
      <c r="X27" s="54">
        <v>0</v>
      </c>
      <c r="Y27" s="54">
        <v>0</v>
      </c>
      <c r="Z27" s="54">
        <v>0</v>
      </c>
      <c r="AA27" s="54">
        <v>0</v>
      </c>
      <c r="AB27" s="694">
        <v>0</v>
      </c>
      <c r="AC27" s="694">
        <v>0</v>
      </c>
      <c r="AD27" s="694">
        <v>0</v>
      </c>
      <c r="AE27" s="694">
        <v>0</v>
      </c>
      <c r="AF27" s="694">
        <v>0</v>
      </c>
      <c r="AG27" s="694">
        <v>0</v>
      </c>
      <c r="AH27" s="694">
        <v>0</v>
      </c>
      <c r="AI27" s="694">
        <v>0</v>
      </c>
      <c r="AJ27" s="694">
        <v>0</v>
      </c>
      <c r="AK27" s="694">
        <v>0</v>
      </c>
      <c r="AL27" s="694">
        <v>0</v>
      </c>
      <c r="AM27" s="694">
        <v>0</v>
      </c>
      <c r="AN27" s="694">
        <v>0</v>
      </c>
      <c r="AO27" s="694">
        <v>0</v>
      </c>
      <c r="AP27" s="694">
        <v>0</v>
      </c>
      <c r="AQ27" s="694">
        <v>0</v>
      </c>
      <c r="AR27" s="694">
        <v>0</v>
      </c>
      <c r="AS27" s="694">
        <v>0</v>
      </c>
      <c r="AT27" s="694">
        <v>0</v>
      </c>
      <c r="AU27" s="694">
        <v>0</v>
      </c>
      <c r="AV27" s="694">
        <v>0</v>
      </c>
      <c r="AW27" s="694">
        <v>0</v>
      </c>
      <c r="AX27" s="694">
        <v>0</v>
      </c>
      <c r="AY27" s="694">
        <v>0</v>
      </c>
      <c r="AZ27" s="694">
        <v>0</v>
      </c>
      <c r="BA27" s="63">
        <f>AY27+AW27+AU27+AS27+AQ27+AO27+AM27+AK27+AI27+AG27+AE27+AC27</f>
        <v>0</v>
      </c>
      <c r="BB27" s="63">
        <f t="shared" si="44"/>
        <v>0</v>
      </c>
      <c r="BC27" s="63">
        <f t="shared" si="44"/>
        <v>0</v>
      </c>
      <c r="BD27" s="63">
        <f>AE27+AG27+AI27+AK27+AM27+AO27+AQ27+AS27+AU27+AW27+AY27+AC27</f>
        <v>0</v>
      </c>
      <c r="BE27" s="63">
        <f>AD27+AF27+AH27+AJ27+AL27+AN27+AP27+AR27+AT27+AV27+AX27+AZ27</f>
        <v>0</v>
      </c>
      <c r="BF27" s="694">
        <v>0</v>
      </c>
      <c r="BG27" s="694">
        <v>0</v>
      </c>
      <c r="BH27" s="694">
        <v>0</v>
      </c>
      <c r="BI27" s="694">
        <v>0</v>
      </c>
      <c r="BJ27" s="694">
        <v>0</v>
      </c>
      <c r="BK27" s="694">
        <v>0</v>
      </c>
      <c r="BL27" s="694">
        <v>0</v>
      </c>
      <c r="BM27" s="694">
        <v>0</v>
      </c>
      <c r="BN27" s="694">
        <v>0</v>
      </c>
      <c r="BO27" s="694">
        <v>0</v>
      </c>
      <c r="BP27" s="694">
        <v>0</v>
      </c>
      <c r="BQ27" s="694">
        <v>0</v>
      </c>
      <c r="BR27" s="694">
        <v>0</v>
      </c>
      <c r="BS27" s="694">
        <v>0</v>
      </c>
      <c r="BT27" s="694">
        <v>0</v>
      </c>
      <c r="BU27" s="694">
        <v>0</v>
      </c>
      <c r="BV27" s="694">
        <v>0</v>
      </c>
      <c r="BW27" s="694">
        <v>0</v>
      </c>
      <c r="BX27" s="694">
        <v>0</v>
      </c>
      <c r="BY27" s="694">
        <v>0</v>
      </c>
      <c r="BZ27" s="694">
        <v>0</v>
      </c>
      <c r="CA27" s="694">
        <v>0</v>
      </c>
      <c r="CB27" s="694">
        <v>0</v>
      </c>
      <c r="CC27" s="694">
        <v>0</v>
      </c>
      <c r="CD27" s="694">
        <v>0</v>
      </c>
      <c r="CE27" s="779">
        <f>CC27+CA27+BY27+BW27+BU27+BS27+BQ27+BO27+BM27+BK27+BI27+BG27</f>
        <v>0</v>
      </c>
      <c r="CF27" s="802">
        <f t="shared" si="45"/>
        <v>0</v>
      </c>
      <c r="CG27" s="115">
        <f t="shared" si="45"/>
        <v>0</v>
      </c>
      <c r="CH27" s="114">
        <f>CC27+CA27+BY27+BW27+BU27+BS27+BQ27+BO27+BM27+BK27+BI27+BG27</f>
        <v>0</v>
      </c>
      <c r="CI27" s="115">
        <f>+BH27+BJ27+BL27+BN27+BP27+BR27+BT27+BV27+BX27+BZ27+CB27+CD27</f>
        <v>0</v>
      </c>
      <c r="CJ27" s="694">
        <v>0</v>
      </c>
      <c r="CK27" s="694">
        <v>0</v>
      </c>
      <c r="CL27" s="694">
        <v>0</v>
      </c>
      <c r="CM27" s="694">
        <v>0</v>
      </c>
      <c r="CN27" s="694">
        <v>0</v>
      </c>
      <c r="CO27" s="694">
        <v>0</v>
      </c>
      <c r="CP27" s="694">
        <v>0</v>
      </c>
      <c r="CQ27" s="694">
        <v>0</v>
      </c>
      <c r="CR27" s="694">
        <v>0</v>
      </c>
      <c r="CS27" s="694">
        <v>0</v>
      </c>
      <c r="CT27" s="694">
        <v>0</v>
      </c>
      <c r="CU27" s="694">
        <v>0</v>
      </c>
      <c r="CV27" s="777">
        <v>0</v>
      </c>
      <c r="CW27" s="694">
        <v>0</v>
      </c>
      <c r="CX27" s="777">
        <v>0</v>
      </c>
      <c r="CY27" s="694">
        <v>0</v>
      </c>
      <c r="CZ27" s="777">
        <v>0</v>
      </c>
      <c r="DA27" s="694">
        <v>0</v>
      </c>
      <c r="DB27" s="777">
        <v>0</v>
      </c>
      <c r="DC27" s="694">
        <v>0</v>
      </c>
      <c r="DD27" s="777">
        <v>0</v>
      </c>
      <c r="DE27" s="694">
        <v>0</v>
      </c>
      <c r="DF27" s="777">
        <v>0</v>
      </c>
      <c r="DG27" s="694">
        <v>0</v>
      </c>
      <c r="DH27" s="777">
        <v>0</v>
      </c>
      <c r="DI27" s="778">
        <f>DG27+DE27+DC27+CW27+CY27+CU27+CS27+CQ27+CO27+CM27+CK27</f>
        <v>0</v>
      </c>
      <c r="DJ27" s="689">
        <f t="shared" si="46"/>
        <v>0</v>
      </c>
      <c r="DK27" s="54">
        <f t="shared" si="46"/>
        <v>0</v>
      </c>
      <c r="DL27" s="197">
        <f>CK27+CM27+CO27+CQ27+CS27+CU27+CW27+CY27+DA27+DC27+DE27+DG27</f>
        <v>0</v>
      </c>
      <c r="DM27" s="197">
        <f>CN27+CP27+CR27+CT27+CV27+CX27+CZ27+DB27+DD27+DF27+DH27+CL27</f>
        <v>0</v>
      </c>
      <c r="DN27" s="694">
        <v>0</v>
      </c>
      <c r="DO27" s="691">
        <v>0</v>
      </c>
      <c r="DP27" s="691">
        <v>0</v>
      </c>
      <c r="DQ27" s="691">
        <v>0</v>
      </c>
      <c r="DR27" s="691">
        <v>0</v>
      </c>
      <c r="DS27" s="691">
        <v>0</v>
      </c>
      <c r="DT27" s="691">
        <v>0</v>
      </c>
      <c r="DU27" s="691">
        <v>0</v>
      </c>
      <c r="DV27" s="691">
        <v>0</v>
      </c>
      <c r="DW27" s="690">
        <v>0</v>
      </c>
      <c r="DX27" s="690">
        <v>0</v>
      </c>
      <c r="DY27" s="690">
        <v>0</v>
      </c>
      <c r="DZ27" s="800"/>
      <c r="EA27" s="690"/>
      <c r="EB27" s="788"/>
      <c r="EC27" s="788"/>
      <c r="ED27" s="788"/>
      <c r="EE27" s="788"/>
      <c r="EF27" s="788"/>
      <c r="EG27" s="788"/>
      <c r="EH27" s="788"/>
      <c r="EI27" s="788"/>
      <c r="EJ27" s="788"/>
      <c r="EK27" s="788"/>
      <c r="EL27" s="800"/>
      <c r="EM27" s="694">
        <f>EI27+EG27+EE27+EC27+EA27+DY27+DW27+DU27+DS27+DQ27+DO27+EK27</f>
        <v>0</v>
      </c>
      <c r="EN27" s="271">
        <f>DO27+DQ27+DS27+DU27+DW27</f>
        <v>0</v>
      </c>
      <c r="EO27" s="147">
        <f t="shared" si="49"/>
        <v>0</v>
      </c>
      <c r="EP27" s="684">
        <f>DQ27+DS27+DU27+DW27+DY27+EA27+EC27+EE27+EG27+EI27+EK27</f>
        <v>0</v>
      </c>
      <c r="EQ27" s="694">
        <f t="shared" ref="EQ27" si="51">DR27+DT27+DV27+DX27</f>
        <v>0</v>
      </c>
      <c r="ER27" s="134">
        <f t="shared" si="50"/>
        <v>0</v>
      </c>
      <c r="ES27" s="134">
        <f t="shared" si="5"/>
        <v>0</v>
      </c>
      <c r="ET27" s="847">
        <f t="shared" si="6"/>
        <v>0</v>
      </c>
      <c r="EU27" s="847">
        <f t="shared" si="24"/>
        <v>0</v>
      </c>
      <c r="EV27" s="337">
        <f>IFERROR(+(AA27+BE27+CI27+DM27+EQ27)/G27,0)</f>
        <v>0</v>
      </c>
      <c r="EW27" s="719"/>
      <c r="EX27" s="718"/>
      <c r="EY27" s="718" t="s">
        <v>547</v>
      </c>
      <c r="EZ27" s="712"/>
      <c r="FA27" s="716"/>
      <c r="FB27" s="427"/>
    </row>
    <row r="28" spans="1:162" s="3" customFormat="1" ht="24.95" customHeight="1" x14ac:dyDescent="0.25">
      <c r="A28" s="458"/>
      <c r="B28" s="458"/>
      <c r="C28" s="458"/>
      <c r="D28" s="458"/>
      <c r="E28" s="458"/>
      <c r="F28" s="166" t="s">
        <v>4</v>
      </c>
      <c r="G28" s="55">
        <f>+AA28+BE28+CI28+DM28+EP28</f>
        <v>2278303148</v>
      </c>
      <c r="H28" s="694">
        <v>0</v>
      </c>
      <c r="I28" s="55">
        <v>0</v>
      </c>
      <c r="J28" s="55">
        <v>0</v>
      </c>
      <c r="K28" s="55">
        <v>0</v>
      </c>
      <c r="L28" s="55">
        <v>0</v>
      </c>
      <c r="M28" s="55">
        <v>0</v>
      </c>
      <c r="N28" s="55">
        <v>0</v>
      </c>
      <c r="O28" s="55">
        <v>0</v>
      </c>
      <c r="P28" s="55">
        <v>0</v>
      </c>
      <c r="Q28" s="55">
        <v>0</v>
      </c>
      <c r="R28" s="55">
        <v>0</v>
      </c>
      <c r="S28" s="55">
        <v>0</v>
      </c>
      <c r="T28" s="54">
        <v>0</v>
      </c>
      <c r="U28" s="62">
        <v>0</v>
      </c>
      <c r="V28" s="62">
        <v>0</v>
      </c>
      <c r="W28" s="694">
        <v>0</v>
      </c>
      <c r="X28" s="694">
        <v>0</v>
      </c>
      <c r="Y28" s="694">
        <v>0</v>
      </c>
      <c r="Z28" s="62">
        <v>0</v>
      </c>
      <c r="AA28" s="62">
        <v>0</v>
      </c>
      <c r="AB28" s="62">
        <v>592742679</v>
      </c>
      <c r="AC28" s="55">
        <v>91072667</v>
      </c>
      <c r="AD28" s="55">
        <v>91072667</v>
      </c>
      <c r="AE28" s="55">
        <f>205477567-AC28</f>
        <v>114404900</v>
      </c>
      <c r="AF28" s="55">
        <f>205477567-AD28</f>
        <v>114404900</v>
      </c>
      <c r="AG28" s="55">
        <v>43650195</v>
      </c>
      <c r="AH28" s="55">
        <f>249127762-AF28-AD28</f>
        <v>43650195</v>
      </c>
      <c r="AI28" s="55">
        <v>52211433</v>
      </c>
      <c r="AJ28" s="55">
        <f>301339195-AH28-AF28-AD28</f>
        <v>52211433</v>
      </c>
      <c r="AK28" s="55">
        <v>38507889</v>
      </c>
      <c r="AL28" s="55">
        <f>339847084-AJ28-AH28-AF28-AD28</f>
        <v>38507889</v>
      </c>
      <c r="AM28" s="55">
        <v>92916500</v>
      </c>
      <c r="AN28" s="55">
        <v>91626500</v>
      </c>
      <c r="AO28" s="55">
        <v>63971107</v>
      </c>
      <c r="AP28" s="55">
        <v>0</v>
      </c>
      <c r="AQ28" s="55">
        <v>16343157</v>
      </c>
      <c r="AR28" s="55">
        <v>100496560</v>
      </c>
      <c r="AS28" s="55">
        <f>23000000+56664831</f>
        <v>79664831</v>
      </c>
      <c r="AT28" s="55">
        <v>809200</v>
      </c>
      <c r="AU28" s="55">
        <v>0</v>
      </c>
      <c r="AV28" s="55">
        <v>12817727</v>
      </c>
      <c r="AW28" s="55">
        <v>-1342800</v>
      </c>
      <c r="AX28" s="55">
        <v>29874112</v>
      </c>
      <c r="AY28" s="55">
        <v>0</v>
      </c>
      <c r="AZ28" s="55">
        <v>9604961</v>
      </c>
      <c r="BA28" s="54">
        <f>AY28+AW28+AU28+AS28+AQ28+AO28+AM28+AK28+AI28+AG28+AE28+AC28</f>
        <v>591399879</v>
      </c>
      <c r="BB28" s="54">
        <f t="shared" si="44"/>
        <v>591399879</v>
      </c>
      <c r="BC28" s="54">
        <f t="shared" si="44"/>
        <v>585076144</v>
      </c>
      <c r="BD28" s="54">
        <f>AE28+AG28+AI28+AK28+AM28+AO28+AQ28+AS28+AU28+AW28+AY28+AC28</f>
        <v>591399879</v>
      </c>
      <c r="BE28" s="54">
        <f>AD28+AF28+AH28+AJ28+AL28+AN28+AP28+AR28+AT28+AV28+AX28+AZ28</f>
        <v>585076144</v>
      </c>
      <c r="BF28" s="55">
        <v>459991982</v>
      </c>
      <c r="BG28" s="55">
        <v>34305183</v>
      </c>
      <c r="BH28" s="55">
        <v>0</v>
      </c>
      <c r="BI28" s="55">
        <f>101870690- 1122133</f>
        <v>100748557</v>
      </c>
      <c r="BJ28" s="55">
        <v>71062834</v>
      </c>
      <c r="BK28" s="55">
        <v>62175676</v>
      </c>
      <c r="BL28" s="55">
        <v>0</v>
      </c>
      <c r="BM28" s="55">
        <v>99000000</v>
      </c>
      <c r="BN28" s="55">
        <v>0</v>
      </c>
      <c r="BO28" s="55">
        <v>22023119</v>
      </c>
      <c r="BP28" s="55">
        <v>0</v>
      </c>
      <c r="BQ28" s="55">
        <v>102726512</v>
      </c>
      <c r="BR28" s="55">
        <v>0</v>
      </c>
      <c r="BS28" s="55">
        <f>35867683+1122133</f>
        <v>36989816</v>
      </c>
      <c r="BT28" s="55">
        <v>387807015</v>
      </c>
      <c r="BU28" s="55">
        <v>2023119</v>
      </c>
      <c r="BV28" s="55">
        <v>0</v>
      </c>
      <c r="BW28" s="55">
        <v>-1122133</v>
      </c>
      <c r="BX28" s="55">
        <v>-133055649</v>
      </c>
      <c r="BY28" s="55">
        <v>0</v>
      </c>
      <c r="BZ28" s="55">
        <v>8863870</v>
      </c>
      <c r="CA28" s="55">
        <v>1122133</v>
      </c>
      <c r="CB28" s="55">
        <v>107147411</v>
      </c>
      <c r="CC28" s="55">
        <v>-1122133</v>
      </c>
      <c r="CD28" s="55">
        <v>0</v>
      </c>
      <c r="CE28" s="55">
        <f>CC28+CA28+BY28+BW28+BU28+BS28+BQ28+BO28+BM28+BK28+BI28+BG28</f>
        <v>458869849</v>
      </c>
      <c r="CF28" s="55">
        <f t="shared" si="45"/>
        <v>458869849</v>
      </c>
      <c r="CG28" s="55">
        <f t="shared" si="45"/>
        <v>441825481</v>
      </c>
      <c r="CH28" s="54">
        <f>CC28+CA28+BY28+BW28+BU28+BS28+BQ28+BO28+BM28+BK28+BI28+BG28</f>
        <v>458869849</v>
      </c>
      <c r="CI28" s="54">
        <f>+BH28+BJ28+BL28+BN28+BP28+BR28+BT28+BV28+BX28+BZ28+CB28+CD28</f>
        <v>441825481</v>
      </c>
      <c r="CJ28" s="55">
        <v>765862520</v>
      </c>
      <c r="CK28" s="55">
        <v>142685650</v>
      </c>
      <c r="CL28" s="55">
        <v>90129133</v>
      </c>
      <c r="CM28" s="55">
        <v>189290057</v>
      </c>
      <c r="CN28" s="55">
        <v>180806615</v>
      </c>
      <c r="CO28" s="55">
        <v>102258997</v>
      </c>
      <c r="CP28" s="55">
        <v>104859166</v>
      </c>
      <c r="CQ28" s="55">
        <v>264698236</v>
      </c>
      <c r="CR28" s="55">
        <v>19374600</v>
      </c>
      <c r="CS28" s="162">
        <f>26829580-169266</f>
        <v>26660314</v>
      </c>
      <c r="CT28" s="180">
        <v>47098931</v>
      </c>
      <c r="CU28" s="162">
        <v>0</v>
      </c>
      <c r="CV28" s="162">
        <v>26910239</v>
      </c>
      <c r="CW28" s="162">
        <v>0</v>
      </c>
      <c r="CX28" s="162">
        <v>29481779</v>
      </c>
      <c r="CY28" s="162">
        <v>0</v>
      </c>
      <c r="CZ28" s="162">
        <v>142072204</v>
      </c>
      <c r="DA28" s="162">
        <v>9266666.666666666</v>
      </c>
      <c r="DB28" s="162">
        <v>38556000</v>
      </c>
      <c r="DC28" s="162">
        <f>9266667+12300000-12300000</f>
        <v>9266667</v>
      </c>
      <c r="DD28" s="162">
        <f>11619043-11619043</f>
        <v>0</v>
      </c>
      <c r="DE28" s="162">
        <v>9266666.666666666</v>
      </c>
      <c r="DF28" s="162">
        <v>3039400</v>
      </c>
      <c r="DG28" s="162">
        <f>12300000-30393933</f>
        <v>-18093933</v>
      </c>
      <c r="DH28" s="162">
        <v>50826736</v>
      </c>
      <c r="DI28" s="163">
        <f>DG28+DE28+DC28+DA28+CY28+CW28+CU28+CM28+CS28+CO28+CQ28+CK28</f>
        <v>735299321.33333337</v>
      </c>
      <c r="DJ28" s="54">
        <f t="shared" si="46"/>
        <v>735299321.33333325</v>
      </c>
      <c r="DK28" s="54">
        <f t="shared" si="46"/>
        <v>733154803</v>
      </c>
      <c r="DL28" s="54">
        <f>CM28+CO28+CQ28+CS28+CU28+CW28+CY28+DA28+DC28+DE28+DG28+CK28</f>
        <v>735299321.33333325</v>
      </c>
      <c r="DM28" s="54">
        <f>DK28</f>
        <v>733154803</v>
      </c>
      <c r="DN28" s="55">
        <f>DO28+DQ28+DS28+DU28+DW28+DY28+EA28</f>
        <v>518246720</v>
      </c>
      <c r="DO28" s="180">
        <v>71315533</v>
      </c>
      <c r="DP28" s="180">
        <v>71315533</v>
      </c>
      <c r="DQ28" s="180">
        <v>146463466</v>
      </c>
      <c r="DR28" s="180">
        <v>167077877</v>
      </c>
      <c r="DS28" s="362">
        <v>48495233</v>
      </c>
      <c r="DT28" s="180">
        <v>22029300</v>
      </c>
      <c r="DU28" s="362">
        <v>58692393</v>
      </c>
      <c r="DV28" s="180">
        <v>41144361</v>
      </c>
      <c r="DW28" s="265">
        <v>0</v>
      </c>
      <c r="DX28" s="265">
        <v>78804921</v>
      </c>
      <c r="DY28" s="265">
        <v>0</v>
      </c>
      <c r="DZ28" s="48"/>
      <c r="EA28" s="265">
        <v>193280095</v>
      </c>
      <c r="EB28" s="282"/>
      <c r="EC28" s="282"/>
      <c r="ED28" s="282"/>
      <c r="EE28" s="282"/>
      <c r="EF28" s="282"/>
      <c r="EG28" s="282"/>
      <c r="EH28" s="282"/>
      <c r="EI28" s="282"/>
      <c r="EJ28" s="282"/>
      <c r="EK28" s="282"/>
      <c r="EL28" s="48"/>
      <c r="EM28" s="61">
        <f>EK28+EI28+EG28+EE28+EC28+EA28+DY28+DW28+DU28+DS28+DQ28+DO28</f>
        <v>518246720</v>
      </c>
      <c r="EN28" s="367">
        <f t="shared" ref="EN28:EN29" si="52">DO28+DQ28+DS28+DU28+DW28</f>
        <v>324966625</v>
      </c>
      <c r="EO28" s="370">
        <f t="shared" si="49"/>
        <v>380371992</v>
      </c>
      <c r="EP28" s="54">
        <f>DQ28+DS28+DU28+DW28+DY28+EA28+EC28+EE28+EG28+EI28+EK28+DO28</f>
        <v>518246720</v>
      </c>
      <c r="EQ28" s="61">
        <f>DP28+DR28+DT28+DV28+DX28</f>
        <v>380371992</v>
      </c>
      <c r="ER28" s="134">
        <f t="shared" si="50"/>
        <v>0</v>
      </c>
      <c r="ES28" s="134">
        <f t="shared" si="5"/>
        <v>1.1704955608902914</v>
      </c>
      <c r="ET28" s="847">
        <f t="shared" si="6"/>
        <v>0.73395928487497231</v>
      </c>
      <c r="EU28" s="847">
        <f>IFERROR((AA28+BE28+CI28+DM28+EO28)/(Z28+BD28+CH28+DL28+EN28),0)</f>
        <v>1.0141635822744901</v>
      </c>
      <c r="EV28" s="337">
        <f t="shared" si="7"/>
        <v>0.93948358974044666</v>
      </c>
      <c r="EW28" s="719"/>
      <c r="EX28" s="718"/>
      <c r="EY28" s="718" t="s">
        <v>547</v>
      </c>
      <c r="EZ28" s="712"/>
      <c r="FA28" s="716"/>
      <c r="FB28" s="427"/>
    </row>
    <row r="29" spans="1:162" s="3" customFormat="1" ht="24.95" customHeight="1" thickBot="1" x14ac:dyDescent="0.3">
      <c r="A29" s="458"/>
      <c r="B29" s="458"/>
      <c r="C29" s="458"/>
      <c r="D29" s="458"/>
      <c r="E29" s="458"/>
      <c r="F29" s="165" t="s">
        <v>42</v>
      </c>
      <c r="G29" s="835">
        <f>+G24+G27</f>
        <v>8</v>
      </c>
      <c r="H29" s="143">
        <f>+H24+H27</f>
        <v>1</v>
      </c>
      <c r="I29" s="787"/>
      <c r="J29" s="787"/>
      <c r="K29" s="787"/>
      <c r="L29" s="787"/>
      <c r="M29" s="787"/>
      <c r="N29" s="787"/>
      <c r="O29" s="787"/>
      <c r="P29" s="787"/>
      <c r="Q29" s="787"/>
      <c r="R29" s="787"/>
      <c r="S29" s="787"/>
      <c r="T29" s="787"/>
      <c r="U29" s="787"/>
      <c r="V29" s="787"/>
      <c r="W29" s="143">
        <f t="shared" ref="W29:AK29" si="53">+W24+W27</f>
        <v>1</v>
      </c>
      <c r="X29" s="143">
        <f t="shared" si="53"/>
        <v>1</v>
      </c>
      <c r="Y29" s="143">
        <f t="shared" si="53"/>
        <v>1</v>
      </c>
      <c r="Z29" s="143">
        <f t="shared" si="53"/>
        <v>1</v>
      </c>
      <c r="AA29" s="143">
        <f t="shared" si="53"/>
        <v>1</v>
      </c>
      <c r="AB29" s="143">
        <f t="shared" si="53"/>
        <v>2</v>
      </c>
      <c r="AC29" s="143">
        <f t="shared" si="53"/>
        <v>0.17</v>
      </c>
      <c r="AD29" s="143">
        <f t="shared" si="53"/>
        <v>0.15</v>
      </c>
      <c r="AE29" s="143">
        <f t="shared" si="53"/>
        <v>0.17</v>
      </c>
      <c r="AF29" s="143">
        <f t="shared" si="53"/>
        <v>0.11</v>
      </c>
      <c r="AG29" s="143">
        <f t="shared" si="53"/>
        <v>0.17</v>
      </c>
      <c r="AH29" s="143">
        <f t="shared" si="53"/>
        <v>0.1</v>
      </c>
      <c r="AI29" s="143">
        <f t="shared" si="53"/>
        <v>0.17</v>
      </c>
      <c r="AJ29" s="143">
        <f t="shared" si="53"/>
        <v>0.15</v>
      </c>
      <c r="AK29" s="143">
        <f t="shared" si="53"/>
        <v>0.14000000000000001</v>
      </c>
      <c r="AL29" s="143">
        <f t="shared" ref="AL29:AZ29" si="54">+AL24+AL27</f>
        <v>0.14000000000000001</v>
      </c>
      <c r="AM29" s="143">
        <f t="shared" si="54"/>
        <v>0.17</v>
      </c>
      <c r="AN29" s="143">
        <f t="shared" si="54"/>
        <v>0.35</v>
      </c>
      <c r="AO29" s="143">
        <f t="shared" si="54"/>
        <v>0.17</v>
      </c>
      <c r="AP29" s="143">
        <f t="shared" si="54"/>
        <v>0.26</v>
      </c>
      <c r="AQ29" s="143">
        <f t="shared" si="54"/>
        <v>0.17</v>
      </c>
      <c r="AR29" s="143">
        <f t="shared" si="54"/>
        <v>0.13</v>
      </c>
      <c r="AS29" s="143">
        <f t="shared" si="54"/>
        <v>0.17</v>
      </c>
      <c r="AT29" s="143">
        <f t="shared" si="54"/>
        <v>0.17</v>
      </c>
      <c r="AU29" s="143">
        <f t="shared" si="54"/>
        <v>0.17</v>
      </c>
      <c r="AV29" s="143">
        <f t="shared" si="54"/>
        <v>0.21</v>
      </c>
      <c r="AW29" s="143">
        <f t="shared" si="54"/>
        <v>0.17</v>
      </c>
      <c r="AX29" s="143">
        <f t="shared" si="54"/>
        <v>0.17</v>
      </c>
      <c r="AY29" s="143">
        <f t="shared" si="54"/>
        <v>0.16</v>
      </c>
      <c r="AZ29" s="143">
        <f t="shared" si="54"/>
        <v>0.06</v>
      </c>
      <c r="BA29" s="143">
        <f t="shared" ref="BA29:BE30" si="55">+BA24+BA27</f>
        <v>1.9999999999999996</v>
      </c>
      <c r="BB29" s="787">
        <f t="shared" si="55"/>
        <v>1.9999999999999998</v>
      </c>
      <c r="BC29" s="787">
        <f t="shared" si="55"/>
        <v>2</v>
      </c>
      <c r="BD29" s="787">
        <f t="shared" si="55"/>
        <v>1.9999999999999998</v>
      </c>
      <c r="BE29" s="787">
        <f t="shared" si="55"/>
        <v>2</v>
      </c>
      <c r="BF29" s="787">
        <f t="shared" ref="BF29:BI30" si="56">+BF24+BF27</f>
        <v>2</v>
      </c>
      <c r="BG29" s="787">
        <f t="shared" si="56"/>
        <v>0.17</v>
      </c>
      <c r="BH29" s="787">
        <f t="shared" si="56"/>
        <v>0</v>
      </c>
      <c r="BI29" s="787">
        <f t="shared" si="56"/>
        <v>0.17</v>
      </c>
      <c r="BJ29" s="787">
        <f>+BJ24+BJ27</f>
        <v>0.33</v>
      </c>
      <c r="BK29" s="787">
        <f t="shared" ref="BK29:CI29" si="57">+BK24+BK27</f>
        <v>0.17</v>
      </c>
      <c r="BL29" s="787">
        <f t="shared" si="57"/>
        <v>0.17</v>
      </c>
      <c r="BM29" s="787">
        <f t="shared" si="57"/>
        <v>0.17</v>
      </c>
      <c r="BN29" s="787">
        <f t="shared" si="57"/>
        <v>0.17</v>
      </c>
      <c r="BO29" s="787">
        <f t="shared" si="57"/>
        <v>0.14000000000000001</v>
      </c>
      <c r="BP29" s="787">
        <f t="shared" si="57"/>
        <v>0.14000000000000001</v>
      </c>
      <c r="BQ29" s="787">
        <f t="shared" si="57"/>
        <v>0.18</v>
      </c>
      <c r="BR29" s="787">
        <f t="shared" si="57"/>
        <v>0.17</v>
      </c>
      <c r="BS29" s="787">
        <f t="shared" si="57"/>
        <v>0.17</v>
      </c>
      <c r="BT29" s="787">
        <f t="shared" si="57"/>
        <v>0.19</v>
      </c>
      <c r="BU29" s="787">
        <f t="shared" si="57"/>
        <v>0.17</v>
      </c>
      <c r="BV29" s="787">
        <f t="shared" si="57"/>
        <v>0.17</v>
      </c>
      <c r="BW29" s="787">
        <f t="shared" si="57"/>
        <v>0.17</v>
      </c>
      <c r="BX29" s="787">
        <f t="shared" si="57"/>
        <v>0.17</v>
      </c>
      <c r="BY29" s="787">
        <f t="shared" si="57"/>
        <v>0.17</v>
      </c>
      <c r="BZ29" s="787">
        <f t="shared" si="57"/>
        <v>0.17</v>
      </c>
      <c r="CA29" s="787">
        <f t="shared" si="57"/>
        <v>0.17</v>
      </c>
      <c r="CB29" s="787">
        <f t="shared" si="57"/>
        <v>0.17</v>
      </c>
      <c r="CC29" s="787">
        <f>+CC24+CC27</f>
        <v>0.15</v>
      </c>
      <c r="CD29" s="787">
        <f t="shared" si="57"/>
        <v>0.15</v>
      </c>
      <c r="CE29" s="787">
        <f t="shared" si="57"/>
        <v>1.9999999999999996</v>
      </c>
      <c r="CF29" s="787">
        <f t="shared" si="57"/>
        <v>1.9999999999999996</v>
      </c>
      <c r="CG29" s="787">
        <f t="shared" si="57"/>
        <v>1.9999999999999998</v>
      </c>
      <c r="CH29" s="787">
        <f t="shared" si="57"/>
        <v>1.9999999999999996</v>
      </c>
      <c r="CI29" s="787">
        <f t="shared" si="57"/>
        <v>1.9999999999999998</v>
      </c>
      <c r="CJ29" s="825">
        <f>+CJ24+CJ27</f>
        <v>2</v>
      </c>
      <c r="CK29" s="826">
        <f>+CK24+CK27</f>
        <v>0.17</v>
      </c>
      <c r="CL29" s="826">
        <f t="shared" ref="CK29:DH30" si="58">+CL24+CL27</f>
        <v>0.17</v>
      </c>
      <c r="CM29" s="826">
        <f>+CM24+CM27</f>
        <v>0.17</v>
      </c>
      <c r="CN29" s="826">
        <f>+CN24+CN27</f>
        <v>0.17</v>
      </c>
      <c r="CO29" s="826">
        <f t="shared" si="58"/>
        <v>0.17</v>
      </c>
      <c r="CP29" s="826">
        <f>+CP24+CP27</f>
        <v>0.17</v>
      </c>
      <c r="CQ29" s="826">
        <f t="shared" si="58"/>
        <v>0.17</v>
      </c>
      <c r="CR29" s="826">
        <f t="shared" si="58"/>
        <v>0.17</v>
      </c>
      <c r="CS29" s="826">
        <f>+CS24+CS27</f>
        <v>0.14000000000000001</v>
      </c>
      <c r="CT29" s="839">
        <f>CT24+CT27</f>
        <v>0.14000000000000001</v>
      </c>
      <c r="CU29" s="826">
        <f>+CU24+CU27</f>
        <v>0.17</v>
      </c>
      <c r="CV29" s="826">
        <f>+CV24+CV27</f>
        <v>0.17</v>
      </c>
      <c r="CW29" s="825">
        <f t="shared" si="58"/>
        <v>0.17</v>
      </c>
      <c r="CX29" s="849">
        <f t="shared" si="58"/>
        <v>0.17</v>
      </c>
      <c r="CY29" s="826">
        <f t="shared" si="58"/>
        <v>0.17</v>
      </c>
      <c r="CZ29" s="826">
        <f>+CZ24+CZ27</f>
        <v>0.17</v>
      </c>
      <c r="DA29" s="826">
        <f t="shared" si="58"/>
        <v>0.17</v>
      </c>
      <c r="DB29" s="849">
        <f t="shared" si="58"/>
        <v>0.17</v>
      </c>
      <c r="DC29" s="826">
        <f t="shared" si="58"/>
        <v>0.17</v>
      </c>
      <c r="DD29" s="844"/>
      <c r="DE29" s="826">
        <f t="shared" si="58"/>
        <v>0.17</v>
      </c>
      <c r="DF29" s="849">
        <f>+DF24+DF27</f>
        <v>0.17</v>
      </c>
      <c r="DG29" s="826">
        <f t="shared" si="58"/>
        <v>0.16</v>
      </c>
      <c r="DH29" s="848">
        <f t="shared" si="58"/>
        <v>0.16</v>
      </c>
      <c r="DI29" s="787">
        <f>DI24+DI27</f>
        <v>1.9999999999999996</v>
      </c>
      <c r="DJ29" s="683">
        <f>+DJ24+DJ27</f>
        <v>1.9999999999999998</v>
      </c>
      <c r="DK29" s="683">
        <f>+DK24+DK27</f>
        <v>1.9999999999999998</v>
      </c>
      <c r="DL29" s="787">
        <f>DL24+DL27</f>
        <v>1.9999999999999998</v>
      </c>
      <c r="DM29" s="787">
        <f>DM24+DM27</f>
        <v>1.9999999999999998</v>
      </c>
      <c r="DN29" s="787">
        <f t="shared" ref="DN29:DQ30" si="59">+DN24+DN27</f>
        <v>1</v>
      </c>
      <c r="DO29" s="787">
        <f t="shared" si="59"/>
        <v>0.17</v>
      </c>
      <c r="DP29" s="782">
        <f t="shared" si="59"/>
        <v>0.17</v>
      </c>
      <c r="DQ29" s="787">
        <f t="shared" si="59"/>
        <v>0.17</v>
      </c>
      <c r="DR29" s="787">
        <f t="shared" ref="DR29:DW29" si="60">+DR24+DR27</f>
        <v>0.17</v>
      </c>
      <c r="DS29" s="787">
        <f t="shared" si="60"/>
        <v>0.17</v>
      </c>
      <c r="DT29" s="787">
        <f t="shared" si="60"/>
        <v>0.17</v>
      </c>
      <c r="DU29" s="787">
        <f t="shared" si="60"/>
        <v>0.17</v>
      </c>
      <c r="DV29" s="787">
        <f t="shared" si="60"/>
        <v>0.17</v>
      </c>
      <c r="DW29" s="789">
        <f t="shared" si="60"/>
        <v>0.15</v>
      </c>
      <c r="DX29" s="789">
        <f t="shared" ref="DX29" si="61">+DX24+DX27</f>
        <v>0.15</v>
      </c>
      <c r="DY29" s="789">
        <f>+DY24+DY27</f>
        <v>0.17</v>
      </c>
      <c r="DZ29" s="827"/>
      <c r="EA29" s="789"/>
      <c r="EB29" s="867"/>
      <c r="EC29" s="867"/>
      <c r="ED29" s="867"/>
      <c r="EE29" s="867"/>
      <c r="EF29" s="867"/>
      <c r="EG29" s="867"/>
      <c r="EH29" s="867"/>
      <c r="EI29" s="867"/>
      <c r="EJ29" s="867"/>
      <c r="EK29" s="867"/>
      <c r="EL29" s="827"/>
      <c r="EM29" s="787">
        <f>EI29+EG29+EE29+EC29+EA29+DY29+DW29+DU29+DS29+DQ29+DO29+EK29</f>
        <v>1</v>
      </c>
      <c r="EN29" s="271">
        <f t="shared" si="52"/>
        <v>0.83000000000000007</v>
      </c>
      <c r="EO29" s="787">
        <f>DP29+DR29+DT29+DV29+DX29</f>
        <v>0.83000000000000007</v>
      </c>
      <c r="EP29" s="806">
        <f>DQ29+DS29+DU29+DW29+DY29+EA29+EC29+EE29+EG29+EI29+EK29+DO29</f>
        <v>1</v>
      </c>
      <c r="EQ29" s="700">
        <f>DR29+DT29+DV29+DX29+DP29</f>
        <v>0.83000000000000007</v>
      </c>
      <c r="ER29" s="134">
        <f t="shared" si="50"/>
        <v>0</v>
      </c>
      <c r="ES29" s="259">
        <f t="shared" si="5"/>
        <v>1</v>
      </c>
      <c r="ET29" s="870">
        <f t="shared" si="6"/>
        <v>0.83000000000000007</v>
      </c>
      <c r="EU29" s="870">
        <f t="shared" si="24"/>
        <v>1</v>
      </c>
      <c r="EV29" s="338">
        <f t="shared" si="7"/>
        <v>0.97875000000000001</v>
      </c>
      <c r="EW29" s="719"/>
      <c r="EX29" s="718"/>
      <c r="EY29" s="718" t="s">
        <v>547</v>
      </c>
      <c r="EZ29" s="712"/>
      <c r="FA29" s="716"/>
      <c r="FB29" s="427"/>
    </row>
    <row r="30" spans="1:162" s="24" customFormat="1" ht="24.95" customHeight="1" thickBot="1" x14ac:dyDescent="0.3">
      <c r="A30" s="458"/>
      <c r="B30" s="458"/>
      <c r="C30" s="458"/>
      <c r="D30" s="458"/>
      <c r="E30" s="458"/>
      <c r="F30" s="166" t="s">
        <v>44</v>
      </c>
      <c r="G30" s="135">
        <f>+G25+G28</f>
        <v>16807671309.809999</v>
      </c>
      <c r="H30" s="136">
        <f>+H25+H28</f>
        <v>1412790000</v>
      </c>
      <c r="I30" s="136"/>
      <c r="J30" s="136"/>
      <c r="K30" s="136"/>
      <c r="L30" s="136"/>
      <c r="M30" s="136"/>
      <c r="N30" s="136"/>
      <c r="O30" s="136"/>
      <c r="P30" s="136"/>
      <c r="Q30" s="136"/>
      <c r="R30" s="136"/>
      <c r="S30" s="136"/>
      <c r="T30" s="137"/>
      <c r="U30" s="141"/>
      <c r="V30" s="141"/>
      <c r="W30" s="136">
        <f t="shared" ref="W30:AK30" si="62">+W25+W28</f>
        <v>1412790000</v>
      </c>
      <c r="X30" s="136">
        <f t="shared" si="62"/>
        <v>1412790000</v>
      </c>
      <c r="Y30" s="136">
        <f t="shared" si="62"/>
        <v>1326141063</v>
      </c>
      <c r="Z30" s="136">
        <f t="shared" si="62"/>
        <v>1399790000</v>
      </c>
      <c r="AA30" s="136">
        <f t="shared" si="62"/>
        <v>1326141063</v>
      </c>
      <c r="AB30" s="136">
        <f t="shared" si="62"/>
        <v>3566518679</v>
      </c>
      <c r="AC30" s="136">
        <f t="shared" si="62"/>
        <v>91072667</v>
      </c>
      <c r="AD30" s="136">
        <f t="shared" si="62"/>
        <v>91072667</v>
      </c>
      <c r="AE30" s="136">
        <f t="shared" si="62"/>
        <v>523194900</v>
      </c>
      <c r="AF30" s="136">
        <f t="shared" si="62"/>
        <v>523194900</v>
      </c>
      <c r="AG30" s="136">
        <f t="shared" si="62"/>
        <v>1428804345</v>
      </c>
      <c r="AH30" s="136">
        <f t="shared" si="62"/>
        <v>1428804345</v>
      </c>
      <c r="AI30" s="136">
        <f t="shared" si="62"/>
        <v>609841433</v>
      </c>
      <c r="AJ30" s="136">
        <f t="shared" si="62"/>
        <v>201051433</v>
      </c>
      <c r="AK30" s="136">
        <f t="shared" si="62"/>
        <v>38507889</v>
      </c>
      <c r="AL30" s="136">
        <f t="shared" ref="AL30:AZ30" si="63">+AL25+AL28</f>
        <v>43507889</v>
      </c>
      <c r="AM30" s="136">
        <f t="shared" si="63"/>
        <v>337648064</v>
      </c>
      <c r="AN30" s="136">
        <f t="shared" si="63"/>
        <v>336358064</v>
      </c>
      <c r="AO30" s="136">
        <f t="shared" si="63"/>
        <v>63971107</v>
      </c>
      <c r="AP30" s="136">
        <f t="shared" si="63"/>
        <v>0</v>
      </c>
      <c r="AQ30" s="136">
        <f t="shared" si="63"/>
        <v>78889757</v>
      </c>
      <c r="AR30" s="136">
        <f t="shared" si="63"/>
        <v>100496560</v>
      </c>
      <c r="AS30" s="136">
        <f t="shared" si="63"/>
        <v>158335747</v>
      </c>
      <c r="AT30" s="136">
        <f t="shared" si="63"/>
        <v>14036034</v>
      </c>
      <c r="AU30" s="136">
        <f t="shared" si="63"/>
        <v>68283886</v>
      </c>
      <c r="AV30" s="136">
        <f t="shared" si="63"/>
        <v>50370865</v>
      </c>
      <c r="AW30" s="136">
        <f t="shared" si="63"/>
        <v>61203800</v>
      </c>
      <c r="AX30" s="136">
        <f t="shared" si="63"/>
        <v>111518759</v>
      </c>
      <c r="AY30" s="136">
        <f t="shared" si="63"/>
        <v>62546600</v>
      </c>
      <c r="AZ30" s="136">
        <f t="shared" si="63"/>
        <v>366773951</v>
      </c>
      <c r="BA30" s="137">
        <f t="shared" si="55"/>
        <v>3522300195</v>
      </c>
      <c r="BB30" s="142">
        <f t="shared" si="55"/>
        <v>3522300195</v>
      </c>
      <c r="BC30" s="142">
        <f t="shared" si="55"/>
        <v>3267185467</v>
      </c>
      <c r="BD30" s="142">
        <f t="shared" si="55"/>
        <v>3522300195</v>
      </c>
      <c r="BE30" s="142">
        <f t="shared" si="55"/>
        <v>3267185467</v>
      </c>
      <c r="BF30" s="142">
        <f t="shared" si="56"/>
        <v>3824228982</v>
      </c>
      <c r="BG30" s="142">
        <f t="shared" si="56"/>
        <v>2633309183</v>
      </c>
      <c r="BH30" s="142">
        <f t="shared" si="56"/>
        <v>2534638908</v>
      </c>
      <c r="BI30" s="142">
        <f t="shared" si="56"/>
        <v>100748557</v>
      </c>
      <c r="BJ30" s="142">
        <f>+BJ25+BJ28</f>
        <v>71062834</v>
      </c>
      <c r="BK30" s="142">
        <f t="shared" ref="BK30:CI30" si="64">+BK25+BK28</f>
        <v>661271676</v>
      </c>
      <c r="BL30" s="142">
        <f t="shared" si="64"/>
        <v>50000000</v>
      </c>
      <c r="BM30" s="142">
        <f t="shared" si="64"/>
        <v>180137000</v>
      </c>
      <c r="BN30" s="142">
        <f t="shared" si="64"/>
        <v>0</v>
      </c>
      <c r="BO30" s="142">
        <f t="shared" si="64"/>
        <v>22023119</v>
      </c>
      <c r="BP30" s="142">
        <f t="shared" si="64"/>
        <v>162596000</v>
      </c>
      <c r="BQ30" s="142">
        <f t="shared" si="64"/>
        <v>187726512</v>
      </c>
      <c r="BR30" s="142">
        <f t="shared" si="64"/>
        <v>0</v>
      </c>
      <c r="BS30" s="142">
        <f t="shared" si="64"/>
        <v>36989816</v>
      </c>
      <c r="BT30" s="142">
        <f t="shared" si="64"/>
        <v>387807015</v>
      </c>
      <c r="BU30" s="142">
        <f t="shared" si="64"/>
        <v>52023119</v>
      </c>
      <c r="BV30" s="142">
        <f t="shared" si="64"/>
        <v>0</v>
      </c>
      <c r="BW30" s="142">
        <f t="shared" si="64"/>
        <v>102546975</v>
      </c>
      <c r="BX30" s="142">
        <f t="shared" si="64"/>
        <v>-52162649</v>
      </c>
      <c r="BY30" s="142">
        <f t="shared" si="64"/>
        <v>310316001</v>
      </c>
      <c r="BZ30" s="142">
        <f t="shared" si="64"/>
        <v>130790770</v>
      </c>
      <c r="CA30" s="142">
        <f t="shared" si="64"/>
        <v>1122133</v>
      </c>
      <c r="CB30" s="142">
        <f t="shared" si="64"/>
        <v>483055311</v>
      </c>
      <c r="CC30" s="142">
        <f t="shared" si="64"/>
        <v>180877867</v>
      </c>
      <c r="CD30" s="142">
        <f t="shared" si="64"/>
        <v>485217080</v>
      </c>
      <c r="CE30" s="142">
        <f t="shared" si="64"/>
        <v>4469091958</v>
      </c>
      <c r="CF30" s="142">
        <f t="shared" si="64"/>
        <v>4469091958</v>
      </c>
      <c r="CG30" s="142">
        <f t="shared" si="64"/>
        <v>4253005269</v>
      </c>
      <c r="CH30" s="142">
        <f t="shared" si="64"/>
        <v>4469091958</v>
      </c>
      <c r="CI30" s="142">
        <f t="shared" si="64"/>
        <v>4253005269</v>
      </c>
      <c r="CJ30" s="137">
        <f>+CJ25+CJ28</f>
        <v>3804270520</v>
      </c>
      <c r="CK30" s="137">
        <f t="shared" si="58"/>
        <v>-60956850</v>
      </c>
      <c r="CL30" s="137">
        <f t="shared" si="58"/>
        <v>90129133</v>
      </c>
      <c r="CM30" s="137">
        <f t="shared" si="58"/>
        <v>443842057</v>
      </c>
      <c r="CN30" s="137">
        <f t="shared" si="58"/>
        <v>936826615</v>
      </c>
      <c r="CO30" s="137">
        <f t="shared" si="58"/>
        <v>399174633</v>
      </c>
      <c r="CP30" s="137">
        <f>+CP25+CP28</f>
        <v>1399724166</v>
      </c>
      <c r="CQ30" s="137">
        <f>+CQ25+CS28</f>
        <v>283462314</v>
      </c>
      <c r="CR30" s="137">
        <f t="shared" si="58"/>
        <v>114673600</v>
      </c>
      <c r="CS30" s="137">
        <f>+CS25+CS28</f>
        <v>325825950</v>
      </c>
      <c r="CT30" s="182">
        <f>+CT25+CT28</f>
        <v>139595626</v>
      </c>
      <c r="CU30" s="137">
        <f t="shared" si="58"/>
        <v>256802000</v>
      </c>
      <c r="CV30" s="137">
        <f t="shared" si="58"/>
        <v>348333239</v>
      </c>
      <c r="CW30" s="137">
        <f t="shared" si="58"/>
        <v>381853136</v>
      </c>
      <c r="CX30" s="237">
        <f t="shared" si="58"/>
        <v>29481779</v>
      </c>
      <c r="CY30" s="137">
        <f t="shared" si="58"/>
        <v>544801000</v>
      </c>
      <c r="CZ30" s="137">
        <f>+CZ25+CZ28</f>
        <v>159089204</v>
      </c>
      <c r="DA30" s="137">
        <f t="shared" si="58"/>
        <v>302523302.66666669</v>
      </c>
      <c r="DB30" s="137">
        <f t="shared" si="58"/>
        <v>206556000</v>
      </c>
      <c r="DC30" s="137">
        <f t="shared" si="58"/>
        <v>328003362</v>
      </c>
      <c r="DD30" s="137"/>
      <c r="DE30" s="137">
        <f t="shared" si="58"/>
        <v>135358702.66666666</v>
      </c>
      <c r="DF30" s="137"/>
      <c r="DG30" s="136">
        <f t="shared" si="58"/>
        <v>175798387</v>
      </c>
      <c r="DH30" s="136">
        <f t="shared" si="58"/>
        <v>268320929</v>
      </c>
      <c r="DI30" s="137">
        <f>DI25+DI28</f>
        <v>3754525916.3333335</v>
      </c>
      <c r="DJ30" s="142">
        <f>DJ25+DJ28</f>
        <v>3754525916.333333</v>
      </c>
      <c r="DK30" s="142">
        <f>DK25+DK28</f>
        <v>3746658791</v>
      </c>
      <c r="DL30" s="137">
        <f>DL25+DL28</f>
        <v>3754525916.333333</v>
      </c>
      <c r="DM30" s="142">
        <f>DM25+DM28</f>
        <v>3746658791</v>
      </c>
      <c r="DN30" s="142">
        <f t="shared" si="59"/>
        <v>4214680719.8099999</v>
      </c>
      <c r="DO30" s="273">
        <f t="shared" si="59"/>
        <v>236281378</v>
      </c>
      <c r="DP30" s="273">
        <f t="shared" si="59"/>
        <v>236281378</v>
      </c>
      <c r="DQ30" s="273">
        <f t="shared" si="59"/>
        <v>986505898.80999994</v>
      </c>
      <c r="DR30" s="182">
        <f t="shared" ref="DR30" si="65">+DR25+DR28</f>
        <v>893479877</v>
      </c>
      <c r="DS30" s="273">
        <f t="shared" ref="DS30:DX30" si="66">+DS25+DS28</f>
        <v>523977664</v>
      </c>
      <c r="DT30" s="273">
        <f t="shared" si="66"/>
        <v>270757300</v>
      </c>
      <c r="DU30" s="273">
        <f t="shared" si="66"/>
        <v>637328828</v>
      </c>
      <c r="DV30" s="273">
        <f t="shared" si="66"/>
        <v>184072361</v>
      </c>
      <c r="DW30" s="267">
        <f t="shared" si="66"/>
        <v>559185698</v>
      </c>
      <c r="DX30" s="267">
        <f t="shared" si="66"/>
        <v>384789689</v>
      </c>
      <c r="DY30" s="267">
        <f>+DY25+DY28</f>
        <v>675356879</v>
      </c>
      <c r="DZ30" s="146"/>
      <c r="EA30" s="283"/>
      <c r="EB30" s="283"/>
      <c r="EC30" s="283"/>
      <c r="ED30" s="283"/>
      <c r="EE30" s="283"/>
      <c r="EF30" s="283"/>
      <c r="EG30" s="283"/>
      <c r="EH30" s="283"/>
      <c r="EI30" s="283"/>
      <c r="EJ30" s="283"/>
      <c r="EK30" s="283"/>
      <c r="EL30" s="146"/>
      <c r="EM30" s="272">
        <f>EM25+EM28</f>
        <v>4214680719.8099999</v>
      </c>
      <c r="EN30" s="182">
        <f>+EN25+EN28</f>
        <v>2943279466.8099999</v>
      </c>
      <c r="EO30" s="273">
        <f>EO25+EO28</f>
        <v>1969380605</v>
      </c>
      <c r="EP30" s="182">
        <f>+EP25+EP28</f>
        <v>4214680719.8099999</v>
      </c>
      <c r="EQ30" s="182">
        <f>EQ25+EQ28</f>
        <v>1969380605</v>
      </c>
      <c r="ER30" s="260">
        <f>IFERROR(DX30/DW30,0)</f>
        <v>0.68812505465760321</v>
      </c>
      <c r="ES30" s="260">
        <f>IFERROR(EO30/EN30,0)</f>
        <v>0.66911097882745874</v>
      </c>
      <c r="ET30" s="845">
        <f>IFERROR(EQ30/EP30,0)</f>
        <v>0.46726685505344301</v>
      </c>
      <c r="EU30" s="845">
        <f t="shared" si="24"/>
        <v>0.90511420698699385</v>
      </c>
      <c r="EV30" s="846">
        <f t="shared" si="7"/>
        <v>0.86641218325708791</v>
      </c>
      <c r="EW30" s="719"/>
      <c r="EX30" s="718"/>
      <c r="EY30" s="718" t="s">
        <v>547</v>
      </c>
      <c r="EZ30" s="712"/>
      <c r="FA30" s="716"/>
      <c r="FB30" s="427"/>
    </row>
    <row r="31" spans="1:162" s="3" customFormat="1" ht="24.95" customHeight="1" x14ac:dyDescent="0.25">
      <c r="A31" s="458" t="s">
        <v>293</v>
      </c>
      <c r="B31" s="458">
        <v>4</v>
      </c>
      <c r="C31" s="458" t="s">
        <v>297</v>
      </c>
      <c r="D31" s="458" t="s">
        <v>255</v>
      </c>
      <c r="E31" s="458">
        <v>269</v>
      </c>
      <c r="F31" s="165" t="s">
        <v>40</v>
      </c>
      <c r="G31" s="835">
        <f>+AA31+BE31+CI31+DM31+EP31</f>
        <v>4700</v>
      </c>
      <c r="H31" s="701">
        <v>491</v>
      </c>
      <c r="I31" s="701"/>
      <c r="J31" s="701"/>
      <c r="K31" s="701"/>
      <c r="L31" s="701"/>
      <c r="M31" s="701"/>
      <c r="N31" s="701"/>
      <c r="O31" s="701"/>
      <c r="P31" s="701"/>
      <c r="Q31" s="701"/>
      <c r="R31" s="701"/>
      <c r="S31" s="701"/>
      <c r="T31" s="701"/>
      <c r="U31" s="701"/>
      <c r="V31" s="701"/>
      <c r="W31" s="701">
        <v>491</v>
      </c>
      <c r="X31" s="701">
        <v>491</v>
      </c>
      <c r="Y31" s="701">
        <v>491</v>
      </c>
      <c r="Z31" s="701">
        <v>491</v>
      </c>
      <c r="AA31" s="701">
        <v>491</v>
      </c>
      <c r="AB31" s="701">
        <v>893</v>
      </c>
      <c r="AC31" s="701">
        <v>15</v>
      </c>
      <c r="AD31" s="701">
        <v>36</v>
      </c>
      <c r="AE31" s="701">
        <v>18</v>
      </c>
      <c r="AF31" s="701">
        <v>16</v>
      </c>
      <c r="AG31" s="701">
        <v>90</v>
      </c>
      <c r="AH31" s="701">
        <v>104</v>
      </c>
      <c r="AI31" s="701">
        <v>97</v>
      </c>
      <c r="AJ31" s="701">
        <v>116</v>
      </c>
      <c r="AK31" s="701">
        <v>97</v>
      </c>
      <c r="AL31" s="701">
        <v>76</v>
      </c>
      <c r="AM31" s="701">
        <v>97</v>
      </c>
      <c r="AN31" s="701">
        <v>115</v>
      </c>
      <c r="AO31" s="701">
        <v>97</v>
      </c>
      <c r="AP31" s="701">
        <v>96</v>
      </c>
      <c r="AQ31" s="701">
        <v>97</v>
      </c>
      <c r="AR31" s="701">
        <v>102</v>
      </c>
      <c r="AS31" s="701">
        <v>97</v>
      </c>
      <c r="AT31" s="701">
        <v>96</v>
      </c>
      <c r="AU31" s="701">
        <v>97</v>
      </c>
      <c r="AV31" s="701">
        <v>69</v>
      </c>
      <c r="AW31" s="701">
        <v>91</v>
      </c>
      <c r="AX31" s="701">
        <v>65</v>
      </c>
      <c r="AY31" s="701">
        <v>4</v>
      </c>
      <c r="AZ31" s="701">
        <v>6</v>
      </c>
      <c r="BA31" s="144">
        <f>AY31+AW31+AU31+AS31+AQ31+AO31+AM31+AK31+AI31+AG31+AE31+AC31</f>
        <v>897</v>
      </c>
      <c r="BB31" s="144">
        <f t="shared" ref="BB31:BC34" si="67">AC31+AE31+AG31+AI31+AK31+AM31+AO31+AQ31+AS31+AU31+AW31+AY31</f>
        <v>897</v>
      </c>
      <c r="BC31" s="144">
        <f t="shared" si="67"/>
        <v>897</v>
      </c>
      <c r="BD31" s="144">
        <f>AE31+AG31+AI31+AK31+AM31+AO31+AQ31+AS31+AU31+AW31+AY31+AC31</f>
        <v>897</v>
      </c>
      <c r="BE31" s="144">
        <f>AD31+AF31+AH31+AJ31+AL31+AN31+AP31+AR31+AT31+AV31+AX31+AZ31</f>
        <v>897</v>
      </c>
      <c r="BF31" s="701">
        <v>1272</v>
      </c>
      <c r="BG31" s="701">
        <v>0</v>
      </c>
      <c r="BH31" s="701">
        <v>11</v>
      </c>
      <c r="BI31" s="701">
        <v>102</v>
      </c>
      <c r="BJ31" s="701">
        <v>129</v>
      </c>
      <c r="BK31" s="701">
        <v>130</v>
      </c>
      <c r="BL31" s="701">
        <v>109</v>
      </c>
      <c r="BM31" s="701">
        <v>130</v>
      </c>
      <c r="BN31" s="701">
        <v>115</v>
      </c>
      <c r="BO31" s="701">
        <v>130</v>
      </c>
      <c r="BP31" s="701">
        <v>194</v>
      </c>
      <c r="BQ31" s="701">
        <v>130</v>
      </c>
      <c r="BR31" s="701">
        <v>127</v>
      </c>
      <c r="BS31" s="701">
        <v>130</v>
      </c>
      <c r="BT31" s="701">
        <v>138</v>
      </c>
      <c r="BU31" s="701">
        <v>130</v>
      </c>
      <c r="BV31" s="701">
        <v>117</v>
      </c>
      <c r="BW31" s="701">
        <v>130</v>
      </c>
      <c r="BX31" s="701">
        <v>142</v>
      </c>
      <c r="BY31" s="701">
        <v>130</v>
      </c>
      <c r="BZ31" s="701">
        <v>121</v>
      </c>
      <c r="CA31" s="701">
        <v>130</v>
      </c>
      <c r="CB31" s="701">
        <v>137</v>
      </c>
      <c r="CC31" s="781">
        <v>146</v>
      </c>
      <c r="CD31" s="701">
        <v>78</v>
      </c>
      <c r="CE31" s="701">
        <f>CC31+CA31+BY31+BW31+BU31+BS31+BQ31+BO31+BM31+BK31+BI31+BG31</f>
        <v>1418</v>
      </c>
      <c r="CF31" s="701">
        <f t="shared" ref="CF31:CG35" si="68">+BG31+BI31+BK31+BM31+BO31+BQ31+BS31+BU31+BW31+BY31+CA31+CC31</f>
        <v>1418</v>
      </c>
      <c r="CG31" s="145">
        <f t="shared" si="68"/>
        <v>1418</v>
      </c>
      <c r="CH31" s="145">
        <f>CC31+CA31+BY31+BW31+BU31+BS31+BQ31+BO31+BM31+BK31+BI31+BG31</f>
        <v>1418</v>
      </c>
      <c r="CI31" s="145">
        <f>+BH31+BJ31+BL31+BN31+BP31+BR31+BT31+BV31+BX31+BZ31+CB31+CD31</f>
        <v>1418</v>
      </c>
      <c r="CJ31" s="701">
        <v>1585</v>
      </c>
      <c r="CK31" s="805">
        <v>62</v>
      </c>
      <c r="CL31" s="793">
        <v>62</v>
      </c>
      <c r="CM31" s="805">
        <v>77</v>
      </c>
      <c r="CN31" s="793">
        <v>77</v>
      </c>
      <c r="CO31" s="805">
        <v>102</v>
      </c>
      <c r="CP31" s="793">
        <v>102</v>
      </c>
      <c r="CQ31" s="805">
        <v>168</v>
      </c>
      <c r="CR31" s="793">
        <v>120</v>
      </c>
      <c r="CS31" s="805">
        <v>168</v>
      </c>
      <c r="CT31" s="793">
        <v>139</v>
      </c>
      <c r="CU31" s="805">
        <v>168</v>
      </c>
      <c r="CV31" s="682">
        <v>131</v>
      </c>
      <c r="CW31" s="805">
        <v>168</v>
      </c>
      <c r="CX31" s="681">
        <v>143</v>
      </c>
      <c r="CY31" s="805">
        <v>168</v>
      </c>
      <c r="CZ31" s="681">
        <v>167</v>
      </c>
      <c r="DA31" s="805">
        <v>168</v>
      </c>
      <c r="DB31" s="681">
        <v>117</v>
      </c>
      <c r="DC31" s="805">
        <v>168</v>
      </c>
      <c r="DD31" s="681">
        <v>167</v>
      </c>
      <c r="DE31" s="805">
        <v>96</v>
      </c>
      <c r="DF31" s="681">
        <v>143</v>
      </c>
      <c r="DG31" s="805">
        <v>72</v>
      </c>
      <c r="DH31" s="681">
        <v>113</v>
      </c>
      <c r="DI31" s="689">
        <f>DG31+DE31+DC31+DA31+CY31+CW31+CU31+CS31+CQ31+CO31+CM31+CK31</f>
        <v>1585</v>
      </c>
      <c r="DJ31" s="689">
        <f t="shared" ref="DJ31:DK33" si="69">CK31+CM31+CO31+CQ31+CS31+CU31+CW31+CY31+DA31+DC31+DE31+DG31</f>
        <v>1585</v>
      </c>
      <c r="DK31" s="689">
        <f t="shared" si="69"/>
        <v>1481</v>
      </c>
      <c r="DL31" s="133">
        <f t="shared" ref="DL31:DM33" si="70">CM31+CO31+CQ31+CS31+CU31+CW31+CY31+DA31+DC31+DE31+DG31+CK31</f>
        <v>1585</v>
      </c>
      <c r="DM31" s="133">
        <f t="shared" si="70"/>
        <v>1481</v>
      </c>
      <c r="DN31" s="701">
        <v>413</v>
      </c>
      <c r="DO31" s="700">
        <v>19</v>
      </c>
      <c r="DP31" s="700">
        <v>19</v>
      </c>
      <c r="DQ31" s="700">
        <v>50</v>
      </c>
      <c r="DR31" s="700">
        <v>11</v>
      </c>
      <c r="DS31" s="700">
        <v>55</v>
      </c>
      <c r="DT31" s="700">
        <v>51</v>
      </c>
      <c r="DU31" s="700">
        <v>84</v>
      </c>
      <c r="DV31" s="700">
        <v>41</v>
      </c>
      <c r="DW31" s="775">
        <v>188</v>
      </c>
      <c r="DX31" s="775">
        <v>132</v>
      </c>
      <c r="DY31" s="775">
        <v>17</v>
      </c>
      <c r="DZ31" s="803"/>
      <c r="EA31" s="775"/>
      <c r="EB31" s="791"/>
      <c r="EC31" s="791"/>
      <c r="ED31" s="791"/>
      <c r="EE31" s="791"/>
      <c r="EF31" s="791"/>
      <c r="EG31" s="685"/>
      <c r="EH31" s="685"/>
      <c r="EI31" s="685"/>
      <c r="EJ31" s="685"/>
      <c r="EK31" s="685"/>
      <c r="EL31" s="780"/>
      <c r="EM31" s="700">
        <f>EK31+EI31+EG31+EE31+EC31+EA31+DY31+DW31+DU31+DS31+DQ31+DO31</f>
        <v>413</v>
      </c>
      <c r="EN31" s="700">
        <f>DO31+DQ31+DS31+DU31+DW31</f>
        <v>396</v>
      </c>
      <c r="EO31" s="700">
        <f>DP31+DR31+DT31+DV31+DX31</f>
        <v>254</v>
      </c>
      <c r="EP31" s="804">
        <f>DQ31+DS31+DU31+DW31+DY31+EA31+EC31+EE31+EG31+EI31+EK31+DO31</f>
        <v>413</v>
      </c>
      <c r="EQ31" s="700">
        <f>DR31+DT31+DV31+DX31+DP31</f>
        <v>254</v>
      </c>
      <c r="ER31" s="134">
        <f>IFERROR(DX31/DW31,0)</f>
        <v>0.7021276595744681</v>
      </c>
      <c r="ES31" s="134">
        <f t="shared" si="5"/>
        <v>0.64141414141414144</v>
      </c>
      <c r="ET31" s="847">
        <f t="shared" si="6"/>
        <v>0.61501210653753025</v>
      </c>
      <c r="EU31" s="847">
        <f t="shared" si="24"/>
        <v>0.94861082097346983</v>
      </c>
      <c r="EV31" s="336">
        <f t="shared" si="7"/>
        <v>0.96617021276595749</v>
      </c>
      <c r="EW31" s="719"/>
      <c r="EX31" s="711" t="s">
        <v>784</v>
      </c>
      <c r="EY31" s="718" t="s">
        <v>547</v>
      </c>
      <c r="EZ31" s="710" t="s">
        <v>634</v>
      </c>
      <c r="FA31" s="709" t="s">
        <v>770</v>
      </c>
      <c r="FB31" s="427"/>
    </row>
    <row r="32" spans="1:162" s="39" customFormat="1" ht="24.95" customHeight="1" x14ac:dyDescent="0.25">
      <c r="A32" s="458"/>
      <c r="B32" s="458"/>
      <c r="C32" s="458"/>
      <c r="D32" s="458"/>
      <c r="E32" s="458"/>
      <c r="F32" s="166" t="s">
        <v>3</v>
      </c>
      <c r="G32" s="55">
        <f>+AA32+BE32+CI32+DM32+EP32</f>
        <v>6955719712</v>
      </c>
      <c r="H32" s="55">
        <v>621054131</v>
      </c>
      <c r="I32" s="55"/>
      <c r="J32" s="55"/>
      <c r="K32" s="55"/>
      <c r="L32" s="55"/>
      <c r="M32" s="55"/>
      <c r="N32" s="55"/>
      <c r="O32" s="55"/>
      <c r="P32" s="55"/>
      <c r="Q32" s="55"/>
      <c r="R32" s="55"/>
      <c r="S32" s="55"/>
      <c r="T32" s="54"/>
      <c r="U32" s="62"/>
      <c r="V32" s="62"/>
      <c r="W32" s="55">
        <v>621054131</v>
      </c>
      <c r="X32" s="55">
        <v>621054131</v>
      </c>
      <c r="Y32" s="62">
        <v>535986131</v>
      </c>
      <c r="Z32" s="55">
        <v>556054131</v>
      </c>
      <c r="AA32" s="62">
        <v>535986131</v>
      </c>
      <c r="AB32" s="62">
        <v>1480481000</v>
      </c>
      <c r="AC32" s="55">
        <v>0</v>
      </c>
      <c r="AD32" s="62">
        <v>0</v>
      </c>
      <c r="AE32" s="62">
        <v>740287000</v>
      </c>
      <c r="AF32" s="62">
        <f>740287000-AD32</f>
        <v>740287000</v>
      </c>
      <c r="AG32" s="62">
        <v>261288000</v>
      </c>
      <c r="AH32" s="62">
        <f>1001575000-AF32-AD32</f>
        <v>261288000</v>
      </c>
      <c r="AI32" s="62">
        <v>0</v>
      </c>
      <c r="AJ32" s="62">
        <f>1001575000-AH32-AF32-AD32</f>
        <v>0</v>
      </c>
      <c r="AK32" s="55">
        <v>0</v>
      </c>
      <c r="AL32" s="55">
        <f>1001575000-AJ32-AH32-AF32-AD32</f>
        <v>0</v>
      </c>
      <c r="AM32" s="55">
        <v>150666666.66666666</v>
      </c>
      <c r="AN32" s="55">
        <v>150000000</v>
      </c>
      <c r="AO32" s="55">
        <v>0</v>
      </c>
      <c r="AP32" s="55">
        <v>0</v>
      </c>
      <c r="AQ32" s="55">
        <f>150666666.666667+5381200</f>
        <v>156047866.66666701</v>
      </c>
      <c r="AR32" s="55">
        <v>0</v>
      </c>
      <c r="AS32" s="55">
        <f>150666666.666667+5381200+107000000</f>
        <v>263047866.66666701</v>
      </c>
      <c r="AT32" s="55">
        <v>0</v>
      </c>
      <c r="AU32" s="55">
        <v>5381200</v>
      </c>
      <c r="AV32" s="55">
        <v>12393667</v>
      </c>
      <c r="AW32" s="55">
        <v>5381200</v>
      </c>
      <c r="AX32" s="55">
        <v>355319167</v>
      </c>
      <c r="AY32" s="55">
        <v>5381200</v>
      </c>
      <c r="AZ32" s="55">
        <v>67733833</v>
      </c>
      <c r="BA32" s="54">
        <f>AY32+AW32+AU32+AS32+AQ32+AO32+AM32+AK32+AI32+AG32+AE32+AC32</f>
        <v>1587481000.0000005</v>
      </c>
      <c r="BB32" s="54">
        <f t="shared" si="67"/>
        <v>1587481000.0000007</v>
      </c>
      <c r="BC32" s="54">
        <f t="shared" si="67"/>
        <v>1587021667</v>
      </c>
      <c r="BD32" s="54">
        <f>AE32+AG32+AI32+AK32+AM32+AO32+AQ32+AS32+AU32+AW32+AY32+AC32</f>
        <v>1587481000.0000007</v>
      </c>
      <c r="BE32" s="54">
        <f>AD32+AF32+AH32+AJ32+AL32+AN32+AP32+AR32+AT32+AV32+AX32+AZ32</f>
        <v>1587021667</v>
      </c>
      <c r="BF32" s="54">
        <v>1617058000</v>
      </c>
      <c r="BG32" s="55">
        <v>1100730000</v>
      </c>
      <c r="BH32" s="55">
        <v>1097940000</v>
      </c>
      <c r="BI32" s="55">
        <v>0</v>
      </c>
      <c r="BJ32" s="55">
        <v>0</v>
      </c>
      <c r="BK32" s="55">
        <v>136319000</v>
      </c>
      <c r="BL32" s="55">
        <v>0</v>
      </c>
      <c r="BM32" s="55">
        <v>340009000</v>
      </c>
      <c r="BN32" s="55">
        <v>0</v>
      </c>
      <c r="BO32" s="55">
        <v>0</v>
      </c>
      <c r="BP32" s="55">
        <v>0</v>
      </c>
      <c r="BQ32" s="55">
        <v>40000000</v>
      </c>
      <c r="BR32" s="55">
        <v>0</v>
      </c>
      <c r="BS32" s="55">
        <v>0</v>
      </c>
      <c r="BT32" s="55">
        <v>0</v>
      </c>
      <c r="BU32" s="55">
        <v>0</v>
      </c>
      <c r="BV32" s="55">
        <v>0</v>
      </c>
      <c r="BW32" s="55">
        <v>281095100</v>
      </c>
      <c r="BX32" s="55">
        <v>40000000</v>
      </c>
      <c r="BY32" s="55">
        <v>52969000</v>
      </c>
      <c r="BZ32" s="55">
        <v>547998200</v>
      </c>
      <c r="CA32" s="55">
        <v>0</v>
      </c>
      <c r="CB32" s="55">
        <v>86093500</v>
      </c>
      <c r="CC32" s="55">
        <v>-42750000</v>
      </c>
      <c r="CD32" s="55">
        <v>85861748</v>
      </c>
      <c r="CE32" s="55">
        <f>CC32+CA32+BY32+BW32+BU32+BS32+BQ32+BO32+BM32+BK32+BI32+BG32</f>
        <v>1908372100</v>
      </c>
      <c r="CF32" s="55">
        <f t="shared" si="68"/>
        <v>1908372100</v>
      </c>
      <c r="CG32" s="55">
        <f t="shared" si="68"/>
        <v>1857893448</v>
      </c>
      <c r="CH32" s="54">
        <f>CC32+CA32+BY32+BW32+BU32+BS32+BQ32+BO32+BM32+BK32+BI32+BG32</f>
        <v>1908372100</v>
      </c>
      <c r="CI32" s="54">
        <f>+BH32+BJ32+BL32+BN32+BP32+BR32+BT32+BV32+BX32+BZ32+CB32+CD32</f>
        <v>1857893448</v>
      </c>
      <c r="CJ32" s="55">
        <v>1243371000</v>
      </c>
      <c r="CK32" s="55">
        <v>-55771500</v>
      </c>
      <c r="CL32" s="55">
        <v>0</v>
      </c>
      <c r="CM32" s="55">
        <v>125273545</v>
      </c>
      <c r="CN32" s="55">
        <v>499703500</v>
      </c>
      <c r="CO32" s="55">
        <v>125273545</v>
      </c>
      <c r="CP32" s="55">
        <v>457849000</v>
      </c>
      <c r="CQ32" s="55">
        <v>125273545</v>
      </c>
      <c r="CR32" s="55">
        <v>76138500</v>
      </c>
      <c r="CS32" s="55">
        <v>125273545</v>
      </c>
      <c r="CT32" s="180">
        <v>24080000</v>
      </c>
      <c r="CU32" s="162">
        <v>205273545</v>
      </c>
      <c r="CV32" s="162">
        <v>-24481334</v>
      </c>
      <c r="CW32" s="162">
        <f>125273545-23986834</f>
        <v>101286711</v>
      </c>
      <c r="CX32" s="162">
        <v>33110000</v>
      </c>
      <c r="CY32" s="55">
        <v>125273545</v>
      </c>
      <c r="CZ32" s="162">
        <v>0</v>
      </c>
      <c r="DA32" s="162">
        <f>155273545-17654000</f>
        <v>137619545</v>
      </c>
      <c r="DB32" s="162">
        <v>0</v>
      </c>
      <c r="DC32" s="162">
        <f>125273545+58940433</f>
        <v>184213978</v>
      </c>
      <c r="DD32" s="162">
        <v>0</v>
      </c>
      <c r="DE32" s="162">
        <f>454545+3258500</f>
        <v>3713045</v>
      </c>
      <c r="DF32" s="162">
        <v>62319500</v>
      </c>
      <c r="DG32" s="162">
        <f>5454550+15829100</f>
        <v>21283650</v>
      </c>
      <c r="DH32" s="162">
        <v>93299300</v>
      </c>
      <c r="DI32" s="54">
        <f>DG32+DE32+DC32+DA32+CY32+CW32+CU32+CS32+CQ32+CO32+CM32+CK32</f>
        <v>1223986699</v>
      </c>
      <c r="DJ32" s="54">
        <f t="shared" si="69"/>
        <v>1223986699</v>
      </c>
      <c r="DK32" s="54">
        <f t="shared" si="69"/>
        <v>1222018466</v>
      </c>
      <c r="DL32" s="54">
        <f>CM32+CO32+CQ32+CS32+CU32+CW32+CY32+DA32+DC32+DE32+DG32+CK32</f>
        <v>1223986699</v>
      </c>
      <c r="DM32" s="54">
        <f t="shared" si="70"/>
        <v>1222018466</v>
      </c>
      <c r="DN32" s="55">
        <f>DO32+DQ32+DS32+DU32+DW32+DY32+EA32</f>
        <v>1752800000</v>
      </c>
      <c r="DO32" s="180">
        <v>114638000</v>
      </c>
      <c r="DP32" s="180">
        <v>114638000</v>
      </c>
      <c r="DQ32" s="180">
        <v>429134000</v>
      </c>
      <c r="DR32" s="180">
        <v>352344000</v>
      </c>
      <c r="DS32" s="180">
        <v>180159600</v>
      </c>
      <c r="DT32" s="180">
        <v>64000000</v>
      </c>
      <c r="DU32" s="180">
        <v>231321563</v>
      </c>
      <c r="DV32" s="180">
        <v>63632000</v>
      </c>
      <c r="DW32" s="162">
        <v>213897541</v>
      </c>
      <c r="DX32" s="279">
        <v>274706000</v>
      </c>
      <c r="DY32" s="162">
        <v>302257000</v>
      </c>
      <c r="DZ32" s="49"/>
      <c r="EA32" s="162">
        <v>281392296</v>
      </c>
      <c r="EB32" s="281"/>
      <c r="EC32" s="281"/>
      <c r="ED32" s="281"/>
      <c r="EE32" s="281"/>
      <c r="EF32" s="281"/>
      <c r="EG32" s="281"/>
      <c r="EH32" s="281"/>
      <c r="EI32" s="281"/>
      <c r="EJ32" s="281"/>
      <c r="EK32" s="281"/>
      <c r="EL32" s="49"/>
      <c r="EM32" s="61">
        <f>EK32+EI32+EG32+EE32+EC32+EA32+DY32+DW32+DU32+DS32+DQ32+DO32</f>
        <v>1752800000</v>
      </c>
      <c r="EN32" s="686">
        <f t="shared" ref="EN32:EN33" si="71">DO32+DQ32+DS32+DU32+DW32</f>
        <v>1169150704</v>
      </c>
      <c r="EO32" s="183">
        <f>DP32+DR32+DT32+DV32+DX32</f>
        <v>869320000</v>
      </c>
      <c r="EP32" s="262">
        <f>DQ32+DS32+DU32+DW32+DY32+EA32+EC32+EE32+EG32+EI32+EK32+DO32</f>
        <v>1752800000</v>
      </c>
      <c r="EQ32" s="61">
        <f>DP32+DR32+DT32+DV32+DX32</f>
        <v>869320000</v>
      </c>
      <c r="ER32" s="134">
        <f t="shared" ref="ER32:ER36" si="72">IFERROR(DX32/DW32,0)</f>
        <v>1.284287788983979</v>
      </c>
      <c r="ES32" s="134">
        <f t="shared" si="5"/>
        <v>0.74354828425951147</v>
      </c>
      <c r="ET32" s="847">
        <f t="shared" si="6"/>
        <v>0.49596074851665906</v>
      </c>
      <c r="EU32" s="847">
        <f t="shared" si="24"/>
        <v>0.94215634752421784</v>
      </c>
      <c r="EV32" s="337">
        <f t="shared" si="7"/>
        <v>0.87298510627508163</v>
      </c>
      <c r="EW32" s="719"/>
      <c r="EX32" s="711"/>
      <c r="EY32" s="718" t="s">
        <v>547</v>
      </c>
      <c r="EZ32" s="710"/>
      <c r="FA32" s="709"/>
      <c r="FB32" s="427"/>
    </row>
    <row r="33" spans="1:160" s="39" customFormat="1" ht="24.95" customHeight="1" x14ac:dyDescent="0.25">
      <c r="A33" s="458"/>
      <c r="B33" s="458"/>
      <c r="C33" s="458"/>
      <c r="D33" s="458"/>
      <c r="E33" s="458"/>
      <c r="F33" s="167" t="s">
        <v>205</v>
      </c>
      <c r="G33" s="55"/>
      <c r="H33" s="55"/>
      <c r="I33" s="55"/>
      <c r="J33" s="55"/>
      <c r="K33" s="55"/>
      <c r="L33" s="55"/>
      <c r="M33" s="55"/>
      <c r="N33" s="55"/>
      <c r="O33" s="55"/>
      <c r="P33" s="55"/>
      <c r="Q33" s="55"/>
      <c r="R33" s="55"/>
      <c r="S33" s="55"/>
      <c r="T33" s="54"/>
      <c r="U33" s="62"/>
      <c r="V33" s="62"/>
      <c r="W33" s="55"/>
      <c r="X33" s="55"/>
      <c r="Y33" s="62">
        <v>0</v>
      </c>
      <c r="Z33" s="55"/>
      <c r="AA33" s="62">
        <v>0</v>
      </c>
      <c r="AB33" s="62"/>
      <c r="AC33" s="55">
        <v>0</v>
      </c>
      <c r="AD33" s="55">
        <v>0</v>
      </c>
      <c r="AE33" s="62">
        <v>0</v>
      </c>
      <c r="AF33" s="62">
        <v>0</v>
      </c>
      <c r="AG33" s="62">
        <v>27208599</v>
      </c>
      <c r="AH33" s="62">
        <v>27208599</v>
      </c>
      <c r="AI33" s="62">
        <v>102633333</v>
      </c>
      <c r="AJ33" s="62">
        <f>129841932-AH33-AF33-AD33</f>
        <v>102633333</v>
      </c>
      <c r="AK33" s="55">
        <v>113778067</v>
      </c>
      <c r="AL33" s="55">
        <f>243619999-AJ33-AH33-AF33-AD33</f>
        <v>113778067</v>
      </c>
      <c r="AM33" s="55">
        <v>115052000</v>
      </c>
      <c r="AN33" s="55">
        <v>115052000</v>
      </c>
      <c r="AO33" s="55">
        <v>0</v>
      </c>
      <c r="AP33" s="55">
        <v>111614000</v>
      </c>
      <c r="AQ33" s="55">
        <v>0</v>
      </c>
      <c r="AR33" s="55">
        <v>111614000</v>
      </c>
      <c r="AS33" s="55">
        <v>0</v>
      </c>
      <c r="AT33" s="55">
        <v>111614000</v>
      </c>
      <c r="AU33" s="55">
        <v>0</v>
      </c>
      <c r="AV33" s="55">
        <v>111614000</v>
      </c>
      <c r="AW33" s="55">
        <v>0</v>
      </c>
      <c r="AX33" s="55">
        <v>134099612</v>
      </c>
      <c r="AY33" s="55">
        <v>0</v>
      </c>
      <c r="AZ33" s="55">
        <v>200909784.09472775</v>
      </c>
      <c r="BA33" s="54">
        <f>AY33+AW33+AU33+AS33+AQ33+AO33+AM33+AK33+AI33+AG33+AE33+AC33</f>
        <v>358671999</v>
      </c>
      <c r="BB33" s="54">
        <f t="shared" si="67"/>
        <v>358671999</v>
      </c>
      <c r="BC33" s="54">
        <f t="shared" si="67"/>
        <v>1140137395.0947278</v>
      </c>
      <c r="BD33" s="54">
        <f>AE33+AG33+AI33+AK33+AM33+AO33+AQ33+AS33+AU33+AW33+AY33+AC33</f>
        <v>358671999</v>
      </c>
      <c r="BE33" s="54">
        <f>AD33+AF33+AH33+AJ33+AL33+AN33+AP33+AR33+AT33+AV33+AX33+AZ33</f>
        <v>1140137395.0947278</v>
      </c>
      <c r="BF33" s="55">
        <v>0</v>
      </c>
      <c r="BG33" s="55">
        <v>0</v>
      </c>
      <c r="BH33" s="55">
        <v>0</v>
      </c>
      <c r="BI33" s="55"/>
      <c r="BJ33" s="55">
        <v>19077902</v>
      </c>
      <c r="BK33" s="55"/>
      <c r="BL33" s="55">
        <v>121799899</v>
      </c>
      <c r="BM33" s="55"/>
      <c r="BN33" s="55">
        <v>120906000</v>
      </c>
      <c r="BO33" s="55"/>
      <c r="BP33" s="55">
        <v>120906000</v>
      </c>
      <c r="BQ33" s="55"/>
      <c r="BR33" s="55">
        <v>129043067</v>
      </c>
      <c r="BS33" s="55"/>
      <c r="BT33" s="55">
        <v>120906000</v>
      </c>
      <c r="BU33" s="55">
        <v>0</v>
      </c>
      <c r="BV33" s="55">
        <v>120906000</v>
      </c>
      <c r="BW33" s="55">
        <v>0</v>
      </c>
      <c r="BX33" s="55">
        <v>120906000</v>
      </c>
      <c r="BY33" s="55">
        <v>0</v>
      </c>
      <c r="BZ33" s="55">
        <v>118882000</v>
      </c>
      <c r="CA33" s="55">
        <v>0</v>
      </c>
      <c r="CB33" s="55">
        <v>104230100</v>
      </c>
      <c r="CC33" s="55">
        <v>0</v>
      </c>
      <c r="CD33" s="55">
        <v>187514137</v>
      </c>
      <c r="CE33" s="55">
        <f>CC33+CA33+BY33+BW33+BU33+BS33+BQ33+BO33+BM33+BK33+BI33+BG33</f>
        <v>0</v>
      </c>
      <c r="CF33" s="55">
        <f t="shared" si="68"/>
        <v>0</v>
      </c>
      <c r="CG33" s="55">
        <f t="shared" si="68"/>
        <v>1285077105</v>
      </c>
      <c r="CH33" s="54">
        <f>CC33+CA33+BY33+BW33+BU33+BS33+BQ33+BO33+BM33+BK33+BI33+BG33</f>
        <v>0</v>
      </c>
      <c r="CI33" s="54">
        <f>+BH33+BJ33+BL33+BN33+BP33+BR33+BT33+BV33+BX33+BZ33+CB33+CD33</f>
        <v>1285077105</v>
      </c>
      <c r="CJ33" s="55">
        <v>1243371000</v>
      </c>
      <c r="CK33" s="55">
        <v>-55771500</v>
      </c>
      <c r="CL33" s="55">
        <v>0</v>
      </c>
      <c r="CM33" s="55">
        <v>125273545</v>
      </c>
      <c r="CN33" s="55">
        <v>0</v>
      </c>
      <c r="CO33" s="55">
        <v>125273545</v>
      </c>
      <c r="CP33" s="55">
        <v>20523200</v>
      </c>
      <c r="CQ33" s="55">
        <v>125273545</v>
      </c>
      <c r="CR33" s="55">
        <v>78080205</v>
      </c>
      <c r="CS33" s="55">
        <v>125273545</v>
      </c>
      <c r="CT33" s="180">
        <v>101985650</v>
      </c>
      <c r="CU33" s="162">
        <v>205273545</v>
      </c>
      <c r="CV33" s="162">
        <v>115274274</v>
      </c>
      <c r="CW33" s="162">
        <f>125273545-23986834</f>
        <v>101286711</v>
      </c>
      <c r="CX33" s="162">
        <v>105173361</v>
      </c>
      <c r="CY33" s="55">
        <v>125273545</v>
      </c>
      <c r="CZ33" s="162">
        <v>120776283</v>
      </c>
      <c r="DA33" s="162">
        <f>155273545-17654000</f>
        <v>137619545</v>
      </c>
      <c r="DB33" s="162">
        <v>118557325</v>
      </c>
      <c r="DC33" s="162">
        <f>125273545+58940433</f>
        <v>184213978</v>
      </c>
      <c r="DD33" s="162">
        <v>112459836</v>
      </c>
      <c r="DE33" s="162">
        <f>454545+3258500</f>
        <v>3713045</v>
      </c>
      <c r="DF33" s="162">
        <v>121985596</v>
      </c>
      <c r="DG33" s="162">
        <f>5454550+15829100</f>
        <v>21283650</v>
      </c>
      <c r="DH33" s="162">
        <v>178036367</v>
      </c>
      <c r="DI33" s="54">
        <f>DG33+DE33+DC33+DA33+CY33+CW33+CU33+CS33+CQ33+CO33+CM33+CK33</f>
        <v>1223986699</v>
      </c>
      <c r="DJ33" s="54">
        <f t="shared" si="69"/>
        <v>1223986699</v>
      </c>
      <c r="DK33" s="54">
        <f t="shared" si="69"/>
        <v>1072852097</v>
      </c>
      <c r="DL33" s="54">
        <f t="shared" si="70"/>
        <v>1223986699</v>
      </c>
      <c r="DM33" s="54">
        <f t="shared" si="70"/>
        <v>1072852097</v>
      </c>
      <c r="DN33" s="55">
        <f>DO33+DQ33+DS33+DU33+DW33+DY33+EA33</f>
        <v>1752800000</v>
      </c>
      <c r="DO33" s="180">
        <v>114638000</v>
      </c>
      <c r="DP33" s="180">
        <v>114638000</v>
      </c>
      <c r="DQ33" s="180">
        <v>429134000</v>
      </c>
      <c r="DR33" s="180">
        <v>-112354600</v>
      </c>
      <c r="DS33" s="180">
        <v>180159600</v>
      </c>
      <c r="DT33" s="180">
        <v>62417699</v>
      </c>
      <c r="DU33" s="180">
        <v>231321563</v>
      </c>
      <c r="DV33" s="180">
        <v>130824389</v>
      </c>
      <c r="DW33" s="162">
        <v>213897541</v>
      </c>
      <c r="DX33" s="279">
        <v>131379286</v>
      </c>
      <c r="DY33" s="162">
        <v>302257000</v>
      </c>
      <c r="DZ33" s="49"/>
      <c r="EA33" s="162">
        <v>281392296</v>
      </c>
      <c r="EB33" s="281"/>
      <c r="EC33" s="281"/>
      <c r="ED33" s="281"/>
      <c r="EE33" s="281"/>
      <c r="EF33" s="281"/>
      <c r="EG33" s="281"/>
      <c r="EH33" s="281"/>
      <c r="EI33" s="281"/>
      <c r="EJ33" s="281"/>
      <c r="EK33" s="281"/>
      <c r="EL33" s="49"/>
      <c r="EM33" s="61">
        <f>EK33+EI33+EG33+EE33+EC33+EA33+DY33+DW33+DU33+DS33+DQ33+DO33</f>
        <v>1752800000</v>
      </c>
      <c r="EN33" s="686">
        <f t="shared" si="71"/>
        <v>1169150704</v>
      </c>
      <c r="EO33" s="183">
        <f>DP33+DR33+DT33+DV33+DX33</f>
        <v>326904774</v>
      </c>
      <c r="EP33" s="262">
        <f>DQ33+DS33+DU33+DW33+DY33+EA33+EC33+EE33+EG33+EI33+EK33+DO33</f>
        <v>1752800000</v>
      </c>
      <c r="EQ33" s="61">
        <f>DP33+DR33+DT33+DV33+DX33</f>
        <v>326904774</v>
      </c>
      <c r="ER33" s="134">
        <f t="shared" si="72"/>
        <v>0.61421597174882903</v>
      </c>
      <c r="ES33" s="134">
        <f t="shared" si="5"/>
        <v>0.27960875606674568</v>
      </c>
      <c r="ET33" s="847">
        <f t="shared" si="6"/>
        <v>0.18650432108626197</v>
      </c>
      <c r="EU33" s="847" t="s">
        <v>311</v>
      </c>
      <c r="EV33" s="336" t="s">
        <v>311</v>
      </c>
      <c r="EW33" s="719"/>
      <c r="EX33" s="711"/>
      <c r="EY33" s="718" t="s">
        <v>547</v>
      </c>
      <c r="EZ33" s="710"/>
      <c r="FA33" s="709"/>
      <c r="FB33" s="427"/>
    </row>
    <row r="34" spans="1:160" s="3" customFormat="1" ht="24.95" customHeight="1" x14ac:dyDescent="0.25">
      <c r="A34" s="458"/>
      <c r="B34" s="458"/>
      <c r="C34" s="458"/>
      <c r="D34" s="458"/>
      <c r="E34" s="458"/>
      <c r="F34" s="165" t="s">
        <v>41</v>
      </c>
      <c r="G34" s="189">
        <f>+AA34+BE34+CI34+DM34+EP34</f>
        <v>0</v>
      </c>
      <c r="H34" s="54">
        <v>0</v>
      </c>
      <c r="I34" s="694"/>
      <c r="J34" s="694"/>
      <c r="K34" s="694"/>
      <c r="L34" s="694"/>
      <c r="M34" s="694"/>
      <c r="N34" s="694"/>
      <c r="O34" s="694"/>
      <c r="P34" s="694"/>
      <c r="Q34" s="694"/>
      <c r="R34" s="694"/>
      <c r="S34" s="694"/>
      <c r="T34" s="694"/>
      <c r="U34" s="694"/>
      <c r="V34" s="694"/>
      <c r="W34" s="54">
        <v>0</v>
      </c>
      <c r="X34" s="54">
        <v>0</v>
      </c>
      <c r="Y34" s="54">
        <v>0</v>
      </c>
      <c r="Z34" s="54">
        <v>0</v>
      </c>
      <c r="AA34" s="54">
        <v>0</v>
      </c>
      <c r="AB34" s="694">
        <v>0</v>
      </c>
      <c r="AC34" s="694">
        <v>0</v>
      </c>
      <c r="AD34" s="694">
        <v>0</v>
      </c>
      <c r="AE34" s="694">
        <v>0</v>
      </c>
      <c r="AF34" s="694">
        <v>0</v>
      </c>
      <c r="AG34" s="694">
        <v>0</v>
      </c>
      <c r="AH34" s="694">
        <v>0</v>
      </c>
      <c r="AI34" s="694">
        <v>0</v>
      </c>
      <c r="AJ34" s="694">
        <v>0</v>
      </c>
      <c r="AK34" s="694">
        <v>0</v>
      </c>
      <c r="AL34" s="694">
        <v>0</v>
      </c>
      <c r="AM34" s="694">
        <v>0</v>
      </c>
      <c r="AN34" s="694">
        <v>0</v>
      </c>
      <c r="AO34" s="694">
        <v>0</v>
      </c>
      <c r="AP34" s="694">
        <v>0</v>
      </c>
      <c r="AQ34" s="694">
        <v>0</v>
      </c>
      <c r="AR34" s="694">
        <v>0</v>
      </c>
      <c r="AS34" s="694">
        <v>0</v>
      </c>
      <c r="AT34" s="694">
        <v>0</v>
      </c>
      <c r="AU34" s="694">
        <v>0</v>
      </c>
      <c r="AV34" s="694">
        <v>0</v>
      </c>
      <c r="AW34" s="694">
        <v>0</v>
      </c>
      <c r="AX34" s="694">
        <v>0</v>
      </c>
      <c r="AY34" s="694">
        <v>0</v>
      </c>
      <c r="AZ34" s="694">
        <v>0</v>
      </c>
      <c r="BA34" s="63">
        <f>AY34+AW34+AU34+AS34+AQ34+AO34+AM34+AK34+AI34+AG34+AE34+AC34</f>
        <v>0</v>
      </c>
      <c r="BB34" s="63">
        <f t="shared" si="67"/>
        <v>0</v>
      </c>
      <c r="BC34" s="63">
        <f t="shared" si="67"/>
        <v>0</v>
      </c>
      <c r="BD34" s="63">
        <f>AE34+AG34+AI34+AK34+AM34+AO34+AQ34+AS34+AU34+AW34+AY34+AC34</f>
        <v>0</v>
      </c>
      <c r="BE34" s="63">
        <f>AD34+AF34+AH34+AJ34+AL34+AN34+AP34+AR34+AT34+AV34+AX34+AZ34</f>
        <v>0</v>
      </c>
      <c r="BF34" s="694">
        <v>0</v>
      </c>
      <c r="BG34" s="694">
        <v>0</v>
      </c>
      <c r="BH34" s="694">
        <v>0</v>
      </c>
      <c r="BI34" s="694"/>
      <c r="BJ34" s="694">
        <v>0</v>
      </c>
      <c r="BK34" s="694">
        <v>0</v>
      </c>
      <c r="BL34" s="694">
        <v>0</v>
      </c>
      <c r="BM34" s="694"/>
      <c r="BN34" s="694">
        <v>0</v>
      </c>
      <c r="BO34" s="694"/>
      <c r="BP34" s="694">
        <v>0</v>
      </c>
      <c r="BQ34" s="694"/>
      <c r="BR34" s="694">
        <v>0</v>
      </c>
      <c r="BS34" s="694"/>
      <c r="BT34" s="694">
        <v>0</v>
      </c>
      <c r="BU34" s="694">
        <v>0</v>
      </c>
      <c r="BV34" s="694">
        <v>0</v>
      </c>
      <c r="BW34" s="694">
        <v>0</v>
      </c>
      <c r="BX34" s="694">
        <v>0</v>
      </c>
      <c r="BY34" s="694">
        <v>0</v>
      </c>
      <c r="BZ34" s="694">
        <v>0</v>
      </c>
      <c r="CA34" s="694">
        <v>0</v>
      </c>
      <c r="CB34" s="694">
        <v>0</v>
      </c>
      <c r="CC34" s="694">
        <v>0</v>
      </c>
      <c r="CD34" s="694">
        <v>0</v>
      </c>
      <c r="CE34" s="779">
        <f>CC34+CA34+BY34+BW34+BU34+BS34+BQ34+BO34+BM34+BK34+BI34+BG34</f>
        <v>0</v>
      </c>
      <c r="CF34" s="802">
        <f t="shared" si="68"/>
        <v>0</v>
      </c>
      <c r="CG34" s="115">
        <f t="shared" si="68"/>
        <v>0</v>
      </c>
      <c r="CH34" s="114">
        <f>CC34+CA34+BY34+BW34+BU34+BS34+BQ34+BO34+BM34+BK34+BI34+BG34</f>
        <v>0</v>
      </c>
      <c r="CI34" s="115">
        <f>+BH34+BJ34+BL34+BN34+BP34+BR34+BT34+BV34+BX34+BZ34+CB34+CD34</f>
        <v>0</v>
      </c>
      <c r="CJ34" s="694">
        <v>0</v>
      </c>
      <c r="CK34" s="694">
        <v>0</v>
      </c>
      <c r="CL34" s="694">
        <v>0</v>
      </c>
      <c r="CM34" s="694">
        <v>0</v>
      </c>
      <c r="CN34" s="694">
        <v>0</v>
      </c>
      <c r="CO34" s="694">
        <v>0</v>
      </c>
      <c r="CP34" s="694">
        <v>0</v>
      </c>
      <c r="CQ34" s="694">
        <v>0</v>
      </c>
      <c r="CR34" s="694">
        <v>0</v>
      </c>
      <c r="CS34" s="694">
        <v>0</v>
      </c>
      <c r="CT34" s="694">
        <v>0</v>
      </c>
      <c r="CU34" s="694">
        <v>0</v>
      </c>
      <c r="CV34" s="777">
        <v>0</v>
      </c>
      <c r="CW34" s="694">
        <v>0</v>
      </c>
      <c r="CX34" s="777">
        <v>0</v>
      </c>
      <c r="CY34" s="694">
        <v>0</v>
      </c>
      <c r="CZ34" s="777">
        <v>0</v>
      </c>
      <c r="DA34" s="694">
        <v>0</v>
      </c>
      <c r="DB34" s="777">
        <v>0</v>
      </c>
      <c r="DC34" s="694">
        <v>0</v>
      </c>
      <c r="DD34" s="777">
        <v>0</v>
      </c>
      <c r="DE34" s="694">
        <v>0</v>
      </c>
      <c r="DF34" s="777">
        <v>0</v>
      </c>
      <c r="DG34" s="694">
        <v>0</v>
      </c>
      <c r="DH34" s="777">
        <v>0</v>
      </c>
      <c r="DI34" s="778">
        <f>DG34+DE34+DC34+CW34+CY34+CU34+CS34+CQ34+CO34+CM34+CK34</f>
        <v>0</v>
      </c>
      <c r="DJ34" s="689">
        <f>CK34+CM34+CO34+CQ34+CS34+CU34+CW34+CY34+DA34+DC34+DG34</f>
        <v>0</v>
      </c>
      <c r="DK34" s="54">
        <f>CL34+CN34+CP34+CR34+CT34+CV34+CX34+CZ34+DB34+DD34+DF34+DH34</f>
        <v>0</v>
      </c>
      <c r="DL34" s="197">
        <f>CK34+CM34+CO34+CQ34+CS34+CU34+CW34+CY34+DA34+DC34+DE34+DG34</f>
        <v>0</v>
      </c>
      <c r="DM34" s="197"/>
      <c r="DN34" s="694"/>
      <c r="DO34" s="691">
        <v>0</v>
      </c>
      <c r="DP34" s="691">
        <v>0</v>
      </c>
      <c r="DQ34" s="691">
        <v>0</v>
      </c>
      <c r="DR34" s="691">
        <v>0</v>
      </c>
      <c r="DS34" s="691">
        <v>0</v>
      </c>
      <c r="DT34" s="691">
        <v>0</v>
      </c>
      <c r="DU34" s="691">
        <v>0</v>
      </c>
      <c r="DV34" s="691">
        <v>0</v>
      </c>
      <c r="DW34" s="690">
        <v>0</v>
      </c>
      <c r="DX34" s="690">
        <v>0</v>
      </c>
      <c r="DY34" s="690">
        <v>0</v>
      </c>
      <c r="DZ34" s="800"/>
      <c r="EA34" s="690"/>
      <c r="EB34" s="788"/>
      <c r="EC34" s="788"/>
      <c r="ED34" s="788"/>
      <c r="EE34" s="788"/>
      <c r="EF34" s="788"/>
      <c r="EG34" s="788"/>
      <c r="EH34" s="788"/>
      <c r="EI34" s="788"/>
      <c r="EJ34" s="788"/>
      <c r="EK34" s="788"/>
      <c r="EL34" s="800"/>
      <c r="EM34" s="700">
        <f>EI34+EG34+EE34+EC34+EA34+DY34+DW34+DU34+DS34+DQ34+DO34+EK34</f>
        <v>0</v>
      </c>
      <c r="EN34" s="271">
        <f>DO34+DQ34+DS34+DU34+DW34</f>
        <v>0</v>
      </c>
      <c r="EO34" s="271">
        <f>DP34+DR34+DT34+DV34+DX34</f>
        <v>0</v>
      </c>
      <c r="EP34" s="684">
        <f>DQ34+DS34+DU34+DW34+DY34+EA34+EC34+EE34+EG34+EI34+EK34</f>
        <v>0</v>
      </c>
      <c r="EQ34" s="694">
        <f t="shared" ref="EQ34" si="73">DR34+DT34+DV34+DX34</f>
        <v>0</v>
      </c>
      <c r="ER34" s="134">
        <f t="shared" si="72"/>
        <v>0</v>
      </c>
      <c r="ES34" s="134">
        <f t="shared" si="5"/>
        <v>0</v>
      </c>
      <c r="ET34" s="847">
        <f t="shared" si="6"/>
        <v>0</v>
      </c>
      <c r="EU34" s="847">
        <f t="shared" si="24"/>
        <v>0</v>
      </c>
      <c r="EV34" s="337">
        <f>IFERROR(+(AA34+BE34+CI34+DM34+EQ34)/G34,0)</f>
        <v>0</v>
      </c>
      <c r="EW34" s="719"/>
      <c r="EX34" s="711"/>
      <c r="EY34" s="718" t="s">
        <v>547</v>
      </c>
      <c r="EZ34" s="710"/>
      <c r="FA34" s="709"/>
      <c r="FB34" s="427"/>
    </row>
    <row r="35" spans="1:160" s="3" customFormat="1" ht="24.95" customHeight="1" x14ac:dyDescent="0.25">
      <c r="A35" s="458"/>
      <c r="B35" s="458"/>
      <c r="C35" s="458"/>
      <c r="D35" s="458"/>
      <c r="E35" s="458"/>
      <c r="F35" s="166" t="s">
        <v>4</v>
      </c>
      <c r="G35" s="55">
        <f>+AA35+BE35+CI35+DM35+EP35</f>
        <v>1485017357</v>
      </c>
      <c r="H35" s="55">
        <v>200998268</v>
      </c>
      <c r="I35" s="55">
        <v>0</v>
      </c>
      <c r="J35" s="55">
        <v>0</v>
      </c>
      <c r="K35" s="55">
        <v>0</v>
      </c>
      <c r="L35" s="55">
        <v>0</v>
      </c>
      <c r="M35" s="55">
        <v>0</v>
      </c>
      <c r="N35" s="55">
        <v>0</v>
      </c>
      <c r="O35" s="55">
        <v>0</v>
      </c>
      <c r="P35" s="55">
        <v>0</v>
      </c>
      <c r="Q35" s="55">
        <v>0</v>
      </c>
      <c r="R35" s="55">
        <v>0</v>
      </c>
      <c r="S35" s="55">
        <v>0</v>
      </c>
      <c r="T35" s="54">
        <v>0</v>
      </c>
      <c r="U35" s="62">
        <v>0</v>
      </c>
      <c r="V35" s="62">
        <v>0</v>
      </c>
      <c r="W35" s="55">
        <v>200998268</v>
      </c>
      <c r="X35" s="55">
        <v>200998268</v>
      </c>
      <c r="Y35" s="54">
        <v>0</v>
      </c>
      <c r="Z35" s="55">
        <v>200998268</v>
      </c>
      <c r="AA35" s="54">
        <v>0</v>
      </c>
      <c r="AB35" s="62">
        <v>131226434</v>
      </c>
      <c r="AC35" s="62">
        <v>69771834</v>
      </c>
      <c r="AD35" s="62">
        <v>69771834</v>
      </c>
      <c r="AE35" s="62">
        <v>42432466</v>
      </c>
      <c r="AF35" s="62">
        <f>112204300-AD35</f>
        <v>42432466</v>
      </c>
      <c r="AG35" s="62">
        <v>19022134</v>
      </c>
      <c r="AH35" s="62">
        <f>131226434-AF35-AD35</f>
        <v>19022134</v>
      </c>
      <c r="AI35" s="62">
        <v>0</v>
      </c>
      <c r="AJ35" s="62">
        <f>131226434-AH35-AF35-AD35</f>
        <v>0</v>
      </c>
      <c r="AK35" s="55">
        <v>0</v>
      </c>
      <c r="AL35" s="55">
        <f>131226434-AJ35-AH35-AF35-AD35</f>
        <v>0</v>
      </c>
      <c r="AM35" s="55">
        <v>0</v>
      </c>
      <c r="AN35" s="55">
        <v>0</v>
      </c>
      <c r="AO35" s="55">
        <v>0</v>
      </c>
      <c r="AP35" s="55">
        <v>0</v>
      </c>
      <c r="AQ35" s="55">
        <v>0</v>
      </c>
      <c r="AR35" s="55">
        <v>0</v>
      </c>
      <c r="AS35" s="55">
        <v>0</v>
      </c>
      <c r="AT35" s="55">
        <v>0</v>
      </c>
      <c r="AU35" s="55">
        <v>0</v>
      </c>
      <c r="AV35" s="55">
        <v>0</v>
      </c>
      <c r="AW35" s="55">
        <v>0</v>
      </c>
      <c r="AX35" s="55">
        <v>0</v>
      </c>
      <c r="AY35" s="55">
        <v>0</v>
      </c>
      <c r="AZ35" s="55">
        <v>0</v>
      </c>
      <c r="BA35" s="54">
        <f>AY35+AW35+AU35+AS35+AQ35+AO35+AM35+AK35+AI35+AG35+AE35+AC35</f>
        <v>131226434</v>
      </c>
      <c r="BB35" s="54">
        <f>AC35+AE35+AG35+AI35+AK35+AM35+AO35+AQ35+AS35+AU35+AW35+AY35</f>
        <v>131226434</v>
      </c>
      <c r="BC35" s="54">
        <v>131226434</v>
      </c>
      <c r="BD35" s="54">
        <f>AE35+AG35+AI35+AK35+AM35+AO35+AQ35+AS35+AU35+AW35+AY35+AC35</f>
        <v>131226434</v>
      </c>
      <c r="BE35" s="54">
        <v>131226434</v>
      </c>
      <c r="BF35" s="55">
        <v>662293058</v>
      </c>
      <c r="BG35" s="55">
        <v>4618400</v>
      </c>
      <c r="BH35" s="55"/>
      <c r="BI35" s="55">
        <v>38557535</v>
      </c>
      <c r="BJ35" s="55">
        <v>24006926</v>
      </c>
      <c r="BK35" s="55">
        <v>36000000</v>
      </c>
      <c r="BL35" s="55">
        <v>0</v>
      </c>
      <c r="BM35" s="55">
        <v>276000000</v>
      </c>
      <c r="BN35" s="55">
        <v>0</v>
      </c>
      <c r="BO35" s="55">
        <v>96000000</v>
      </c>
      <c r="BP35" s="55">
        <v>0</v>
      </c>
      <c r="BQ35" s="55">
        <v>36000000</v>
      </c>
      <c r="BR35" s="55">
        <v>0</v>
      </c>
      <c r="BS35" s="55">
        <v>36000000</v>
      </c>
      <c r="BT35" s="55">
        <v>638286132</v>
      </c>
      <c r="BU35" s="55">
        <v>36000000</v>
      </c>
      <c r="BV35" s="55">
        <v>-7746979</v>
      </c>
      <c r="BW35" s="55">
        <f>36000000-7746981</f>
        <v>28253019</v>
      </c>
      <c r="BX35" s="55">
        <v>-2</v>
      </c>
      <c r="BY35" s="55">
        <v>36000000</v>
      </c>
      <c r="BZ35" s="55">
        <v>0</v>
      </c>
      <c r="CA35" s="55">
        <f>31117123+7746981</f>
        <v>38864104</v>
      </c>
      <c r="CB35" s="55">
        <v>0</v>
      </c>
      <c r="CC35" s="55">
        <v>-7746981</v>
      </c>
      <c r="CD35" s="55">
        <v>0</v>
      </c>
      <c r="CE35" s="55">
        <f>CC35+CA35+BY35+BW35+BU35+BS35+BQ35+BO35+BM35+BK35+BI35+BG35</f>
        <v>654546077</v>
      </c>
      <c r="CF35" s="55">
        <f t="shared" si="68"/>
        <v>654546077</v>
      </c>
      <c r="CG35" s="55">
        <f t="shared" si="68"/>
        <v>654546077</v>
      </c>
      <c r="CH35" s="54">
        <f>CC35+CA35+BY35+BW35+BU35+BS35+BQ35+BO35+BM35+BK35+BI35+BG35</f>
        <v>654546077</v>
      </c>
      <c r="CI35" s="54">
        <f>+BH35+BJ35+BL35+BN35+BP35+BR35+BT35+BV35+BX35+BZ35+CB35+CD35</f>
        <v>654546077</v>
      </c>
      <c r="CJ35" s="55">
        <v>572816343</v>
      </c>
      <c r="CK35" s="55">
        <v>52861022</v>
      </c>
      <c r="CL35" s="55">
        <v>40768728</v>
      </c>
      <c r="CM35" s="55">
        <v>466906594</v>
      </c>
      <c r="CN35" s="55">
        <v>409835790</v>
      </c>
      <c r="CO35" s="55">
        <v>56803299</v>
      </c>
      <c r="CP35" s="55">
        <v>46207001</v>
      </c>
      <c r="CQ35" s="55">
        <f>31524483+-22315650</f>
        <v>9208833</v>
      </c>
      <c r="CR35" s="55">
        <v>0</v>
      </c>
      <c r="CS35" s="55">
        <v>0</v>
      </c>
      <c r="CT35" s="180">
        <v>10896033</v>
      </c>
      <c r="CU35" s="162">
        <v>0</v>
      </c>
      <c r="CV35" s="162">
        <v>1285900</v>
      </c>
      <c r="CW35" s="55">
        <v>0</v>
      </c>
      <c r="CX35" s="162">
        <v>8322000</v>
      </c>
      <c r="CY35" s="55">
        <v>0</v>
      </c>
      <c r="CZ35" s="162">
        <v>6752977</v>
      </c>
      <c r="DA35" s="162">
        <v>-25243665.666666668</v>
      </c>
      <c r="DB35" s="162">
        <v>8071515</v>
      </c>
      <c r="DC35" s="162">
        <f>-25243666-35668578+35668578</f>
        <v>-25243666</v>
      </c>
      <c r="DD35" s="162">
        <f>-35246362+35246362</f>
        <v>0</v>
      </c>
      <c r="DE35" s="162">
        <v>-25243665.666666668</v>
      </c>
      <c r="DF35" s="162">
        <v>0</v>
      </c>
      <c r="DG35" s="162">
        <f>40451942-422215-1</f>
        <v>40029726</v>
      </c>
      <c r="DH35" s="162">
        <v>17938533</v>
      </c>
      <c r="DI35" s="54">
        <f>DG35+DE35+DC35+DA35+CY35+CW35+CU35+CM35+CS35+CO35+CQ35+CK35</f>
        <v>550078476.66666675</v>
      </c>
      <c r="DJ35" s="54">
        <f>CK35+CM35+CO35+CQ35+CS35+CU35+CW35+CY35+DA35+DC35+DE35+DG35</f>
        <v>550078476.66666675</v>
      </c>
      <c r="DK35" s="54">
        <f>CL35+CN35+CP35+CR35+CT35+CV35+CX35+CZ35+DB35+DD35+DF35+DH35</f>
        <v>550078477</v>
      </c>
      <c r="DL35" s="54">
        <f>CM35+CO35+CQ35+CS35+CU35+CW35+CY35+DA35+DC35+DE35+DG35+CK35</f>
        <v>550078476.66666663</v>
      </c>
      <c r="DM35" s="54">
        <f>DK35</f>
        <v>550078477</v>
      </c>
      <c r="DN35" s="55">
        <f>DO35+DQ35+DS35+DU35+DW35+DY35+EA35</f>
        <v>149166369</v>
      </c>
      <c r="DO35" s="180">
        <v>53187134</v>
      </c>
      <c r="DP35" s="180">
        <v>53187134</v>
      </c>
      <c r="DQ35" s="180">
        <v>45246033</v>
      </c>
      <c r="DR35" s="180">
        <v>45142665</v>
      </c>
      <c r="DS35" s="180">
        <v>0</v>
      </c>
      <c r="DT35" s="180">
        <v>1184867</v>
      </c>
      <c r="DU35" s="180">
        <v>0</v>
      </c>
      <c r="DV35" s="180">
        <v>5078000</v>
      </c>
      <c r="DW35" s="162">
        <v>0</v>
      </c>
      <c r="DX35" s="265">
        <v>71469</v>
      </c>
      <c r="DY35" s="162">
        <v>0</v>
      </c>
      <c r="DZ35" s="48"/>
      <c r="EA35" s="162">
        <v>50733202</v>
      </c>
      <c r="EB35" s="282"/>
      <c r="EC35" s="282"/>
      <c r="ED35" s="282"/>
      <c r="EE35" s="282"/>
      <c r="EF35" s="282"/>
      <c r="EG35" s="282"/>
      <c r="EH35" s="282"/>
      <c r="EI35" s="282"/>
      <c r="EJ35" s="282"/>
      <c r="EK35" s="282"/>
      <c r="EL35" s="48"/>
      <c r="EM35" s="61">
        <f>EK35+EI35+EG35+EE35+EC35+EA35+DY35+DW35+DU35+DS35+DQ35+DO35</f>
        <v>149166369</v>
      </c>
      <c r="EN35" s="183">
        <f>DO35+DQ35+DS35+DU35+DW35</f>
        <v>98433167</v>
      </c>
      <c r="EO35" s="183">
        <f>DP35+DR35+DT35+DV35+DX35</f>
        <v>104664135</v>
      </c>
      <c r="EP35" s="54">
        <f>DQ35+DS35+DU35+DW35+DY35+EA35+EC35+EE35+EG35+EI35+EK35+DO35</f>
        <v>149166369</v>
      </c>
      <c r="EQ35" s="61">
        <f>DP35+DR35+DT35+DV35+DX35</f>
        <v>104664135</v>
      </c>
      <c r="ER35" s="134">
        <f t="shared" si="72"/>
        <v>0</v>
      </c>
      <c r="ES35" s="134">
        <f>IFERROR(EO35/EN35,0)</f>
        <v>1.0633015089314357</v>
      </c>
      <c r="ET35" s="847">
        <f t="shared" si="6"/>
        <v>0.70166040577149125</v>
      </c>
      <c r="EU35" s="847">
        <f t="shared" si="24"/>
        <v>0.88089684266950163</v>
      </c>
      <c r="EV35" s="337">
        <f t="shared" si="7"/>
        <v>0.97003251592297723</v>
      </c>
      <c r="EW35" s="719"/>
      <c r="EX35" s="711"/>
      <c r="EY35" s="718" t="s">
        <v>547</v>
      </c>
      <c r="EZ35" s="710"/>
      <c r="FA35" s="709"/>
      <c r="FB35" s="427"/>
      <c r="FD35" s="332"/>
    </row>
    <row r="36" spans="1:160" s="3" customFormat="1" ht="24.95" customHeight="1" thickBot="1" x14ac:dyDescent="0.3">
      <c r="A36" s="458"/>
      <c r="B36" s="458"/>
      <c r="C36" s="458"/>
      <c r="D36" s="458"/>
      <c r="E36" s="458"/>
      <c r="F36" s="165" t="s">
        <v>42</v>
      </c>
      <c r="G36" s="835">
        <f>+G31+G34</f>
        <v>4700</v>
      </c>
      <c r="H36" s="143">
        <f t="shared" ref="H36:AA36" si="74">+H31+H34</f>
        <v>491</v>
      </c>
      <c r="I36" s="143">
        <f t="shared" si="74"/>
        <v>0</v>
      </c>
      <c r="J36" s="143">
        <f t="shared" si="74"/>
        <v>0</v>
      </c>
      <c r="K36" s="143">
        <f t="shared" si="74"/>
        <v>0</v>
      </c>
      <c r="L36" s="143">
        <f t="shared" si="74"/>
        <v>0</v>
      </c>
      <c r="M36" s="143">
        <f t="shared" si="74"/>
        <v>0</v>
      </c>
      <c r="N36" s="143">
        <f t="shared" si="74"/>
        <v>0</v>
      </c>
      <c r="O36" s="143">
        <f t="shared" si="74"/>
        <v>0</v>
      </c>
      <c r="P36" s="143">
        <f t="shared" si="74"/>
        <v>0</v>
      </c>
      <c r="Q36" s="143">
        <f t="shared" si="74"/>
        <v>0</v>
      </c>
      <c r="R36" s="143">
        <f t="shared" si="74"/>
        <v>0</v>
      </c>
      <c r="S36" s="143">
        <f t="shared" si="74"/>
        <v>0</v>
      </c>
      <c r="T36" s="143">
        <f t="shared" si="74"/>
        <v>0</v>
      </c>
      <c r="U36" s="143">
        <f t="shared" si="74"/>
        <v>0</v>
      </c>
      <c r="V36" s="143">
        <f t="shared" si="74"/>
        <v>0</v>
      </c>
      <c r="W36" s="143">
        <f t="shared" si="74"/>
        <v>491</v>
      </c>
      <c r="X36" s="143">
        <f t="shared" si="74"/>
        <v>491</v>
      </c>
      <c r="Y36" s="143">
        <f t="shared" si="74"/>
        <v>491</v>
      </c>
      <c r="Z36" s="143">
        <f t="shared" si="74"/>
        <v>491</v>
      </c>
      <c r="AA36" s="293">
        <f t="shared" si="74"/>
        <v>491</v>
      </c>
      <c r="AB36" s="787">
        <f t="shared" ref="AB36:AZ36" si="75">+AB31+AB34</f>
        <v>893</v>
      </c>
      <c r="AC36" s="143">
        <f t="shared" si="75"/>
        <v>15</v>
      </c>
      <c r="AD36" s="143">
        <f t="shared" si="75"/>
        <v>36</v>
      </c>
      <c r="AE36" s="143">
        <f t="shared" si="75"/>
        <v>18</v>
      </c>
      <c r="AF36" s="143">
        <f t="shared" si="75"/>
        <v>16</v>
      </c>
      <c r="AG36" s="143">
        <f t="shared" si="75"/>
        <v>90</v>
      </c>
      <c r="AH36" s="143">
        <f t="shared" si="75"/>
        <v>104</v>
      </c>
      <c r="AI36" s="143">
        <f t="shared" si="75"/>
        <v>97</v>
      </c>
      <c r="AJ36" s="143">
        <f t="shared" si="75"/>
        <v>116</v>
      </c>
      <c r="AK36" s="143">
        <f t="shared" si="75"/>
        <v>97</v>
      </c>
      <c r="AL36" s="143">
        <f>+AL31+AL34</f>
        <v>76</v>
      </c>
      <c r="AM36" s="143">
        <f t="shared" si="75"/>
        <v>97</v>
      </c>
      <c r="AN36" s="143">
        <f>+AN31+AN34</f>
        <v>115</v>
      </c>
      <c r="AO36" s="143">
        <f t="shared" si="75"/>
        <v>97</v>
      </c>
      <c r="AP36" s="143">
        <f t="shared" si="75"/>
        <v>96</v>
      </c>
      <c r="AQ36" s="143">
        <f t="shared" si="75"/>
        <v>97</v>
      </c>
      <c r="AR36" s="143">
        <f t="shared" si="75"/>
        <v>102</v>
      </c>
      <c r="AS36" s="143">
        <f t="shared" si="75"/>
        <v>97</v>
      </c>
      <c r="AT36" s="143">
        <f t="shared" si="75"/>
        <v>96</v>
      </c>
      <c r="AU36" s="143">
        <f t="shared" si="75"/>
        <v>97</v>
      </c>
      <c r="AV36" s="143">
        <f>+AV31+AV34</f>
        <v>69</v>
      </c>
      <c r="AW36" s="143">
        <f t="shared" si="75"/>
        <v>91</v>
      </c>
      <c r="AX36" s="143">
        <f>+AX31+AX34</f>
        <v>65</v>
      </c>
      <c r="AY36" s="143">
        <f t="shared" si="75"/>
        <v>4</v>
      </c>
      <c r="AZ36" s="143">
        <f t="shared" si="75"/>
        <v>6</v>
      </c>
      <c r="BA36" s="143">
        <f t="shared" ref="BA36:BE37" si="76">+BA31+BA34</f>
        <v>897</v>
      </c>
      <c r="BB36" s="787">
        <f t="shared" si="76"/>
        <v>897</v>
      </c>
      <c r="BC36" s="787">
        <f t="shared" si="76"/>
        <v>897</v>
      </c>
      <c r="BD36" s="787">
        <f t="shared" si="76"/>
        <v>897</v>
      </c>
      <c r="BE36" s="776">
        <f t="shared" si="76"/>
        <v>897</v>
      </c>
      <c r="BF36" s="787">
        <f t="shared" ref="BF36:DH37" si="77">+BF31+BF34</f>
        <v>1272</v>
      </c>
      <c r="BG36" s="787">
        <f t="shared" si="77"/>
        <v>0</v>
      </c>
      <c r="BH36" s="787">
        <f t="shared" si="77"/>
        <v>11</v>
      </c>
      <c r="BI36" s="787">
        <f t="shared" si="77"/>
        <v>102</v>
      </c>
      <c r="BJ36" s="787">
        <f>+BJ31+BJ34</f>
        <v>129</v>
      </c>
      <c r="BK36" s="787">
        <f t="shared" si="77"/>
        <v>130</v>
      </c>
      <c r="BL36" s="787">
        <f t="shared" si="77"/>
        <v>109</v>
      </c>
      <c r="BM36" s="787">
        <f t="shared" si="77"/>
        <v>130</v>
      </c>
      <c r="BN36" s="787">
        <f t="shared" si="77"/>
        <v>115</v>
      </c>
      <c r="BO36" s="787">
        <f t="shared" si="77"/>
        <v>130</v>
      </c>
      <c r="BP36" s="787">
        <f t="shared" si="77"/>
        <v>194</v>
      </c>
      <c r="BQ36" s="787">
        <f t="shared" si="77"/>
        <v>130</v>
      </c>
      <c r="BR36" s="787">
        <f t="shared" si="77"/>
        <v>127</v>
      </c>
      <c r="BS36" s="787">
        <f t="shared" si="77"/>
        <v>130</v>
      </c>
      <c r="BT36" s="787">
        <f t="shared" si="77"/>
        <v>138</v>
      </c>
      <c r="BU36" s="787">
        <f t="shared" si="77"/>
        <v>130</v>
      </c>
      <c r="BV36" s="787">
        <f t="shared" si="77"/>
        <v>117</v>
      </c>
      <c r="BW36" s="787">
        <f t="shared" si="77"/>
        <v>130</v>
      </c>
      <c r="BX36" s="787">
        <f t="shared" si="77"/>
        <v>142</v>
      </c>
      <c r="BY36" s="787">
        <f t="shared" si="77"/>
        <v>130</v>
      </c>
      <c r="BZ36" s="787">
        <f t="shared" si="77"/>
        <v>121</v>
      </c>
      <c r="CA36" s="787">
        <f t="shared" si="77"/>
        <v>130</v>
      </c>
      <c r="CB36" s="787">
        <f t="shared" si="77"/>
        <v>137</v>
      </c>
      <c r="CC36" s="787">
        <f t="shared" si="77"/>
        <v>146</v>
      </c>
      <c r="CD36" s="787">
        <f t="shared" si="77"/>
        <v>78</v>
      </c>
      <c r="CE36" s="787">
        <f t="shared" si="77"/>
        <v>1418</v>
      </c>
      <c r="CF36" s="787">
        <f t="shared" si="77"/>
        <v>1418</v>
      </c>
      <c r="CG36" s="787">
        <f t="shared" si="77"/>
        <v>1418</v>
      </c>
      <c r="CH36" s="787">
        <f t="shared" si="77"/>
        <v>1418</v>
      </c>
      <c r="CI36" s="835">
        <f>+CI31+CI34</f>
        <v>1418</v>
      </c>
      <c r="CJ36" s="825">
        <f t="shared" si="77"/>
        <v>1585</v>
      </c>
      <c r="CK36" s="825">
        <f t="shared" si="77"/>
        <v>62</v>
      </c>
      <c r="CL36" s="825">
        <f>+CL31+CL34</f>
        <v>62</v>
      </c>
      <c r="CM36" s="825">
        <f t="shared" si="77"/>
        <v>77</v>
      </c>
      <c r="CN36" s="825">
        <f t="shared" si="77"/>
        <v>77</v>
      </c>
      <c r="CO36" s="825">
        <f t="shared" si="77"/>
        <v>102</v>
      </c>
      <c r="CP36" s="825">
        <f>+CP31+CP34</f>
        <v>102</v>
      </c>
      <c r="CQ36" s="825">
        <f>+CQ31+CQ34</f>
        <v>168</v>
      </c>
      <c r="CR36" s="825">
        <f t="shared" si="77"/>
        <v>120</v>
      </c>
      <c r="CS36" s="825">
        <f t="shared" si="77"/>
        <v>168</v>
      </c>
      <c r="CT36" s="839">
        <f>CT31+CT34</f>
        <v>139</v>
      </c>
      <c r="CU36" s="825">
        <f>+CU31+CU34</f>
        <v>168</v>
      </c>
      <c r="CV36" s="825">
        <f>+CV31+CV34</f>
        <v>131</v>
      </c>
      <c r="CW36" s="825">
        <f t="shared" si="77"/>
        <v>168</v>
      </c>
      <c r="CX36" s="844">
        <f t="shared" si="77"/>
        <v>143</v>
      </c>
      <c r="CY36" s="825">
        <f t="shared" si="77"/>
        <v>168</v>
      </c>
      <c r="CZ36" s="825">
        <f>+CZ31+CZ34</f>
        <v>167</v>
      </c>
      <c r="DA36" s="825">
        <f t="shared" si="77"/>
        <v>168</v>
      </c>
      <c r="DB36" s="844">
        <f t="shared" si="77"/>
        <v>117</v>
      </c>
      <c r="DC36" s="825">
        <f t="shared" si="77"/>
        <v>168</v>
      </c>
      <c r="DD36" s="844">
        <f>DD31+DD34</f>
        <v>167</v>
      </c>
      <c r="DE36" s="825">
        <f t="shared" si="77"/>
        <v>96</v>
      </c>
      <c r="DF36" s="844">
        <f t="shared" si="77"/>
        <v>143</v>
      </c>
      <c r="DG36" s="822">
        <f>+DG31+DG34</f>
        <v>72</v>
      </c>
      <c r="DH36" s="848">
        <f t="shared" si="77"/>
        <v>113</v>
      </c>
      <c r="DI36" s="787">
        <f>DI31+DI34</f>
        <v>1585</v>
      </c>
      <c r="DJ36" s="683">
        <f>+DJ31+DJ34</f>
        <v>1585</v>
      </c>
      <c r="DK36" s="787">
        <f>+DK31+DK34</f>
        <v>1481</v>
      </c>
      <c r="DL36" s="787">
        <f>DL31+DL34</f>
        <v>1585</v>
      </c>
      <c r="DM36" s="776">
        <f>DM31+DM34</f>
        <v>1481</v>
      </c>
      <c r="DN36" s="776">
        <f t="shared" ref="DN36:DQ37" si="78">+DN31+DN34</f>
        <v>413</v>
      </c>
      <c r="DO36" s="325">
        <f t="shared" si="78"/>
        <v>19</v>
      </c>
      <c r="DP36" s="325">
        <f t="shared" si="78"/>
        <v>19</v>
      </c>
      <c r="DQ36" s="325">
        <f t="shared" si="78"/>
        <v>50</v>
      </c>
      <c r="DR36" s="787">
        <f t="shared" ref="DR36:DW36" si="79">+DR31+DR34</f>
        <v>11</v>
      </c>
      <c r="DS36" s="325">
        <f t="shared" si="79"/>
        <v>55</v>
      </c>
      <c r="DT36" s="325">
        <f t="shared" si="79"/>
        <v>51</v>
      </c>
      <c r="DU36" s="325">
        <f t="shared" si="79"/>
        <v>84</v>
      </c>
      <c r="DV36" s="325">
        <f t="shared" si="79"/>
        <v>41</v>
      </c>
      <c r="DW36" s="268">
        <f t="shared" si="79"/>
        <v>188</v>
      </c>
      <c r="DX36" s="268">
        <f t="shared" ref="DX36" si="80">+DX31+DX34</f>
        <v>132</v>
      </c>
      <c r="DY36" s="268">
        <f>+DY31+DY34</f>
        <v>17</v>
      </c>
      <c r="DZ36" s="827"/>
      <c r="EA36" s="268"/>
      <c r="EB36" s="867"/>
      <c r="EC36" s="867"/>
      <c r="ED36" s="867"/>
      <c r="EE36" s="867"/>
      <c r="EF36" s="867"/>
      <c r="EG36" s="867"/>
      <c r="EH36" s="867"/>
      <c r="EI36" s="867"/>
      <c r="EJ36" s="867"/>
      <c r="EK36" s="867"/>
      <c r="EL36" s="827"/>
      <c r="EM36" s="787">
        <f>EI36+EG36+EE36+EC36+EA36+DY36+DW36+DU36+DS36+DQ36+DO36+EK36</f>
        <v>413</v>
      </c>
      <c r="EN36" s="368">
        <f>DO36+DQ36+DS36+DU36+DW36</f>
        <v>396</v>
      </c>
      <c r="EO36" s="787">
        <f>DP36+DR36+DT36+DV36+DX36</f>
        <v>254</v>
      </c>
      <c r="EP36" s="787">
        <f>DQ36+DS36+DU36+DW36+DY36+EA36+EC36+EE36+EG36+EI36+EK36+DO36</f>
        <v>413</v>
      </c>
      <c r="EQ36" s="700">
        <f>DR36+DT36+DV36+DX36+DP36</f>
        <v>254</v>
      </c>
      <c r="ER36" s="134">
        <f t="shared" si="72"/>
        <v>0.7021276595744681</v>
      </c>
      <c r="ES36" s="259">
        <f t="shared" si="5"/>
        <v>0.64141414141414144</v>
      </c>
      <c r="ET36" s="870">
        <f t="shared" si="6"/>
        <v>0.61501210653753025</v>
      </c>
      <c r="EU36" s="870">
        <f t="shared" si="24"/>
        <v>0.94861082097346983</v>
      </c>
      <c r="EV36" s="338">
        <f t="shared" si="7"/>
        <v>0.96617021276595749</v>
      </c>
      <c r="EW36" s="719"/>
      <c r="EX36" s="711"/>
      <c r="EY36" s="718" t="s">
        <v>547</v>
      </c>
      <c r="EZ36" s="710"/>
      <c r="FA36" s="709"/>
      <c r="FB36" s="427"/>
    </row>
    <row r="37" spans="1:160" s="24" customFormat="1" ht="24.95" customHeight="1" thickBot="1" x14ac:dyDescent="0.3">
      <c r="A37" s="458"/>
      <c r="B37" s="458"/>
      <c r="C37" s="458"/>
      <c r="D37" s="458"/>
      <c r="E37" s="458"/>
      <c r="F37" s="166" t="s">
        <v>44</v>
      </c>
      <c r="G37" s="135">
        <f>+G32+G35</f>
        <v>8440737069</v>
      </c>
      <c r="H37" s="136">
        <f t="shared" ref="H37:AA37" si="81">+H32+H35</f>
        <v>822052399</v>
      </c>
      <c r="I37" s="136">
        <f t="shared" si="81"/>
        <v>0</v>
      </c>
      <c r="J37" s="136">
        <f t="shared" si="81"/>
        <v>0</v>
      </c>
      <c r="K37" s="136">
        <f t="shared" si="81"/>
        <v>0</v>
      </c>
      <c r="L37" s="136">
        <f t="shared" si="81"/>
        <v>0</v>
      </c>
      <c r="M37" s="136">
        <f t="shared" si="81"/>
        <v>0</v>
      </c>
      <c r="N37" s="136">
        <f t="shared" si="81"/>
        <v>0</v>
      </c>
      <c r="O37" s="136">
        <f t="shared" si="81"/>
        <v>0</v>
      </c>
      <c r="P37" s="136">
        <f t="shared" si="81"/>
        <v>0</v>
      </c>
      <c r="Q37" s="136">
        <f t="shared" si="81"/>
        <v>0</v>
      </c>
      <c r="R37" s="136">
        <f t="shared" si="81"/>
        <v>0</v>
      </c>
      <c r="S37" s="136">
        <f t="shared" si="81"/>
        <v>0</v>
      </c>
      <c r="T37" s="136">
        <f t="shared" si="81"/>
        <v>0</v>
      </c>
      <c r="U37" s="136">
        <f t="shared" si="81"/>
        <v>0</v>
      </c>
      <c r="V37" s="136">
        <f t="shared" si="81"/>
        <v>0</v>
      </c>
      <c r="W37" s="136">
        <f t="shared" si="81"/>
        <v>822052399</v>
      </c>
      <c r="X37" s="136">
        <f t="shared" si="81"/>
        <v>822052399</v>
      </c>
      <c r="Y37" s="136">
        <f t="shared" si="81"/>
        <v>535986131</v>
      </c>
      <c r="Z37" s="136">
        <f t="shared" si="81"/>
        <v>757052399</v>
      </c>
      <c r="AA37" s="136">
        <f t="shared" si="81"/>
        <v>535986131</v>
      </c>
      <c r="AB37" s="141">
        <f t="shared" ref="AB37:AZ37" si="82">+AB32+AB35</f>
        <v>1611707434</v>
      </c>
      <c r="AC37" s="136">
        <f t="shared" si="82"/>
        <v>69771834</v>
      </c>
      <c r="AD37" s="136">
        <f t="shared" si="82"/>
        <v>69771834</v>
      </c>
      <c r="AE37" s="136">
        <f t="shared" si="82"/>
        <v>782719466</v>
      </c>
      <c r="AF37" s="136">
        <f t="shared" si="82"/>
        <v>782719466</v>
      </c>
      <c r="AG37" s="136">
        <f t="shared" si="82"/>
        <v>280310134</v>
      </c>
      <c r="AH37" s="136">
        <f t="shared" si="82"/>
        <v>280310134</v>
      </c>
      <c r="AI37" s="136">
        <f t="shared" si="82"/>
        <v>0</v>
      </c>
      <c r="AJ37" s="136">
        <f t="shared" si="82"/>
        <v>0</v>
      </c>
      <c r="AK37" s="136">
        <f t="shared" si="82"/>
        <v>0</v>
      </c>
      <c r="AL37" s="136">
        <f>+AL32+AL35</f>
        <v>0</v>
      </c>
      <c r="AM37" s="136">
        <f t="shared" si="82"/>
        <v>150666666.66666666</v>
      </c>
      <c r="AN37" s="136">
        <f>+AN32+AN35</f>
        <v>150000000</v>
      </c>
      <c r="AO37" s="136">
        <f t="shared" si="82"/>
        <v>0</v>
      </c>
      <c r="AP37" s="136">
        <f t="shared" si="82"/>
        <v>0</v>
      </c>
      <c r="AQ37" s="136">
        <f t="shared" si="82"/>
        <v>156047866.66666701</v>
      </c>
      <c r="AR37" s="136">
        <f t="shared" si="82"/>
        <v>0</v>
      </c>
      <c r="AS37" s="136">
        <f t="shared" si="82"/>
        <v>263047866.66666701</v>
      </c>
      <c r="AT37" s="136">
        <f t="shared" si="82"/>
        <v>0</v>
      </c>
      <c r="AU37" s="136">
        <f t="shared" si="82"/>
        <v>5381200</v>
      </c>
      <c r="AV37" s="136">
        <f>+AV32+AV35</f>
        <v>12393667</v>
      </c>
      <c r="AW37" s="136">
        <f t="shared" si="82"/>
        <v>5381200</v>
      </c>
      <c r="AX37" s="136">
        <f>+AX32+AX35</f>
        <v>355319167</v>
      </c>
      <c r="AY37" s="136">
        <f t="shared" si="82"/>
        <v>5381200</v>
      </c>
      <c r="AZ37" s="136">
        <f t="shared" si="82"/>
        <v>67733833</v>
      </c>
      <c r="BA37" s="137">
        <f t="shared" si="76"/>
        <v>1718707434.0000005</v>
      </c>
      <c r="BB37" s="142">
        <f t="shared" si="76"/>
        <v>1718707434.0000007</v>
      </c>
      <c r="BC37" s="142">
        <f t="shared" si="76"/>
        <v>1718248101</v>
      </c>
      <c r="BD37" s="142">
        <f t="shared" si="76"/>
        <v>1718707434.0000007</v>
      </c>
      <c r="BE37" s="142">
        <f t="shared" si="76"/>
        <v>1718248101</v>
      </c>
      <c r="BF37" s="142">
        <f t="shared" ref="BF37:CI37" si="83">+BF32+BF35</f>
        <v>2279351058</v>
      </c>
      <c r="BG37" s="142">
        <f t="shared" si="83"/>
        <v>1105348400</v>
      </c>
      <c r="BH37" s="142">
        <f t="shared" si="83"/>
        <v>1097940000</v>
      </c>
      <c r="BI37" s="142">
        <f t="shared" si="83"/>
        <v>38557535</v>
      </c>
      <c r="BJ37" s="142">
        <f>+BJ32+BJ35</f>
        <v>24006926</v>
      </c>
      <c r="BK37" s="142">
        <f t="shared" si="83"/>
        <v>172319000</v>
      </c>
      <c r="BL37" s="142">
        <f t="shared" si="83"/>
        <v>0</v>
      </c>
      <c r="BM37" s="142">
        <f t="shared" si="83"/>
        <v>616009000</v>
      </c>
      <c r="BN37" s="142">
        <f t="shared" si="83"/>
        <v>0</v>
      </c>
      <c r="BO37" s="142">
        <f t="shared" si="83"/>
        <v>96000000</v>
      </c>
      <c r="BP37" s="142">
        <f t="shared" si="83"/>
        <v>0</v>
      </c>
      <c r="BQ37" s="142">
        <f t="shared" si="83"/>
        <v>76000000</v>
      </c>
      <c r="BR37" s="142">
        <f t="shared" si="83"/>
        <v>0</v>
      </c>
      <c r="BS37" s="142">
        <f t="shared" si="83"/>
        <v>36000000</v>
      </c>
      <c r="BT37" s="142">
        <f t="shared" si="83"/>
        <v>638286132</v>
      </c>
      <c r="BU37" s="142">
        <f t="shared" si="83"/>
        <v>36000000</v>
      </c>
      <c r="BV37" s="142">
        <f t="shared" si="83"/>
        <v>-7746979</v>
      </c>
      <c r="BW37" s="142">
        <f t="shared" si="83"/>
        <v>309348119</v>
      </c>
      <c r="BX37" s="142">
        <f t="shared" si="83"/>
        <v>39999998</v>
      </c>
      <c r="BY37" s="142">
        <f t="shared" si="83"/>
        <v>88969000</v>
      </c>
      <c r="BZ37" s="142">
        <f t="shared" si="83"/>
        <v>547998200</v>
      </c>
      <c r="CA37" s="142">
        <f t="shared" si="83"/>
        <v>38864104</v>
      </c>
      <c r="CB37" s="142">
        <f t="shared" si="83"/>
        <v>86093500</v>
      </c>
      <c r="CC37" s="142">
        <f t="shared" si="83"/>
        <v>-50496981</v>
      </c>
      <c r="CD37" s="142">
        <f t="shared" si="83"/>
        <v>85861748</v>
      </c>
      <c r="CE37" s="142">
        <f t="shared" si="83"/>
        <v>2562918177</v>
      </c>
      <c r="CF37" s="142">
        <f t="shared" si="83"/>
        <v>2562918177</v>
      </c>
      <c r="CG37" s="142">
        <f t="shared" si="83"/>
        <v>2512439525</v>
      </c>
      <c r="CH37" s="142">
        <f t="shared" si="83"/>
        <v>2562918177</v>
      </c>
      <c r="CI37" s="142">
        <f t="shared" si="83"/>
        <v>2512439525</v>
      </c>
      <c r="CJ37" s="137">
        <f t="shared" si="77"/>
        <v>1816187343</v>
      </c>
      <c r="CK37" s="137">
        <f t="shared" si="77"/>
        <v>-2910478</v>
      </c>
      <c r="CL37" s="137">
        <f t="shared" si="77"/>
        <v>40768728</v>
      </c>
      <c r="CM37" s="137">
        <f t="shared" si="77"/>
        <v>592180139</v>
      </c>
      <c r="CN37" s="137">
        <f t="shared" si="77"/>
        <v>909539290</v>
      </c>
      <c r="CO37" s="137">
        <f t="shared" si="77"/>
        <v>182076844</v>
      </c>
      <c r="CP37" s="137">
        <f>+CP32+CP35</f>
        <v>504056001</v>
      </c>
      <c r="CQ37" s="137">
        <f>+CQ32+CR35</f>
        <v>125273545</v>
      </c>
      <c r="CR37" s="137">
        <f t="shared" si="77"/>
        <v>76138500</v>
      </c>
      <c r="CS37" s="137">
        <f t="shared" si="77"/>
        <v>125273545</v>
      </c>
      <c r="CT37" s="182">
        <f t="shared" si="77"/>
        <v>34976033</v>
      </c>
      <c r="CU37" s="137">
        <f t="shared" si="77"/>
        <v>205273545</v>
      </c>
      <c r="CV37" s="137">
        <f t="shared" si="77"/>
        <v>-23195434</v>
      </c>
      <c r="CW37" s="137">
        <f t="shared" si="77"/>
        <v>101286711</v>
      </c>
      <c r="CX37" s="237">
        <f t="shared" si="77"/>
        <v>41432000</v>
      </c>
      <c r="CY37" s="137">
        <f t="shared" si="77"/>
        <v>125273545</v>
      </c>
      <c r="CZ37" s="137">
        <f>+CZ32+CZ35</f>
        <v>6752977</v>
      </c>
      <c r="DA37" s="137">
        <f t="shared" si="77"/>
        <v>112375879.33333333</v>
      </c>
      <c r="DB37" s="137">
        <f t="shared" si="77"/>
        <v>8071515</v>
      </c>
      <c r="DC37" s="137">
        <f t="shared" si="77"/>
        <v>158970312</v>
      </c>
      <c r="DD37" s="137">
        <f t="shared" si="77"/>
        <v>0</v>
      </c>
      <c r="DE37" s="137">
        <f t="shared" si="77"/>
        <v>-21530620.666666668</v>
      </c>
      <c r="DF37" s="137">
        <f t="shared" si="77"/>
        <v>62319500</v>
      </c>
      <c r="DG37" s="137">
        <f t="shared" si="77"/>
        <v>61313376</v>
      </c>
      <c r="DH37" s="137">
        <f t="shared" si="77"/>
        <v>111237833</v>
      </c>
      <c r="DI37" s="137">
        <f>DI32+DI35</f>
        <v>1774065175.6666667</v>
      </c>
      <c r="DJ37" s="142">
        <f>DJ32+DJ35</f>
        <v>1774065175.6666667</v>
      </c>
      <c r="DK37" s="142">
        <f>DK32+DK35</f>
        <v>1772096943</v>
      </c>
      <c r="DL37" s="137">
        <f>DL32+DL35</f>
        <v>1774065175.6666665</v>
      </c>
      <c r="DM37" s="142">
        <f>DM32+DM35</f>
        <v>1772096943</v>
      </c>
      <c r="DN37" s="142">
        <f t="shared" si="78"/>
        <v>1901966369</v>
      </c>
      <c r="DO37" s="182">
        <f t="shared" si="78"/>
        <v>167825134</v>
      </c>
      <c r="DP37" s="182">
        <f t="shared" si="78"/>
        <v>167825134</v>
      </c>
      <c r="DQ37" s="182">
        <f t="shared" si="78"/>
        <v>474380033</v>
      </c>
      <c r="DR37" s="182">
        <f t="shared" ref="DR37" si="84">+DR32+DR35</f>
        <v>397486665</v>
      </c>
      <c r="DS37" s="182">
        <f t="shared" ref="DS37:DX37" si="85">+DS32+DS35</f>
        <v>180159600</v>
      </c>
      <c r="DT37" s="182">
        <f t="shared" si="85"/>
        <v>65184867</v>
      </c>
      <c r="DU37" s="182">
        <f t="shared" si="85"/>
        <v>231321563</v>
      </c>
      <c r="DV37" s="182">
        <f t="shared" si="85"/>
        <v>68710000</v>
      </c>
      <c r="DW37" s="236">
        <f t="shared" si="85"/>
        <v>213897541</v>
      </c>
      <c r="DX37" s="236">
        <f t="shared" si="85"/>
        <v>274777469</v>
      </c>
      <c r="DY37" s="236">
        <f>+DY32+DY35</f>
        <v>302257000</v>
      </c>
      <c r="DZ37" s="146"/>
      <c r="EA37" s="283"/>
      <c r="EB37" s="283"/>
      <c r="EC37" s="283"/>
      <c r="ED37" s="283"/>
      <c r="EE37" s="283"/>
      <c r="EF37" s="283"/>
      <c r="EG37" s="283"/>
      <c r="EH37" s="283"/>
      <c r="EI37" s="283"/>
      <c r="EJ37" s="283"/>
      <c r="EK37" s="283"/>
      <c r="EL37" s="146"/>
      <c r="EM37" s="272">
        <f>EM32+EM35</f>
        <v>1901966369</v>
      </c>
      <c r="EN37" s="182">
        <f>+EN32+EN35</f>
        <v>1267583871</v>
      </c>
      <c r="EO37" s="273">
        <f>EO32+EO35</f>
        <v>973984135</v>
      </c>
      <c r="EP37" s="182">
        <f>+EP32+EP35</f>
        <v>1901966369</v>
      </c>
      <c r="EQ37" s="182">
        <f>EQ32+EQ35</f>
        <v>973984135</v>
      </c>
      <c r="ER37" s="260">
        <f>IFERROR(DX37/DW37,0)</f>
        <v>1.2846219162472747</v>
      </c>
      <c r="ES37" s="260">
        <f>IFERROR(EO37/EN37,0)</f>
        <v>0.76837845390981629</v>
      </c>
      <c r="ET37" s="845">
        <f>IFERROR(EQ37/EP37,0)</f>
        <v>0.51209324774343579</v>
      </c>
      <c r="EU37" s="845">
        <f>IFERROR((AA37+BE37+CI37+DM37+EO37)/(Z37+BD37+CH37+DL37+EN37),0)</f>
        <v>0.9297587563366766</v>
      </c>
      <c r="EV37" s="846">
        <f t="shared" si="7"/>
        <v>0.89005909952956974</v>
      </c>
      <c r="EW37" s="719"/>
      <c r="EX37" s="711"/>
      <c r="EY37" s="718" t="s">
        <v>547</v>
      </c>
      <c r="EZ37" s="710"/>
      <c r="FA37" s="709"/>
      <c r="FB37" s="427"/>
    </row>
    <row r="38" spans="1:160" s="3" customFormat="1" ht="24.95" customHeight="1" x14ac:dyDescent="0.25">
      <c r="A38" s="458" t="s">
        <v>294</v>
      </c>
      <c r="B38" s="458">
        <v>5</v>
      </c>
      <c r="C38" s="458" t="s">
        <v>298</v>
      </c>
      <c r="D38" s="458" t="s">
        <v>300</v>
      </c>
      <c r="E38" s="458">
        <v>270</v>
      </c>
      <c r="F38" s="165" t="s">
        <v>40</v>
      </c>
      <c r="G38" s="821">
        <v>1</v>
      </c>
      <c r="H38" s="147">
        <v>1</v>
      </c>
      <c r="I38" s="147" t="s">
        <v>301</v>
      </c>
      <c r="J38" s="147" t="s">
        <v>301</v>
      </c>
      <c r="K38" s="147" t="s">
        <v>301</v>
      </c>
      <c r="L38" s="147" t="s">
        <v>301</v>
      </c>
      <c r="M38" s="147" t="s">
        <v>301</v>
      </c>
      <c r="N38" s="147" t="s">
        <v>301</v>
      </c>
      <c r="O38" s="147" t="s">
        <v>301</v>
      </c>
      <c r="P38" s="147" t="s">
        <v>301</v>
      </c>
      <c r="Q38" s="147" t="s">
        <v>301</v>
      </c>
      <c r="R38" s="147" t="s">
        <v>301</v>
      </c>
      <c r="S38" s="147" t="s">
        <v>301</v>
      </c>
      <c r="T38" s="147" t="s">
        <v>301</v>
      </c>
      <c r="U38" s="147" t="s">
        <v>301</v>
      </c>
      <c r="V38" s="147" t="s">
        <v>301</v>
      </c>
      <c r="W38" s="147" t="s">
        <v>301</v>
      </c>
      <c r="X38" s="147" t="s">
        <v>301</v>
      </c>
      <c r="Y38" s="147" t="s">
        <v>301</v>
      </c>
      <c r="Z38" s="147">
        <v>1</v>
      </c>
      <c r="AA38" s="147">
        <v>1</v>
      </c>
      <c r="AB38" s="147">
        <v>1</v>
      </c>
      <c r="AC38" s="147">
        <v>1</v>
      </c>
      <c r="AD38" s="147">
        <v>1</v>
      </c>
      <c r="AE38" s="147">
        <v>1</v>
      </c>
      <c r="AF38" s="147">
        <v>1</v>
      </c>
      <c r="AG38" s="147">
        <v>1</v>
      </c>
      <c r="AH38" s="147">
        <v>1</v>
      </c>
      <c r="AI38" s="147">
        <v>1</v>
      </c>
      <c r="AJ38" s="147">
        <v>1</v>
      </c>
      <c r="AK38" s="147">
        <v>1</v>
      </c>
      <c r="AL38" s="147">
        <v>1</v>
      </c>
      <c r="AM38" s="147">
        <v>1</v>
      </c>
      <c r="AN38" s="147">
        <v>1</v>
      </c>
      <c r="AO38" s="147">
        <v>1</v>
      </c>
      <c r="AP38" s="147">
        <v>1</v>
      </c>
      <c r="AQ38" s="147">
        <v>1</v>
      </c>
      <c r="AR38" s="147">
        <v>1</v>
      </c>
      <c r="AS38" s="147">
        <v>1</v>
      </c>
      <c r="AT38" s="147">
        <v>1</v>
      </c>
      <c r="AU38" s="147">
        <v>1</v>
      </c>
      <c r="AV38" s="147">
        <v>1</v>
      </c>
      <c r="AW38" s="147">
        <v>1</v>
      </c>
      <c r="AX38" s="147">
        <v>1</v>
      </c>
      <c r="AY38" s="147">
        <v>1</v>
      </c>
      <c r="AZ38" s="147">
        <v>1</v>
      </c>
      <c r="BA38" s="147">
        <f>+AB38</f>
        <v>1</v>
      </c>
      <c r="BB38" s="147">
        <f>+AY38</f>
        <v>1</v>
      </c>
      <c r="BC38" s="147">
        <f>+AZ38</f>
        <v>1</v>
      </c>
      <c r="BD38" s="147">
        <f>+G38</f>
        <v>1</v>
      </c>
      <c r="BE38" s="147">
        <f>+AZ38</f>
        <v>1</v>
      </c>
      <c r="BF38" s="147">
        <v>1</v>
      </c>
      <c r="BG38" s="147">
        <v>1</v>
      </c>
      <c r="BH38" s="147">
        <v>1</v>
      </c>
      <c r="BI38" s="147">
        <v>1</v>
      </c>
      <c r="BJ38" s="147">
        <v>1</v>
      </c>
      <c r="BK38" s="147">
        <v>1</v>
      </c>
      <c r="BL38" s="147">
        <v>1</v>
      </c>
      <c r="BM38" s="147">
        <v>1</v>
      </c>
      <c r="BN38" s="147">
        <v>1</v>
      </c>
      <c r="BO38" s="147">
        <v>1</v>
      </c>
      <c r="BP38" s="147">
        <v>1</v>
      </c>
      <c r="BQ38" s="147">
        <v>1</v>
      </c>
      <c r="BR38" s="147">
        <v>1</v>
      </c>
      <c r="BS38" s="147">
        <v>1</v>
      </c>
      <c r="BT38" s="147">
        <v>1</v>
      </c>
      <c r="BU38" s="147">
        <v>1</v>
      </c>
      <c r="BV38" s="147">
        <v>1</v>
      </c>
      <c r="BW38" s="147">
        <v>1</v>
      </c>
      <c r="BX38" s="147">
        <v>1</v>
      </c>
      <c r="BY38" s="147">
        <v>1</v>
      </c>
      <c r="BZ38" s="147">
        <v>1</v>
      </c>
      <c r="CA38" s="147">
        <v>1</v>
      </c>
      <c r="CB38" s="147">
        <v>1</v>
      </c>
      <c r="CC38" s="147">
        <v>1</v>
      </c>
      <c r="CD38" s="147">
        <v>1</v>
      </c>
      <c r="CE38" s="147">
        <f>BF38</f>
        <v>1</v>
      </c>
      <c r="CF38" s="147">
        <f>+CC38</f>
        <v>1</v>
      </c>
      <c r="CG38" s="147">
        <f>+CD38</f>
        <v>1</v>
      </c>
      <c r="CH38" s="147">
        <f>+CC38</f>
        <v>1</v>
      </c>
      <c r="CI38" s="147">
        <f>+CD38</f>
        <v>1</v>
      </c>
      <c r="CJ38" s="821">
        <v>1</v>
      </c>
      <c r="CK38" s="821">
        <v>1</v>
      </c>
      <c r="CL38" s="821">
        <v>1</v>
      </c>
      <c r="CM38" s="821">
        <v>1</v>
      </c>
      <c r="CN38" s="821">
        <v>1</v>
      </c>
      <c r="CO38" s="821">
        <v>1</v>
      </c>
      <c r="CP38" s="821">
        <v>1</v>
      </c>
      <c r="CQ38" s="821">
        <v>1</v>
      </c>
      <c r="CR38" s="821">
        <v>1</v>
      </c>
      <c r="CS38" s="821">
        <v>1</v>
      </c>
      <c r="CT38" s="864">
        <v>1</v>
      </c>
      <c r="CU38" s="821">
        <v>1</v>
      </c>
      <c r="CV38" s="863">
        <v>1</v>
      </c>
      <c r="CW38" s="821">
        <v>1</v>
      </c>
      <c r="CX38" s="863">
        <v>1</v>
      </c>
      <c r="CY38" s="821">
        <v>1</v>
      </c>
      <c r="CZ38" s="863">
        <v>1</v>
      </c>
      <c r="DA38" s="821">
        <v>1</v>
      </c>
      <c r="DB38" s="863">
        <v>1</v>
      </c>
      <c r="DC38" s="821">
        <v>1</v>
      </c>
      <c r="DD38" s="863">
        <v>1</v>
      </c>
      <c r="DE38" s="821">
        <v>1</v>
      </c>
      <c r="DF38" s="863">
        <v>1</v>
      </c>
      <c r="DG38" s="821">
        <v>1</v>
      </c>
      <c r="DH38" s="263">
        <v>1</v>
      </c>
      <c r="DI38" s="147">
        <f>+CJ38</f>
        <v>1</v>
      </c>
      <c r="DJ38" s="147">
        <f>DG38</f>
        <v>1</v>
      </c>
      <c r="DK38" s="147">
        <f>DH38</f>
        <v>1</v>
      </c>
      <c r="DL38" s="147">
        <f>+CJ38</f>
        <v>1</v>
      </c>
      <c r="DM38" s="147">
        <f>+CR38</f>
        <v>1</v>
      </c>
      <c r="DN38" s="147">
        <v>1</v>
      </c>
      <c r="DO38" s="320">
        <v>1</v>
      </c>
      <c r="DP38" s="320">
        <v>1</v>
      </c>
      <c r="DQ38" s="320">
        <v>1</v>
      </c>
      <c r="DR38" s="320">
        <v>1</v>
      </c>
      <c r="DS38" s="320">
        <v>1</v>
      </c>
      <c r="DT38" s="320">
        <v>1</v>
      </c>
      <c r="DU38" s="320">
        <v>1</v>
      </c>
      <c r="DV38" s="320">
        <v>1</v>
      </c>
      <c r="DW38" s="263">
        <v>1</v>
      </c>
      <c r="DX38" s="263">
        <v>1</v>
      </c>
      <c r="DY38" s="263">
        <v>1</v>
      </c>
      <c r="DZ38" s="148"/>
      <c r="EA38" s="263"/>
      <c r="EB38" s="284"/>
      <c r="EC38" s="284"/>
      <c r="ED38" s="284"/>
      <c r="EE38" s="284"/>
      <c r="EF38" s="284"/>
      <c r="EG38" s="284"/>
      <c r="EH38" s="284"/>
      <c r="EI38" s="284"/>
      <c r="EJ38" s="284"/>
      <c r="EK38" s="284"/>
      <c r="EL38" s="148"/>
      <c r="EM38" s="320">
        <f>DS38</f>
        <v>1</v>
      </c>
      <c r="EN38" s="320">
        <f>DU38</f>
        <v>1</v>
      </c>
      <c r="EO38" s="320">
        <f>DV38</f>
        <v>1</v>
      </c>
      <c r="EP38" s="320">
        <f>EM38</f>
        <v>1</v>
      </c>
      <c r="EQ38" s="147">
        <f>EO38</f>
        <v>1</v>
      </c>
      <c r="ER38" s="134">
        <f>IFERROR(DX38/DW38,0)</f>
        <v>1</v>
      </c>
      <c r="ES38" s="134">
        <f t="shared" si="5"/>
        <v>1</v>
      </c>
      <c r="ET38" s="847">
        <f t="shared" si="6"/>
        <v>1</v>
      </c>
      <c r="EU38" s="847">
        <f t="shared" si="24"/>
        <v>1</v>
      </c>
      <c r="EV38" s="336">
        <f>+(AA38+BE38+CI38+DM38+EQ38)/500%</f>
        <v>1</v>
      </c>
      <c r="EW38" s="719" t="s">
        <v>785</v>
      </c>
      <c r="EX38" s="708" t="s">
        <v>547</v>
      </c>
      <c r="EY38" s="708" t="s">
        <v>547</v>
      </c>
      <c r="EZ38" s="717" t="s">
        <v>322</v>
      </c>
      <c r="FA38" s="713" t="s">
        <v>680</v>
      </c>
      <c r="FB38" s="427"/>
    </row>
    <row r="39" spans="1:160" s="36" customFormat="1" ht="24.95" customHeight="1" x14ac:dyDescent="0.25">
      <c r="A39" s="458"/>
      <c r="B39" s="458"/>
      <c r="C39" s="458"/>
      <c r="D39" s="458"/>
      <c r="E39" s="458"/>
      <c r="F39" s="166" t="s">
        <v>3</v>
      </c>
      <c r="G39" s="55">
        <f>+AA39+BE39+CI39+DM39+EP39</f>
        <v>3651786438</v>
      </c>
      <c r="H39" s="54">
        <v>403410000</v>
      </c>
      <c r="I39" s="55"/>
      <c r="J39" s="55"/>
      <c r="K39" s="55"/>
      <c r="L39" s="55"/>
      <c r="M39" s="55"/>
      <c r="N39" s="55"/>
      <c r="O39" s="55"/>
      <c r="P39" s="55"/>
      <c r="Q39" s="55"/>
      <c r="R39" s="55"/>
      <c r="S39" s="55"/>
      <c r="T39" s="54"/>
      <c r="U39" s="62"/>
      <c r="V39" s="62"/>
      <c r="W39" s="54">
        <v>403410000</v>
      </c>
      <c r="X39" s="54">
        <v>403410000</v>
      </c>
      <c r="Y39" s="54">
        <v>232617000</v>
      </c>
      <c r="Z39" s="54">
        <v>263410000</v>
      </c>
      <c r="AA39" s="54">
        <v>232617000</v>
      </c>
      <c r="AB39" s="54">
        <v>689070000</v>
      </c>
      <c r="AC39" s="55">
        <v>0</v>
      </c>
      <c r="AD39" s="55">
        <v>0</v>
      </c>
      <c r="AE39" s="55">
        <v>34584000</v>
      </c>
      <c r="AF39" s="55">
        <f>34584000-AD39</f>
        <v>34584000</v>
      </c>
      <c r="AG39" s="55">
        <v>308422000</v>
      </c>
      <c r="AH39" s="55">
        <f>343006000-AF39-AD39</f>
        <v>308422000</v>
      </c>
      <c r="AI39" s="55">
        <v>1738634</v>
      </c>
      <c r="AJ39" s="55">
        <f>344744634-AH39-AF39-AD39</f>
        <v>1738634</v>
      </c>
      <c r="AK39" s="55">
        <v>14241944</v>
      </c>
      <c r="AL39" s="55">
        <f>358986578-AJ39-AH39-AF39-AD39-5000000</f>
        <v>9241944</v>
      </c>
      <c r="AM39" s="55">
        <v>0</v>
      </c>
      <c r="AN39" s="55">
        <v>101779714</v>
      </c>
      <c r="AO39" s="55">
        <v>0</v>
      </c>
      <c r="AP39" s="55">
        <v>0</v>
      </c>
      <c r="AQ39" s="55">
        <f>41419807.3333333+46164800</f>
        <v>87584607.333333299</v>
      </c>
      <c r="AR39" s="55">
        <v>36764000</v>
      </c>
      <c r="AS39" s="55">
        <f>41419807.3333333+46164800+35320000</f>
        <v>122904607.3333333</v>
      </c>
      <c r="AT39" s="55">
        <v>0</v>
      </c>
      <c r="AU39" s="55">
        <f>41419807.3333333+46164800</f>
        <v>87584607.333333299</v>
      </c>
      <c r="AV39" s="55">
        <v>11769667</v>
      </c>
      <c r="AW39" s="55">
        <v>46164800</v>
      </c>
      <c r="AX39" s="55">
        <v>19321500</v>
      </c>
      <c r="AY39" s="55">
        <v>46164800</v>
      </c>
      <c r="AZ39" s="55">
        <v>180225685</v>
      </c>
      <c r="BA39" s="55">
        <f>AY39+AW39+AU39+AS39+AQ39+AO39+AM39+AK39+AI39+AG39+AE39+AC39</f>
        <v>749390000</v>
      </c>
      <c r="BB39" s="55">
        <f>AC39+AE39+AG39+AI39+AK39+AM39+AO39+AQ39+AS39+AU39+AW39+AY39</f>
        <v>749389999.99999988</v>
      </c>
      <c r="BC39" s="55">
        <f>AD39+AF39+AH39+AJ39+AL39+AN39+AP39+AR39+AT39+AV39+AX39+AZ39</f>
        <v>703847144</v>
      </c>
      <c r="BD39" s="55">
        <f>AE39+AG39+AI39+AK39+AM39+AO39+AQ39+AS39+AU39+AW39+AY39+AC39</f>
        <v>749389999.99999988</v>
      </c>
      <c r="BE39" s="55">
        <f>AD39+AF39+AH39+AJ39+AL39+AN39+AP39+AR39+AT39+AV39+AX39+AZ39</f>
        <v>703847144</v>
      </c>
      <c r="BF39" s="55">
        <v>843232000</v>
      </c>
      <c r="BG39" s="55">
        <v>462232000</v>
      </c>
      <c r="BH39" s="55">
        <v>455184000</v>
      </c>
      <c r="BI39" s="55">
        <v>0</v>
      </c>
      <c r="BJ39" s="55">
        <v>0</v>
      </c>
      <c r="BK39" s="55">
        <v>381000000</v>
      </c>
      <c r="BL39" s="55">
        <v>0</v>
      </c>
      <c r="BM39" s="55">
        <v>0</v>
      </c>
      <c r="BN39" s="55">
        <v>0</v>
      </c>
      <c r="BO39" s="55">
        <v>-7048000</v>
      </c>
      <c r="BP39" s="55">
        <v>0</v>
      </c>
      <c r="BQ39" s="55">
        <v>0</v>
      </c>
      <c r="BR39" s="55">
        <v>0</v>
      </c>
      <c r="BS39" s="55">
        <v>0</v>
      </c>
      <c r="BT39" s="55">
        <v>0</v>
      </c>
      <c r="BU39" s="55">
        <v>60207700</v>
      </c>
      <c r="BV39" s="55">
        <v>14028000</v>
      </c>
      <c r="BW39" s="55">
        <v>57264498</v>
      </c>
      <c r="BX39" s="55">
        <v>19349800</v>
      </c>
      <c r="BY39" s="55">
        <v>134230102</v>
      </c>
      <c r="BZ39" s="55">
        <v>44119860</v>
      </c>
      <c r="CA39" s="55">
        <v>0</v>
      </c>
      <c r="CB39" s="55">
        <v>107967800</v>
      </c>
      <c r="CC39" s="55">
        <v>-34000000</v>
      </c>
      <c r="CD39" s="55">
        <v>383111048</v>
      </c>
      <c r="CE39" s="55">
        <f>CC39+CA39+BY39+BW39+BU39+BS39+BQ39+BO39+BM39+BK39+BI39+BG39</f>
        <v>1053886300</v>
      </c>
      <c r="CF39" s="55">
        <f>+BG39+BI39+BK39+BM39+BO39+BQ39+BS39+BU39+BW39+BY39+CA39+CC39</f>
        <v>1053886300</v>
      </c>
      <c r="CG39" s="55">
        <f>+BH39+BJ39+BL39+BN39+BP39+BR39+BT39+BV39+BX39+BZ39+CB39+CD39</f>
        <v>1023760508</v>
      </c>
      <c r="CH39" s="54">
        <f>CC39+CA39+BY39+BW39+BU39+BS39+BQ39+BO39+BM39+BK39+BI39+BG39</f>
        <v>1053886300</v>
      </c>
      <c r="CI39" s="54">
        <f>+BH39+BJ39+BL39+BN39+BP39+BR39+BT39+BV39+BX39+BZ39+CB39+CD39</f>
        <v>1023760508</v>
      </c>
      <c r="CJ39" s="55">
        <v>554093000</v>
      </c>
      <c r="CK39" s="55">
        <v>-13494000</v>
      </c>
      <c r="CL39" s="55">
        <v>0</v>
      </c>
      <c r="CM39" s="55">
        <v>50092000</v>
      </c>
      <c r="CN39" s="55">
        <v>183154500</v>
      </c>
      <c r="CO39" s="55">
        <v>55388816</v>
      </c>
      <c r="CP39" s="55">
        <v>237703543</v>
      </c>
      <c r="CQ39" s="55">
        <v>55388816</v>
      </c>
      <c r="CR39" s="55">
        <v>23960901</v>
      </c>
      <c r="CS39" s="55">
        <v>75388816</v>
      </c>
      <c r="CT39" s="180">
        <v>0</v>
      </c>
      <c r="CU39" s="162">
        <v>55388816</v>
      </c>
      <c r="CV39" s="162">
        <v>0</v>
      </c>
      <c r="CW39" s="55">
        <v>59555482</v>
      </c>
      <c r="CX39" s="162">
        <v>36848000</v>
      </c>
      <c r="CY39" s="55">
        <v>59555482</v>
      </c>
      <c r="CZ39" s="162">
        <v>0</v>
      </c>
      <c r="DA39" s="162">
        <v>59555482</v>
      </c>
      <c r="DB39" s="162">
        <v>0</v>
      </c>
      <c r="DC39" s="162">
        <f>59555482+18247267</f>
        <v>77802749</v>
      </c>
      <c r="DD39" s="162">
        <v>0</v>
      </c>
      <c r="DE39" s="162">
        <v>9463482</v>
      </c>
      <c r="DF39" s="162">
        <v>31767400</v>
      </c>
      <c r="DG39" s="162">
        <f>14760326-8565100</f>
        <v>6195226</v>
      </c>
      <c r="DH39" s="162">
        <v>24566442</v>
      </c>
      <c r="DI39" s="54">
        <f>DG39+DE39+DC39+DA39+CY39+CW39+CU39+CS39+CQ39+CO39+CM39+CK39</f>
        <v>550281167</v>
      </c>
      <c r="DJ39" s="54">
        <f>CK39+CM39+CO39+CQ39+CS39+CU39+CW39+CY39+DA39+DC39+DE39+DG39</f>
        <v>550281167</v>
      </c>
      <c r="DK39" s="54">
        <f>CL39+CN39+CP39+CR39+CT39+CV39+CX39+CZ39+DB39+DD39+DF39+DH39</f>
        <v>538000786</v>
      </c>
      <c r="DL39" s="54">
        <f>CM39+CO39+CQ39+CS39+CU39+CW39+CY39+DA39+DC39+DE39+DG39+CK39</f>
        <v>550281167</v>
      </c>
      <c r="DM39" s="54">
        <f>CN39+CP39+CR39+CT39+CV39+CX39+CZ39+DB39+DD39+DF39+DH39+CL39</f>
        <v>538000786</v>
      </c>
      <c r="DN39" s="55">
        <f>DO39+DQ39+DS39+DU39+DW39+DY39+EA39</f>
        <v>1153561000</v>
      </c>
      <c r="DO39" s="180">
        <v>43152000</v>
      </c>
      <c r="DP39" s="180">
        <v>43152000</v>
      </c>
      <c r="DQ39" s="180">
        <v>223013000</v>
      </c>
      <c r="DR39" s="180">
        <v>164428000</v>
      </c>
      <c r="DS39" s="180">
        <v>221849000</v>
      </c>
      <c r="DT39" s="180">
        <v>116115810</v>
      </c>
      <c r="DU39" s="180">
        <v>187849985</v>
      </c>
      <c r="DV39" s="180">
        <v>28732000</v>
      </c>
      <c r="DW39" s="162">
        <v>167325896</v>
      </c>
      <c r="DX39" s="265">
        <v>92529526</v>
      </c>
      <c r="DY39" s="162">
        <v>254395156</v>
      </c>
      <c r="DZ39" s="35"/>
      <c r="EA39" s="162">
        <v>55975963</v>
      </c>
      <c r="EB39" s="285"/>
      <c r="EC39" s="285"/>
      <c r="ED39" s="285"/>
      <c r="EE39" s="285"/>
      <c r="EF39" s="285"/>
      <c r="EG39" s="285"/>
      <c r="EH39" s="285"/>
      <c r="EI39" s="285"/>
      <c r="EJ39" s="285"/>
      <c r="EK39" s="285"/>
      <c r="EL39" s="35"/>
      <c r="EM39" s="61">
        <f>EK39+EI39+EG39+EE39+EC39+EA39+DY39+DW39+DU39+DS39+DQ39+DO39</f>
        <v>1153561000</v>
      </c>
      <c r="EN39" s="183">
        <f>DO39+DQ39+DS39+DU39+DW39</f>
        <v>843189881</v>
      </c>
      <c r="EO39" s="183">
        <f>DP39+DR39+DT39+DV39+DX39</f>
        <v>444957336</v>
      </c>
      <c r="EP39" s="262">
        <f>DO39+DQ39+DS39+DU39+DW39+DY39+EA39+EC39+EE39+EI39+EK39</f>
        <v>1153561000</v>
      </c>
      <c r="EQ39" s="61">
        <f>DP39+DR39+DT39+DV39+DX39</f>
        <v>444957336</v>
      </c>
      <c r="ER39" s="134">
        <f t="shared" ref="ER39:ER43" si="86">IFERROR(DX39/DW39,0)</f>
        <v>0.55298987312758807</v>
      </c>
      <c r="ES39" s="134">
        <f t="shared" si="5"/>
        <v>0.52770715828834758</v>
      </c>
      <c r="ET39" s="847">
        <f t="shared" si="6"/>
        <v>0.3857250167091294</v>
      </c>
      <c r="EU39" s="847">
        <f t="shared" si="24"/>
        <v>0.85059217775202745</v>
      </c>
      <c r="EV39" s="337">
        <f t="shared" si="7"/>
        <v>0.80595698132115134</v>
      </c>
      <c r="EW39" s="719"/>
      <c r="EX39" s="708"/>
      <c r="EY39" s="708" t="s">
        <v>547</v>
      </c>
      <c r="EZ39" s="717"/>
      <c r="FA39" s="716"/>
      <c r="FB39" s="427"/>
    </row>
    <row r="40" spans="1:160" s="36" customFormat="1" ht="24.95" customHeight="1" x14ac:dyDescent="0.25">
      <c r="A40" s="458"/>
      <c r="B40" s="458"/>
      <c r="C40" s="458"/>
      <c r="D40" s="458"/>
      <c r="E40" s="458"/>
      <c r="F40" s="167" t="s">
        <v>205</v>
      </c>
      <c r="G40" s="55"/>
      <c r="H40" s="54"/>
      <c r="I40" s="55"/>
      <c r="J40" s="55"/>
      <c r="K40" s="55"/>
      <c r="L40" s="55"/>
      <c r="M40" s="55"/>
      <c r="N40" s="55"/>
      <c r="O40" s="55"/>
      <c r="P40" s="55"/>
      <c r="Q40" s="55"/>
      <c r="R40" s="55"/>
      <c r="S40" s="55"/>
      <c r="T40" s="54"/>
      <c r="U40" s="62"/>
      <c r="V40" s="62"/>
      <c r="W40" s="54"/>
      <c r="X40" s="54"/>
      <c r="Y40" s="54"/>
      <c r="Z40" s="54"/>
      <c r="AA40" s="55"/>
      <c r="AB40" s="54"/>
      <c r="AC40" s="55">
        <v>0</v>
      </c>
      <c r="AD40" s="55">
        <v>0</v>
      </c>
      <c r="AE40" s="55">
        <v>0</v>
      </c>
      <c r="AF40" s="55">
        <v>0</v>
      </c>
      <c r="AG40" s="55">
        <v>0</v>
      </c>
      <c r="AH40" s="55">
        <v>0</v>
      </c>
      <c r="AI40" s="55">
        <v>29463567</v>
      </c>
      <c r="AJ40" s="55">
        <f>29463567-AH40</f>
        <v>29463567</v>
      </c>
      <c r="AK40" s="55">
        <v>42312234</v>
      </c>
      <c r="AL40" s="55">
        <f>71775801-AJ40+5062267</f>
        <v>47374501</v>
      </c>
      <c r="AM40" s="55">
        <v>45547691</v>
      </c>
      <c r="AN40" s="55">
        <v>45547691</v>
      </c>
      <c r="AO40" s="55">
        <v>0</v>
      </c>
      <c r="AP40" s="55">
        <v>52764501</v>
      </c>
      <c r="AQ40" s="55">
        <v>0</v>
      </c>
      <c r="AR40" s="55">
        <v>39402600</v>
      </c>
      <c r="AS40" s="55">
        <v>0</v>
      </c>
      <c r="AT40" s="55">
        <v>39458167</v>
      </c>
      <c r="AU40" s="55">
        <v>0</v>
      </c>
      <c r="AV40" s="55">
        <v>41241000</v>
      </c>
      <c r="AW40" s="55">
        <v>0</v>
      </c>
      <c r="AX40" s="55">
        <v>44959667</v>
      </c>
      <c r="AY40" s="55">
        <v>0</v>
      </c>
      <c r="AZ40" s="55">
        <v>118193574.72981858</v>
      </c>
      <c r="BA40" s="55">
        <f>AY40+AW40+AU40+AS40+AQ40+AO40+AM40+AK40+AI40+AG40+AE40+AC40</f>
        <v>117323492</v>
      </c>
      <c r="BB40" s="55">
        <f>AC40+AE40+AG40+AI40+AK40+AM40+AO40+AQ40+AS40+AU40+AW40+AY40</f>
        <v>117323492</v>
      </c>
      <c r="BC40" s="55">
        <f>AD40+AF40+AH40+AJ40+AL40+AN40+AP40+AR40+AT40+AV40+AX40+AZ40</f>
        <v>458405268.72981858</v>
      </c>
      <c r="BD40" s="55">
        <f>AE40+AG40+AI40+AK40+AM40+AO40+AQ40+AS40+AU40+AW40+AY40+AC40</f>
        <v>117323492</v>
      </c>
      <c r="BE40" s="55">
        <f>AD40+AF40+AH40+AJ40+AL40+AN40+AP40+AR40+AT40+AV40+AX40+AZ40</f>
        <v>458405268.72981858</v>
      </c>
      <c r="BF40" s="55">
        <v>0</v>
      </c>
      <c r="BG40" s="55">
        <v>0</v>
      </c>
      <c r="BH40" s="55">
        <v>0</v>
      </c>
      <c r="BI40" s="55"/>
      <c r="BJ40" s="55">
        <v>2716334</v>
      </c>
      <c r="BK40" s="55"/>
      <c r="BL40" s="55">
        <v>49602419</v>
      </c>
      <c r="BM40" s="55"/>
      <c r="BN40" s="55">
        <v>51491637</v>
      </c>
      <c r="BO40" s="55"/>
      <c r="BP40" s="55">
        <v>50399819</v>
      </c>
      <c r="BQ40" s="55"/>
      <c r="BR40" s="55">
        <v>50146819</v>
      </c>
      <c r="BS40" s="55"/>
      <c r="BT40" s="55">
        <v>50772546</v>
      </c>
      <c r="BU40" s="55">
        <v>0</v>
      </c>
      <c r="BV40" s="55">
        <v>49869364</v>
      </c>
      <c r="BW40" s="55">
        <v>0</v>
      </c>
      <c r="BX40" s="55">
        <v>49869364</v>
      </c>
      <c r="BY40" s="55">
        <v>0</v>
      </c>
      <c r="BZ40" s="55">
        <v>50930274</v>
      </c>
      <c r="CA40" s="55">
        <v>0</v>
      </c>
      <c r="CB40" s="55">
        <v>48811207</v>
      </c>
      <c r="CC40" s="55">
        <v>0</v>
      </c>
      <c r="CD40" s="55">
        <v>144899064</v>
      </c>
      <c r="CE40" s="55">
        <f>CC40+CA40+BY40+BW40+BU40+BS40+BQ40+BO40+BM40+BK40+BI40+BG40</f>
        <v>0</v>
      </c>
      <c r="CF40" s="55">
        <f>+BG40+BI40+BK40+BM40+BO40+BQ40+BS40+BU40+BW40+BY40+CA40+CC40</f>
        <v>0</v>
      </c>
      <c r="CG40" s="55">
        <f>+BH40+BJ40+BL40+BN40+BP40+BR40+BT40+BV40+BX40+BZ40+CB40+CD40</f>
        <v>599508847</v>
      </c>
      <c r="CH40" s="54">
        <f>CC40+CA40+BY40+BW40+BU40+BS40+BQ40+BO40+BM40+BK40+BI40+BG40</f>
        <v>0</v>
      </c>
      <c r="CI40" s="54">
        <f>+BH40+BJ40+BL40+BN40+BP40+BR40+BT40+BV40+BX40+BZ40+CB40+CD40</f>
        <v>599508847</v>
      </c>
      <c r="CJ40" s="55">
        <v>554093000</v>
      </c>
      <c r="CK40" s="55">
        <v>-13494000</v>
      </c>
      <c r="CL40" s="55">
        <v>0</v>
      </c>
      <c r="CM40" s="55">
        <v>50092000</v>
      </c>
      <c r="CN40" s="55">
        <v>0</v>
      </c>
      <c r="CO40" s="55">
        <v>55388816</v>
      </c>
      <c r="CP40" s="55">
        <v>9010633</v>
      </c>
      <c r="CQ40" s="55">
        <v>55388816</v>
      </c>
      <c r="CR40" s="55">
        <v>19368100</v>
      </c>
      <c r="CS40" s="55">
        <v>75388816</v>
      </c>
      <c r="CT40" s="180">
        <v>41608234</v>
      </c>
      <c r="CU40" s="162">
        <v>55388816</v>
      </c>
      <c r="CV40" s="162">
        <v>44684000</v>
      </c>
      <c r="CW40" s="55">
        <v>59555482</v>
      </c>
      <c r="CX40" s="162">
        <v>44684000</v>
      </c>
      <c r="CY40" s="55">
        <v>59555482</v>
      </c>
      <c r="CZ40" s="162">
        <v>48746400</v>
      </c>
      <c r="DA40" s="162">
        <v>59555482</v>
      </c>
      <c r="DB40" s="162">
        <v>49762000</v>
      </c>
      <c r="DC40" s="162">
        <f>59555482+18247267</f>
        <v>77802749</v>
      </c>
      <c r="DD40" s="162">
        <v>60300118</v>
      </c>
      <c r="DE40" s="162">
        <v>9463482</v>
      </c>
      <c r="DF40" s="162">
        <v>50042424</v>
      </c>
      <c r="DG40" s="162">
        <f>14760326-8565100</f>
        <v>6195226</v>
      </c>
      <c r="DH40" s="162">
        <v>87437451</v>
      </c>
      <c r="DI40" s="54">
        <f>DG40+DE40+DC40+DA40+CY40+CW40+CU40+CS40+CQ40+CO40+CM40+CK40</f>
        <v>550281167</v>
      </c>
      <c r="DJ40" s="54">
        <f>CK40+CM40+CO40+CQ40+CS40+CU40+CW40+CY40+DA40+DC40+DE40+DG40</f>
        <v>550281167</v>
      </c>
      <c r="DK40" s="54">
        <f>CL40+CN40+CP40+CR40+CT40+CV40+CX40+CZ40+DB40+DD40+DF40+DH40</f>
        <v>455643360</v>
      </c>
      <c r="DL40" s="54">
        <f>CM40+CO40+CQ40+CS40+CU40+CW40+CY40+DA40+DC40+DE40+DG40+CK40</f>
        <v>550281167</v>
      </c>
      <c r="DM40" s="54">
        <f>CN40+CP40+CR40+CT40+CV40+CX40+CZ40+DB40+DD40+DF40+DH40+CL40</f>
        <v>455643360</v>
      </c>
      <c r="DN40" s="55">
        <f>DO40+DQ40+DS40+DU40+DW40+DY40+EA40</f>
        <v>1153561000</v>
      </c>
      <c r="DO40" s="180">
        <v>43152000</v>
      </c>
      <c r="DP40" s="180">
        <v>43152000</v>
      </c>
      <c r="DQ40" s="180">
        <v>223013000</v>
      </c>
      <c r="DR40" s="180">
        <v>-43152000</v>
      </c>
      <c r="DS40" s="180">
        <v>221849000</v>
      </c>
      <c r="DT40" s="180">
        <v>18643567</v>
      </c>
      <c r="DU40" s="180">
        <v>187849985</v>
      </c>
      <c r="DV40" s="180">
        <v>69915889</v>
      </c>
      <c r="DW40" s="162">
        <v>167325896</v>
      </c>
      <c r="DX40" s="265">
        <v>79751852</v>
      </c>
      <c r="DY40" s="162">
        <v>254395156</v>
      </c>
      <c r="DZ40" s="35"/>
      <c r="EA40" s="162">
        <v>55975963</v>
      </c>
      <c r="EB40" s="285"/>
      <c r="EC40" s="285"/>
      <c r="ED40" s="285"/>
      <c r="EE40" s="285"/>
      <c r="EF40" s="285"/>
      <c r="EG40" s="285"/>
      <c r="EH40" s="285"/>
      <c r="EI40" s="285"/>
      <c r="EJ40" s="285"/>
      <c r="EK40" s="285"/>
      <c r="EL40" s="35"/>
      <c r="EM40" s="61">
        <f>EK40+EI40+EG40+EE40+EC40+EA40+DY40+DW40+DU40+DS40+DQ40+DO40</f>
        <v>1153561000</v>
      </c>
      <c r="EN40" s="183">
        <f>DO40+DQ40+DS40+DU40+DW40</f>
        <v>843189881</v>
      </c>
      <c r="EO40" s="183">
        <f t="shared" ref="EO40:EO42" si="87">DP40+DR40+DT40+DV40+DX40</f>
        <v>168311308</v>
      </c>
      <c r="EP40" s="262">
        <f>DQ40+DS40+DU40+DW40+DY40+EA40+EC40+EE40+EG40+EI40+EK40+DO40</f>
        <v>1153561000</v>
      </c>
      <c r="EQ40" s="61">
        <f>DP40+DR40+DT40+DV40+DX40</f>
        <v>168311308</v>
      </c>
      <c r="ER40" s="134">
        <f t="shared" si="86"/>
        <v>0.47662587744338153</v>
      </c>
      <c r="ES40" s="134">
        <f t="shared" si="5"/>
        <v>0.199612580502493</v>
      </c>
      <c r="ET40" s="847">
        <f t="shared" si="6"/>
        <v>0.14590585846782267</v>
      </c>
      <c r="EU40" s="847" t="s">
        <v>311</v>
      </c>
      <c r="EV40" s="336" t="s">
        <v>311</v>
      </c>
      <c r="EW40" s="719"/>
      <c r="EX40" s="708"/>
      <c r="EY40" s="708" t="s">
        <v>547</v>
      </c>
      <c r="EZ40" s="717"/>
      <c r="FA40" s="716"/>
      <c r="FB40" s="427"/>
    </row>
    <row r="41" spans="1:160" s="3" customFormat="1" ht="24.95" customHeight="1" x14ac:dyDescent="0.25">
      <c r="A41" s="458"/>
      <c r="B41" s="458"/>
      <c r="C41" s="458"/>
      <c r="D41" s="458"/>
      <c r="E41" s="458"/>
      <c r="F41" s="165" t="s">
        <v>41</v>
      </c>
      <c r="G41" s="814">
        <v>0</v>
      </c>
      <c r="H41" s="814">
        <v>0</v>
      </c>
      <c r="I41" s="695">
        <v>0</v>
      </c>
      <c r="J41" s="695">
        <v>0</v>
      </c>
      <c r="K41" s="695">
        <v>0</v>
      </c>
      <c r="L41" s="695">
        <v>0</v>
      </c>
      <c r="M41" s="695">
        <v>0</v>
      </c>
      <c r="N41" s="694">
        <v>0</v>
      </c>
      <c r="O41" s="695">
        <v>0</v>
      </c>
      <c r="P41" s="694">
        <v>0</v>
      </c>
      <c r="Q41" s="695">
        <v>0</v>
      </c>
      <c r="R41" s="693">
        <v>0</v>
      </c>
      <c r="S41" s="695">
        <v>0</v>
      </c>
      <c r="T41" s="694">
        <v>0</v>
      </c>
      <c r="U41" s="695">
        <v>0</v>
      </c>
      <c r="V41" s="695">
        <v>0</v>
      </c>
      <c r="W41" s="51">
        <v>0</v>
      </c>
      <c r="X41" s="51">
        <v>0</v>
      </c>
      <c r="Y41" s="51">
        <v>0</v>
      </c>
      <c r="Z41" s="51">
        <v>0</v>
      </c>
      <c r="AA41" s="51">
        <v>0</v>
      </c>
      <c r="AB41" s="51">
        <v>0</v>
      </c>
      <c r="AC41" s="51">
        <v>0</v>
      </c>
      <c r="AD41" s="51">
        <v>0</v>
      </c>
      <c r="AE41" s="51">
        <v>0</v>
      </c>
      <c r="AF41" s="51">
        <v>0</v>
      </c>
      <c r="AG41" s="51">
        <v>0</v>
      </c>
      <c r="AH41" s="51">
        <v>0</v>
      </c>
      <c r="AI41" s="51">
        <v>0</v>
      </c>
      <c r="AJ41" s="51">
        <v>0</v>
      </c>
      <c r="AK41" s="51">
        <v>0</v>
      </c>
      <c r="AL41" s="51">
        <v>0</v>
      </c>
      <c r="AM41" s="51">
        <v>0</v>
      </c>
      <c r="AN41" s="51">
        <v>0</v>
      </c>
      <c r="AO41" s="51">
        <v>0</v>
      </c>
      <c r="AP41" s="694">
        <v>0</v>
      </c>
      <c r="AQ41" s="51">
        <v>0</v>
      </c>
      <c r="AR41" s="694">
        <v>0</v>
      </c>
      <c r="AS41" s="51">
        <v>0</v>
      </c>
      <c r="AT41" s="51">
        <v>0</v>
      </c>
      <c r="AU41" s="51">
        <v>0</v>
      </c>
      <c r="AV41" s="694">
        <v>0</v>
      </c>
      <c r="AW41" s="51">
        <v>0</v>
      </c>
      <c r="AX41" s="51">
        <v>0</v>
      </c>
      <c r="AY41" s="51">
        <v>0</v>
      </c>
      <c r="AZ41" s="814">
        <v>0</v>
      </c>
      <c r="BA41" s="51">
        <f>+AB41</f>
        <v>0</v>
      </c>
      <c r="BB41" s="51">
        <f>+AY41</f>
        <v>0</v>
      </c>
      <c r="BC41" s="51">
        <f>+AZ41</f>
        <v>0</v>
      </c>
      <c r="BD41" s="51">
        <f>+G41</f>
        <v>0</v>
      </c>
      <c r="BE41" s="51">
        <f>+AZ41</f>
        <v>0</v>
      </c>
      <c r="BF41" s="111">
        <v>0</v>
      </c>
      <c r="BG41" s="51">
        <v>0</v>
      </c>
      <c r="BH41" s="51">
        <v>0</v>
      </c>
      <c r="BI41" s="51">
        <v>0</v>
      </c>
      <c r="BJ41" s="51">
        <v>0</v>
      </c>
      <c r="BK41" s="51">
        <v>0</v>
      </c>
      <c r="BL41" s="51">
        <v>0</v>
      </c>
      <c r="BM41" s="51">
        <v>0</v>
      </c>
      <c r="BN41" s="51">
        <v>0</v>
      </c>
      <c r="BO41" s="51">
        <v>0</v>
      </c>
      <c r="BP41" s="51">
        <v>0</v>
      </c>
      <c r="BQ41" s="51">
        <v>0</v>
      </c>
      <c r="BR41" s="51">
        <v>0</v>
      </c>
      <c r="BS41" s="51">
        <v>0</v>
      </c>
      <c r="BT41" s="51">
        <v>0</v>
      </c>
      <c r="BU41" s="51">
        <v>0</v>
      </c>
      <c r="BV41" s="51">
        <v>0</v>
      </c>
      <c r="BW41" s="51">
        <v>0</v>
      </c>
      <c r="BX41" s="51">
        <v>0</v>
      </c>
      <c r="BY41" s="51">
        <v>0</v>
      </c>
      <c r="BZ41" s="51">
        <v>0</v>
      </c>
      <c r="CA41" s="51">
        <v>0</v>
      </c>
      <c r="CB41" s="51">
        <v>0</v>
      </c>
      <c r="CC41" s="51">
        <v>0</v>
      </c>
      <c r="CD41" s="51">
        <v>0</v>
      </c>
      <c r="CE41" s="51">
        <f>BF41</f>
        <v>0</v>
      </c>
      <c r="CF41" s="51">
        <f>+CC41</f>
        <v>0</v>
      </c>
      <c r="CG41" s="51">
        <f>CD41</f>
        <v>0</v>
      </c>
      <c r="CH41" s="51">
        <f>+CC41</f>
        <v>0</v>
      </c>
      <c r="CI41" s="51">
        <f>+CD41</f>
        <v>0</v>
      </c>
      <c r="CJ41" s="51">
        <v>0</v>
      </c>
      <c r="CK41" s="51">
        <v>0</v>
      </c>
      <c r="CL41" s="51">
        <v>0</v>
      </c>
      <c r="CM41" s="51">
        <v>0</v>
      </c>
      <c r="CN41" s="51">
        <v>0</v>
      </c>
      <c r="CO41" s="51">
        <v>0</v>
      </c>
      <c r="CP41" s="51">
        <v>0</v>
      </c>
      <c r="CQ41" s="51">
        <v>0</v>
      </c>
      <c r="CR41" s="51">
        <v>0</v>
      </c>
      <c r="CS41" s="51">
        <v>0</v>
      </c>
      <c r="CT41" s="51">
        <v>0</v>
      </c>
      <c r="CU41" s="51">
        <v>0</v>
      </c>
      <c r="CV41" s="196">
        <v>0</v>
      </c>
      <c r="CW41" s="51">
        <v>0</v>
      </c>
      <c r="CX41" s="196">
        <v>0</v>
      </c>
      <c r="CY41" s="695">
        <v>0</v>
      </c>
      <c r="CZ41" s="196">
        <v>0</v>
      </c>
      <c r="DA41" s="695">
        <v>0</v>
      </c>
      <c r="DB41" s="196">
        <v>0</v>
      </c>
      <c r="DC41" s="695">
        <v>0</v>
      </c>
      <c r="DD41" s="196">
        <v>0</v>
      </c>
      <c r="DE41" s="692">
        <v>0</v>
      </c>
      <c r="DF41" s="196">
        <v>0</v>
      </c>
      <c r="DG41" s="695">
        <v>0</v>
      </c>
      <c r="DH41" s="196">
        <v>0</v>
      </c>
      <c r="DI41" s="51">
        <f>+CJ41</f>
        <v>0</v>
      </c>
      <c r="DJ41" s="54">
        <f>CK41+CM41+CO41+CQ41+CS41+CU41+CW41+CY41+DA41+DC41+DE41+DG41</f>
        <v>0</v>
      </c>
      <c r="DK41" s="54">
        <f>+CV41+CX41+CZ41+DB41+DD41+DF41+DH41</f>
        <v>0</v>
      </c>
      <c r="DL41" s="51">
        <f>+CJ41</f>
        <v>0</v>
      </c>
      <c r="DM41" s="51">
        <f>+CR41</f>
        <v>0</v>
      </c>
      <c r="DN41" s="51"/>
      <c r="DO41" s="323">
        <v>0</v>
      </c>
      <c r="DP41" s="323">
        <v>0</v>
      </c>
      <c r="DQ41" s="323">
        <v>0</v>
      </c>
      <c r="DR41" s="323">
        <v>0</v>
      </c>
      <c r="DS41" s="323">
        <v>0</v>
      </c>
      <c r="DT41" s="323">
        <v>0</v>
      </c>
      <c r="DU41" s="323">
        <v>0</v>
      </c>
      <c r="DV41" s="323">
        <v>0</v>
      </c>
      <c r="DW41" s="276">
        <v>0</v>
      </c>
      <c r="DX41" s="276">
        <v>0</v>
      </c>
      <c r="DY41" s="276">
        <v>0</v>
      </c>
      <c r="DZ41" s="784"/>
      <c r="EA41" s="276"/>
      <c r="EB41" s="808"/>
      <c r="EC41" s="808"/>
      <c r="ED41" s="808"/>
      <c r="EE41" s="808"/>
      <c r="EF41" s="808"/>
      <c r="EG41" s="795"/>
      <c r="EH41" s="808"/>
      <c r="EI41" s="795"/>
      <c r="EJ41" s="808"/>
      <c r="EK41" s="795"/>
      <c r="EL41" s="784"/>
      <c r="EM41" s="181"/>
      <c r="EN41" s="274">
        <f>DO41+DQ41+DS41+DU41+DW41</f>
        <v>0</v>
      </c>
      <c r="EO41" s="274">
        <f t="shared" si="87"/>
        <v>0</v>
      </c>
      <c r="EP41" s="181">
        <f>DQ41+DS41+DU41+DW41+DY41+EA41+EC41+EE41+EG41+EI41+EK41</f>
        <v>0</v>
      </c>
      <c r="EQ41" s="181">
        <f>DR41+DT41+DV41+DX41</f>
        <v>0</v>
      </c>
      <c r="ER41" s="134">
        <f t="shared" si="86"/>
        <v>0</v>
      </c>
      <c r="ES41" s="134">
        <f t="shared" si="5"/>
        <v>0</v>
      </c>
      <c r="ET41" s="847">
        <f t="shared" si="6"/>
        <v>0</v>
      </c>
      <c r="EU41" s="847">
        <f t="shared" si="24"/>
        <v>0</v>
      </c>
      <c r="EV41" s="337">
        <f>IFERROR(+(AA41+BE41+CI41+DM41+EQ41)/G41,0)</f>
        <v>0</v>
      </c>
      <c r="EW41" s="719"/>
      <c r="EX41" s="708"/>
      <c r="EY41" s="708" t="s">
        <v>547</v>
      </c>
      <c r="EZ41" s="717"/>
      <c r="FA41" s="716"/>
      <c r="FB41" s="427"/>
    </row>
    <row r="42" spans="1:160" s="36" customFormat="1" ht="24.95" customHeight="1" x14ac:dyDescent="0.25">
      <c r="A42" s="458"/>
      <c r="B42" s="458"/>
      <c r="C42" s="458"/>
      <c r="D42" s="458"/>
      <c r="E42" s="458"/>
      <c r="F42" s="166" t="s">
        <v>4</v>
      </c>
      <c r="G42" s="55">
        <f>+AA42+BE42+CI42+DM42+EP42</f>
        <v>756930682.8304193</v>
      </c>
      <c r="H42" s="54">
        <v>104209010</v>
      </c>
      <c r="I42" s="55">
        <v>0</v>
      </c>
      <c r="J42" s="55">
        <v>0</v>
      </c>
      <c r="K42" s="55">
        <v>0</v>
      </c>
      <c r="L42" s="55">
        <v>0</v>
      </c>
      <c r="M42" s="55">
        <v>0</v>
      </c>
      <c r="N42" s="55">
        <v>0</v>
      </c>
      <c r="O42" s="55">
        <v>0</v>
      </c>
      <c r="P42" s="55">
        <v>0</v>
      </c>
      <c r="Q42" s="55">
        <v>0</v>
      </c>
      <c r="R42" s="55">
        <v>0</v>
      </c>
      <c r="S42" s="55">
        <v>0</v>
      </c>
      <c r="T42" s="54">
        <v>0</v>
      </c>
      <c r="U42" s="62">
        <v>0</v>
      </c>
      <c r="V42" s="62">
        <v>0</v>
      </c>
      <c r="W42" s="54">
        <v>104209010</v>
      </c>
      <c r="X42" s="54">
        <v>104209010</v>
      </c>
      <c r="Y42" s="54">
        <v>0</v>
      </c>
      <c r="Z42" s="54">
        <v>104209010</v>
      </c>
      <c r="AA42" s="55">
        <v>0</v>
      </c>
      <c r="AB42" s="54">
        <v>88778010</v>
      </c>
      <c r="AC42" s="55">
        <v>15431000</v>
      </c>
      <c r="AD42" s="55">
        <v>15431000</v>
      </c>
      <c r="AE42" s="55">
        <v>26156334</v>
      </c>
      <c r="AF42" s="55">
        <f>41587334-AD42</f>
        <v>26156334</v>
      </c>
      <c r="AG42" s="55">
        <v>10660833</v>
      </c>
      <c r="AH42" s="55">
        <f>52248167-AF42-AD42</f>
        <v>10660833</v>
      </c>
      <c r="AI42" s="55">
        <v>15349934</v>
      </c>
      <c r="AJ42" s="55">
        <f>67598101-AH42-AF42-AD42</f>
        <v>15349934</v>
      </c>
      <c r="AK42" s="55">
        <v>1480833</v>
      </c>
      <c r="AL42" s="55">
        <f>69078934-AJ42-AH42-AF42-AD42</f>
        <v>1480833</v>
      </c>
      <c r="AM42" s="55">
        <v>2673933</v>
      </c>
      <c r="AN42" s="55">
        <v>4986645</v>
      </c>
      <c r="AO42" s="55">
        <v>0</v>
      </c>
      <c r="AP42" s="55">
        <v>0</v>
      </c>
      <c r="AQ42" s="55">
        <v>11094200</v>
      </c>
      <c r="AR42" s="55">
        <v>2650000</v>
      </c>
      <c r="AS42" s="55">
        <f>1195077</f>
        <v>1195077</v>
      </c>
      <c r="AT42" s="55">
        <v>0</v>
      </c>
      <c r="AU42" s="55">
        <v>-8431</v>
      </c>
      <c r="AV42" s="55">
        <v>0</v>
      </c>
      <c r="AW42" s="55">
        <v>0</v>
      </c>
      <c r="AX42" s="55">
        <v>2673933</v>
      </c>
      <c r="AY42" s="55">
        <v>0</v>
      </c>
      <c r="AZ42" s="55">
        <v>4255613.8304193616</v>
      </c>
      <c r="BA42" s="61">
        <f>AY42+AW42+AU42+AS42+AQ42+AO42+AM42+AK42+AI42+AG42+AE42+AC42</f>
        <v>84033713</v>
      </c>
      <c r="BB42" s="61">
        <f>AC42+AE42+AG42+AI42+AK42+AM42+AO42+AQ42+AS42+AU42+AW42+AY42</f>
        <v>84033713</v>
      </c>
      <c r="BC42" s="61">
        <f>AD42+AF42+AH42+AJ42+AL42+AN42+AP42+AR42+AT42+AV42+AX42+AZ42</f>
        <v>83645125.830419362</v>
      </c>
      <c r="BD42" s="61">
        <f>AE42+AG42+AI42+AK42+AM42+AO42+AQ42+AS42+AU42+AW42+AY42+AC42</f>
        <v>84033713</v>
      </c>
      <c r="BE42" s="61">
        <f>AD42+AF42+AH42+AJ42+AL42+AN42+AP42+AR42+AT42+AV42+AX42+AZ42</f>
        <v>83645125.830419362</v>
      </c>
      <c r="BF42" s="55">
        <v>169302984</v>
      </c>
      <c r="BG42" s="55">
        <v>6200833</v>
      </c>
      <c r="BH42" s="55"/>
      <c r="BI42" s="55">
        <f>8365466- 453333</f>
        <v>7912133</v>
      </c>
      <c r="BJ42" s="55">
        <v>14024632</v>
      </c>
      <c r="BK42" s="55">
        <v>154736685</v>
      </c>
      <c r="BL42" s="55">
        <v>0</v>
      </c>
      <c r="BM42" s="55"/>
      <c r="BN42" s="55">
        <v>0</v>
      </c>
      <c r="BO42" s="55"/>
      <c r="BP42" s="55">
        <v>0</v>
      </c>
      <c r="BQ42" s="55"/>
      <c r="BR42" s="55">
        <v>0</v>
      </c>
      <c r="BS42" s="55">
        <v>453333</v>
      </c>
      <c r="BT42" s="55">
        <v>154825019</v>
      </c>
      <c r="BU42" s="55">
        <v>0</v>
      </c>
      <c r="BV42" s="55">
        <v>0</v>
      </c>
      <c r="BW42" s="55">
        <v>-453334</v>
      </c>
      <c r="BX42" s="55">
        <v>-1</v>
      </c>
      <c r="BY42" s="55">
        <v>-82196508</v>
      </c>
      <c r="BZ42" s="55">
        <v>-96292309</v>
      </c>
      <c r="CA42" s="55">
        <v>82649842</v>
      </c>
      <c r="CB42" s="55">
        <v>96292309</v>
      </c>
      <c r="CC42" s="55">
        <v>-453334</v>
      </c>
      <c r="CD42" s="55">
        <v>0</v>
      </c>
      <c r="CE42" s="55">
        <f>CC42+CA42+BY42+BW42+BU42+BS42+BQ42+BO42+BM42+BK42+BI42+BG42</f>
        <v>168849650</v>
      </c>
      <c r="CF42" s="55">
        <f>+BG42+BI42+BK42+BM42+BO42+BQ42+BS42+BU42+BW42+BY42+CA42+CC42</f>
        <v>168849650</v>
      </c>
      <c r="CG42" s="55">
        <f>+BH42+BJ42+BL42+BN42+BP42+BR42+BT42+BV42+BX42+BZ42+CB42+CD42</f>
        <v>168849650</v>
      </c>
      <c r="CH42" s="54">
        <f>CC42+CA42+BY42+BW42+BU42+BS42+BQ42+BO42+BM42+BK42+BI42+BG42</f>
        <v>168849650</v>
      </c>
      <c r="CI42" s="54">
        <f>+BH42+BJ42+BL42+BN42+BP42+BR42+BT42+BV42+BX42+BZ42+CB42+CD42</f>
        <v>168849650</v>
      </c>
      <c r="CJ42" s="55">
        <v>424251661</v>
      </c>
      <c r="CK42" s="55">
        <v>18171580</v>
      </c>
      <c r="CL42" s="55">
        <v>0</v>
      </c>
      <c r="CM42" s="55">
        <v>59021327</v>
      </c>
      <c r="CN42" s="55">
        <v>55214566</v>
      </c>
      <c r="CO42" s="55">
        <v>30050967</v>
      </c>
      <c r="CP42" s="55">
        <v>28851621</v>
      </c>
      <c r="CQ42" s="55">
        <v>55152227</v>
      </c>
      <c r="CR42" s="55">
        <v>68767294</v>
      </c>
      <c r="CS42" s="162">
        <f>14631000-345466</f>
        <v>14285534</v>
      </c>
      <c r="CT42" s="783">
        <v>18116833</v>
      </c>
      <c r="CU42" s="162">
        <v>207951800</v>
      </c>
      <c r="CV42" s="162">
        <v>0</v>
      </c>
      <c r="CW42" s="162">
        <v>0</v>
      </c>
      <c r="CX42" s="807">
        <v>41067136</v>
      </c>
      <c r="CY42" s="162">
        <v>39272760</v>
      </c>
      <c r="CZ42" s="162">
        <v>0</v>
      </c>
      <c r="DA42" s="162">
        <v>0</v>
      </c>
      <c r="DB42" s="162">
        <v>1692667</v>
      </c>
      <c r="DC42" s="162">
        <f>-207807000+207807000</f>
        <v>0</v>
      </c>
      <c r="DD42" s="162">
        <v>167359280</v>
      </c>
      <c r="DE42" s="162">
        <v>0</v>
      </c>
      <c r="DF42" s="162">
        <v>0</v>
      </c>
      <c r="DG42" s="162">
        <v>0</v>
      </c>
      <c r="DH42" s="162">
        <v>41009084</v>
      </c>
      <c r="DI42" s="163">
        <f>DG42+DE42+DC42+DA42+CY42+CW42+CU42+CM42+CS42+CO42+CQ42+CK42</f>
        <v>423906195</v>
      </c>
      <c r="DJ42" s="54">
        <f>CK42+CM42+CO42+CQ42+CS42+CU42+CW42+CY42+DA42+DC42+DE42+DG42</f>
        <v>423906195</v>
      </c>
      <c r="DK42" s="54">
        <f>CL42+CN42+CP42+CR42+CT42+CV42+CX42+CZ42+DB42+DD42+DF42+DH42</f>
        <v>422078481</v>
      </c>
      <c r="DL42" s="54">
        <f>CM42+CO42+CQ42+CS42+CU42+CW42+CY42+DA42+DC42+DE42+DG42+CK42</f>
        <v>423906195</v>
      </c>
      <c r="DM42" s="54">
        <f>DK42</f>
        <v>422078481</v>
      </c>
      <c r="DN42" s="55">
        <f>DO42+DQ42+DS42+DU42+DW42+DY42+EA42</f>
        <v>82357426</v>
      </c>
      <c r="DO42" s="180">
        <v>10821000</v>
      </c>
      <c r="DP42" s="180">
        <v>10821000</v>
      </c>
      <c r="DQ42" s="180">
        <v>55977609</v>
      </c>
      <c r="DR42" s="180">
        <v>27554033</v>
      </c>
      <c r="DS42" s="180">
        <v>0</v>
      </c>
      <c r="DT42" s="180">
        <v>22029467</v>
      </c>
      <c r="DU42" s="180">
        <v>0</v>
      </c>
      <c r="DV42" s="180">
        <v>9322960</v>
      </c>
      <c r="DW42" s="162">
        <v>0</v>
      </c>
      <c r="DX42" s="794">
        <v>7520905</v>
      </c>
      <c r="DY42" s="162">
        <v>0</v>
      </c>
      <c r="DZ42" s="680"/>
      <c r="EA42" s="162">
        <v>15558817</v>
      </c>
      <c r="EB42" s="679"/>
      <c r="EC42" s="679"/>
      <c r="ED42" s="679"/>
      <c r="EE42" s="679"/>
      <c r="EF42" s="679"/>
      <c r="EG42" s="679"/>
      <c r="EH42" s="679"/>
      <c r="EI42" s="679"/>
      <c r="EJ42" s="679"/>
      <c r="EK42" s="679"/>
      <c r="EL42" s="680"/>
      <c r="EM42" s="61">
        <f>EK42+EI42+EG42+EE42+EC42+EA42+DY42+DW42+DU42+DS42+DQ42+DO42</f>
        <v>82357426</v>
      </c>
      <c r="EN42" s="369">
        <f>DO42+DQ42+DS42+DU42+DW42</f>
        <v>66798609</v>
      </c>
      <c r="EO42" s="369">
        <f t="shared" si="87"/>
        <v>77248365</v>
      </c>
      <c r="EP42" s="54">
        <f>DQ42+DS42+DU42+DW42+DY42+EA42+EC42+EE42+EG42+EI42+EK42+DO42</f>
        <v>82357426</v>
      </c>
      <c r="EQ42" s="61">
        <f>DP42+DR42+DT42+DV42+DX42</f>
        <v>77248365</v>
      </c>
      <c r="ER42" s="134">
        <f t="shared" si="86"/>
        <v>0</v>
      </c>
      <c r="ES42" s="134">
        <f t="shared" si="5"/>
        <v>1.1564367305912013</v>
      </c>
      <c r="ET42" s="847">
        <f t="shared" si="6"/>
        <v>0.93796478049228982</v>
      </c>
      <c r="EU42" s="847">
        <f t="shared" si="24"/>
        <v>0.88679420293754918</v>
      </c>
      <c r="EV42" s="337">
        <f t="shared" si="7"/>
        <v>0.99325029211275262</v>
      </c>
      <c r="EW42" s="719"/>
      <c r="EX42" s="708"/>
      <c r="EY42" s="708" t="s">
        <v>547</v>
      </c>
      <c r="EZ42" s="717"/>
      <c r="FA42" s="716"/>
      <c r="FB42" s="427"/>
    </row>
    <row r="43" spans="1:160" s="3" customFormat="1" ht="24.95" customHeight="1" thickBot="1" x14ac:dyDescent="0.3">
      <c r="A43" s="458"/>
      <c r="B43" s="458"/>
      <c r="C43" s="458"/>
      <c r="D43" s="458"/>
      <c r="E43" s="458"/>
      <c r="F43" s="165" t="s">
        <v>42</v>
      </c>
      <c r="G43" s="822">
        <f>+G38+G41</f>
        <v>1</v>
      </c>
      <c r="H43" s="132">
        <f>+H38+H41</f>
        <v>1</v>
      </c>
      <c r="I43" s="776"/>
      <c r="J43" s="776"/>
      <c r="K43" s="776"/>
      <c r="L43" s="776"/>
      <c r="M43" s="776"/>
      <c r="N43" s="787"/>
      <c r="O43" s="776"/>
      <c r="P43" s="787"/>
      <c r="Q43" s="776"/>
      <c r="R43" s="813"/>
      <c r="S43" s="776"/>
      <c r="T43" s="787"/>
      <c r="U43" s="776"/>
      <c r="V43" s="776"/>
      <c r="W43" s="132" t="e">
        <f t="shared" ref="W43:AB43" si="88">+W38+W41</f>
        <v>#VALUE!</v>
      </c>
      <c r="X43" s="132" t="e">
        <f t="shared" si="88"/>
        <v>#VALUE!</v>
      </c>
      <c r="Y43" s="132" t="e">
        <f t="shared" si="88"/>
        <v>#VALUE!</v>
      </c>
      <c r="Z43" s="132">
        <f t="shared" si="88"/>
        <v>1</v>
      </c>
      <c r="AA43" s="132">
        <f t="shared" si="88"/>
        <v>1</v>
      </c>
      <c r="AB43" s="132">
        <f t="shared" si="88"/>
        <v>1</v>
      </c>
      <c r="AC43" s="132">
        <f t="shared" ref="AC43:AK43" si="89">+AC38+AC41</f>
        <v>1</v>
      </c>
      <c r="AD43" s="132">
        <f t="shared" si="89"/>
        <v>1</v>
      </c>
      <c r="AE43" s="132">
        <f t="shared" si="89"/>
        <v>1</v>
      </c>
      <c r="AF43" s="132">
        <f t="shared" si="89"/>
        <v>1</v>
      </c>
      <c r="AG43" s="132">
        <f t="shared" si="89"/>
        <v>1</v>
      </c>
      <c r="AH43" s="132">
        <f t="shared" si="89"/>
        <v>1</v>
      </c>
      <c r="AI43" s="132">
        <f t="shared" si="89"/>
        <v>1</v>
      </c>
      <c r="AJ43" s="132">
        <f t="shared" si="89"/>
        <v>1</v>
      </c>
      <c r="AK43" s="132">
        <f t="shared" si="89"/>
        <v>1</v>
      </c>
      <c r="AL43" s="132">
        <f t="shared" ref="AL43:AZ43" si="90">+AL38+AL41</f>
        <v>1</v>
      </c>
      <c r="AM43" s="132">
        <f t="shared" si="90"/>
        <v>1</v>
      </c>
      <c r="AN43" s="132">
        <f t="shared" si="90"/>
        <v>1</v>
      </c>
      <c r="AO43" s="132">
        <f t="shared" si="90"/>
        <v>1</v>
      </c>
      <c r="AP43" s="132">
        <f t="shared" si="90"/>
        <v>1</v>
      </c>
      <c r="AQ43" s="132">
        <f t="shared" si="90"/>
        <v>1</v>
      </c>
      <c r="AR43" s="132">
        <f t="shared" si="90"/>
        <v>1</v>
      </c>
      <c r="AS43" s="132">
        <f t="shared" si="90"/>
        <v>1</v>
      </c>
      <c r="AT43" s="132">
        <f t="shared" si="90"/>
        <v>1</v>
      </c>
      <c r="AU43" s="132">
        <f t="shared" si="90"/>
        <v>1</v>
      </c>
      <c r="AV43" s="132">
        <f t="shared" si="90"/>
        <v>1</v>
      </c>
      <c r="AW43" s="132">
        <f t="shared" si="90"/>
        <v>1</v>
      </c>
      <c r="AX43" s="132">
        <f t="shared" si="90"/>
        <v>1</v>
      </c>
      <c r="AY43" s="132">
        <f t="shared" si="90"/>
        <v>1</v>
      </c>
      <c r="AZ43" s="132">
        <f t="shared" si="90"/>
        <v>1</v>
      </c>
      <c r="BA43" s="132">
        <f t="shared" ref="BA43:BH44" si="91">+BA38+BA41</f>
        <v>1</v>
      </c>
      <c r="BB43" s="132">
        <f t="shared" si="91"/>
        <v>1</v>
      </c>
      <c r="BC43" s="132">
        <f t="shared" si="91"/>
        <v>1</v>
      </c>
      <c r="BD43" s="132">
        <f t="shared" si="91"/>
        <v>1</v>
      </c>
      <c r="BE43" s="132">
        <f t="shared" si="91"/>
        <v>1</v>
      </c>
      <c r="BF43" s="132">
        <f t="shared" si="91"/>
        <v>1</v>
      </c>
      <c r="BG43" s="132">
        <f t="shared" si="91"/>
        <v>1</v>
      </c>
      <c r="BH43" s="132">
        <f t="shared" si="91"/>
        <v>1</v>
      </c>
      <c r="BI43" s="132">
        <f t="shared" ref="BI43:BM44" si="92">+BI38+BI41</f>
        <v>1</v>
      </c>
      <c r="BJ43" s="132">
        <f>+BJ38+BJ41</f>
        <v>1</v>
      </c>
      <c r="BK43" s="132">
        <f t="shared" si="92"/>
        <v>1</v>
      </c>
      <c r="BL43" s="132">
        <f t="shared" si="92"/>
        <v>1</v>
      </c>
      <c r="BM43" s="132">
        <f t="shared" si="92"/>
        <v>1</v>
      </c>
      <c r="BN43" s="132">
        <f t="shared" ref="BN43:CS43" si="93">+BN38+BN41</f>
        <v>1</v>
      </c>
      <c r="BO43" s="132">
        <f t="shared" si="93"/>
        <v>1</v>
      </c>
      <c r="BP43" s="132">
        <f t="shared" si="93"/>
        <v>1</v>
      </c>
      <c r="BQ43" s="132">
        <f t="shared" si="93"/>
        <v>1</v>
      </c>
      <c r="BR43" s="132">
        <f t="shared" si="93"/>
        <v>1</v>
      </c>
      <c r="BS43" s="132">
        <f t="shared" si="93"/>
        <v>1</v>
      </c>
      <c r="BT43" s="132">
        <f t="shared" si="93"/>
        <v>1</v>
      </c>
      <c r="BU43" s="132">
        <f t="shared" si="93"/>
        <v>1</v>
      </c>
      <c r="BV43" s="132">
        <f t="shared" si="93"/>
        <v>1</v>
      </c>
      <c r="BW43" s="132">
        <f t="shared" si="93"/>
        <v>1</v>
      </c>
      <c r="BX43" s="132">
        <f t="shared" si="93"/>
        <v>1</v>
      </c>
      <c r="BY43" s="132">
        <f t="shared" si="93"/>
        <v>1</v>
      </c>
      <c r="BZ43" s="132">
        <f t="shared" si="93"/>
        <v>1</v>
      </c>
      <c r="CA43" s="132">
        <f t="shared" si="93"/>
        <v>1</v>
      </c>
      <c r="CB43" s="132">
        <f t="shared" si="93"/>
        <v>1</v>
      </c>
      <c r="CC43" s="132">
        <f t="shared" si="93"/>
        <v>1</v>
      </c>
      <c r="CD43" s="132">
        <f t="shared" si="93"/>
        <v>1</v>
      </c>
      <c r="CE43" s="132">
        <f t="shared" si="93"/>
        <v>1</v>
      </c>
      <c r="CF43" s="132">
        <f t="shared" si="93"/>
        <v>1</v>
      </c>
      <c r="CG43" s="132">
        <f t="shared" si="93"/>
        <v>1</v>
      </c>
      <c r="CH43" s="132">
        <f t="shared" si="93"/>
        <v>1</v>
      </c>
      <c r="CI43" s="132">
        <f t="shared" si="93"/>
        <v>1</v>
      </c>
      <c r="CJ43" s="822">
        <f t="shared" si="93"/>
        <v>1</v>
      </c>
      <c r="CK43" s="822">
        <f t="shared" si="93"/>
        <v>1</v>
      </c>
      <c r="CL43" s="822">
        <f t="shared" si="93"/>
        <v>1</v>
      </c>
      <c r="CM43" s="822">
        <f t="shared" si="93"/>
        <v>1</v>
      </c>
      <c r="CN43" s="822">
        <f t="shared" si="93"/>
        <v>1</v>
      </c>
      <c r="CO43" s="822">
        <f t="shared" si="93"/>
        <v>1</v>
      </c>
      <c r="CP43" s="822">
        <f t="shared" si="93"/>
        <v>1</v>
      </c>
      <c r="CQ43" s="822">
        <f t="shared" si="93"/>
        <v>1</v>
      </c>
      <c r="CR43" s="822">
        <f t="shared" si="93"/>
        <v>1</v>
      </c>
      <c r="CS43" s="822">
        <f t="shared" si="93"/>
        <v>1</v>
      </c>
      <c r="CT43" s="837">
        <f>CT38+CT41</f>
        <v>1</v>
      </c>
      <c r="CU43" s="822">
        <f t="shared" ref="CU43:DB43" si="94">+CU38+CU41</f>
        <v>1</v>
      </c>
      <c r="CV43" s="822">
        <f t="shared" si="94"/>
        <v>1</v>
      </c>
      <c r="CW43" s="822">
        <f t="shared" si="94"/>
        <v>1</v>
      </c>
      <c r="CX43" s="848">
        <f t="shared" si="94"/>
        <v>1</v>
      </c>
      <c r="CY43" s="822">
        <f t="shared" si="94"/>
        <v>1</v>
      </c>
      <c r="CZ43" s="822">
        <f t="shared" si="94"/>
        <v>1</v>
      </c>
      <c r="DA43" s="822">
        <f t="shared" si="94"/>
        <v>1</v>
      </c>
      <c r="DB43" s="848">
        <f t="shared" si="94"/>
        <v>1</v>
      </c>
      <c r="DC43" s="822">
        <f>+DC38+DC41</f>
        <v>1</v>
      </c>
      <c r="DD43" s="848"/>
      <c r="DE43" s="822">
        <f>+DE38+DE41</f>
        <v>1</v>
      </c>
      <c r="DF43" s="848">
        <f>+DF38+DF41</f>
        <v>1</v>
      </c>
      <c r="DG43" s="822">
        <f t="shared" ref="DG43:DN43" si="95">+DG38+DG41</f>
        <v>1</v>
      </c>
      <c r="DH43" s="848">
        <f t="shared" si="95"/>
        <v>1</v>
      </c>
      <c r="DI43" s="132">
        <f t="shared" si="95"/>
        <v>1</v>
      </c>
      <c r="DJ43" s="132">
        <f>+DJ38+DJ41</f>
        <v>1</v>
      </c>
      <c r="DK43" s="246">
        <f>+DK38+DK41</f>
        <v>1</v>
      </c>
      <c r="DL43" s="132">
        <f t="shared" si="95"/>
        <v>1</v>
      </c>
      <c r="DM43" s="132">
        <f t="shared" si="95"/>
        <v>1</v>
      </c>
      <c r="DN43" s="132">
        <f t="shared" si="95"/>
        <v>1</v>
      </c>
      <c r="DO43" s="319">
        <f t="shared" ref="DO43:DQ44" si="96">+DO38+DO41</f>
        <v>1</v>
      </c>
      <c r="DP43" s="319">
        <f t="shared" si="96"/>
        <v>1</v>
      </c>
      <c r="DQ43" s="319">
        <f t="shared" si="96"/>
        <v>1</v>
      </c>
      <c r="DR43" s="319">
        <f t="shared" ref="DR43" si="97">+DR38+DR41</f>
        <v>1</v>
      </c>
      <c r="DS43" s="319">
        <f t="shared" ref="DS43:DU44" si="98">+DS38+DS41</f>
        <v>1</v>
      </c>
      <c r="DT43" s="319">
        <f t="shared" si="98"/>
        <v>1</v>
      </c>
      <c r="DU43" s="319">
        <f t="shared" si="98"/>
        <v>1</v>
      </c>
      <c r="DV43" s="319">
        <f t="shared" ref="DV43" si="99">+DV38+DV41</f>
        <v>1</v>
      </c>
      <c r="DW43" s="266">
        <f t="shared" ref="DW43:DY44" si="100">+DW38+DW41</f>
        <v>1</v>
      </c>
      <c r="DX43" s="266">
        <f t="shared" si="100"/>
        <v>1</v>
      </c>
      <c r="DY43" s="266">
        <f t="shared" si="100"/>
        <v>1</v>
      </c>
      <c r="DZ43" s="828"/>
      <c r="EA43" s="266"/>
      <c r="EB43" s="868"/>
      <c r="EC43" s="868"/>
      <c r="ED43" s="868"/>
      <c r="EE43" s="868"/>
      <c r="EF43" s="868"/>
      <c r="EG43" s="868"/>
      <c r="EH43" s="868"/>
      <c r="EI43" s="868"/>
      <c r="EJ43" s="868"/>
      <c r="EK43" s="868"/>
      <c r="EL43" s="828"/>
      <c r="EM43" s="319">
        <f>EM38+EM41</f>
        <v>1</v>
      </c>
      <c r="EN43" s="319">
        <f>EN38+EN41</f>
        <v>1</v>
      </c>
      <c r="EO43" s="319">
        <f>DV43</f>
        <v>1</v>
      </c>
      <c r="EP43" s="319">
        <f>EP38+EP41</f>
        <v>1</v>
      </c>
      <c r="EQ43" s="319">
        <f>EQ38+EQ41</f>
        <v>1</v>
      </c>
      <c r="ER43" s="134">
        <f t="shared" si="86"/>
        <v>1</v>
      </c>
      <c r="ES43" s="259">
        <f t="shared" si="5"/>
        <v>1</v>
      </c>
      <c r="ET43" s="870">
        <f t="shared" si="6"/>
        <v>1</v>
      </c>
      <c r="EU43" s="870">
        <f t="shared" si="24"/>
        <v>1</v>
      </c>
      <c r="EV43" s="339">
        <f>+(AA43+BE43+CI43+DM43+EQ43)/500%</f>
        <v>1</v>
      </c>
      <c r="EW43" s="719"/>
      <c r="EX43" s="708"/>
      <c r="EY43" s="708" t="s">
        <v>547</v>
      </c>
      <c r="EZ43" s="717"/>
      <c r="FA43" s="716"/>
      <c r="FB43" s="427"/>
    </row>
    <row r="44" spans="1:160" s="36" customFormat="1" ht="24.95" customHeight="1" thickBot="1" x14ac:dyDescent="0.3">
      <c r="A44" s="458"/>
      <c r="B44" s="458"/>
      <c r="C44" s="458"/>
      <c r="D44" s="458"/>
      <c r="E44" s="458"/>
      <c r="F44" s="166" t="s">
        <v>44</v>
      </c>
      <c r="G44" s="135">
        <f>+G39+G42</f>
        <v>4408717120.8304195</v>
      </c>
      <c r="H44" s="136">
        <f>+H39+H42</f>
        <v>507619010</v>
      </c>
      <c r="I44" s="136"/>
      <c r="J44" s="136"/>
      <c r="K44" s="136"/>
      <c r="L44" s="136"/>
      <c r="M44" s="136"/>
      <c r="N44" s="136"/>
      <c r="O44" s="136"/>
      <c r="P44" s="136"/>
      <c r="Q44" s="136"/>
      <c r="R44" s="136"/>
      <c r="S44" s="136"/>
      <c r="T44" s="137"/>
      <c r="U44" s="136"/>
      <c r="V44" s="136"/>
      <c r="W44" s="136">
        <f t="shared" ref="W44:AB44" si="101">+W39+W42</f>
        <v>507619010</v>
      </c>
      <c r="X44" s="136">
        <f t="shared" si="101"/>
        <v>507619010</v>
      </c>
      <c r="Y44" s="136">
        <f t="shared" si="101"/>
        <v>232617000</v>
      </c>
      <c r="Z44" s="136">
        <f t="shared" si="101"/>
        <v>367619010</v>
      </c>
      <c r="AA44" s="136">
        <f t="shared" si="101"/>
        <v>232617000</v>
      </c>
      <c r="AB44" s="136">
        <f t="shared" si="101"/>
        <v>777848010</v>
      </c>
      <c r="AC44" s="136">
        <f t="shared" ref="AC44:AK44" si="102">+AC39+AC42</f>
        <v>15431000</v>
      </c>
      <c r="AD44" s="136">
        <f t="shared" si="102"/>
        <v>15431000</v>
      </c>
      <c r="AE44" s="136">
        <f t="shared" si="102"/>
        <v>60740334</v>
      </c>
      <c r="AF44" s="136">
        <f t="shared" si="102"/>
        <v>60740334</v>
      </c>
      <c r="AG44" s="136">
        <f t="shared" si="102"/>
        <v>319082833</v>
      </c>
      <c r="AH44" s="136">
        <f t="shared" si="102"/>
        <v>319082833</v>
      </c>
      <c r="AI44" s="136">
        <f t="shared" si="102"/>
        <v>17088568</v>
      </c>
      <c r="AJ44" s="136">
        <f t="shared" si="102"/>
        <v>17088568</v>
      </c>
      <c r="AK44" s="136">
        <f t="shared" si="102"/>
        <v>15722777</v>
      </c>
      <c r="AL44" s="136">
        <f t="shared" ref="AL44:AZ44" si="103">+AL39+AL42</f>
        <v>10722777</v>
      </c>
      <c r="AM44" s="136">
        <f t="shared" si="103"/>
        <v>2673933</v>
      </c>
      <c r="AN44" s="136">
        <f t="shared" si="103"/>
        <v>106766359</v>
      </c>
      <c r="AO44" s="136">
        <f t="shared" si="103"/>
        <v>0</v>
      </c>
      <c r="AP44" s="136">
        <f t="shared" si="103"/>
        <v>0</v>
      </c>
      <c r="AQ44" s="136">
        <f t="shared" si="103"/>
        <v>98678807.333333299</v>
      </c>
      <c r="AR44" s="136">
        <f t="shared" si="103"/>
        <v>39414000</v>
      </c>
      <c r="AS44" s="136">
        <f t="shared" si="103"/>
        <v>124099684.3333333</v>
      </c>
      <c r="AT44" s="136">
        <f t="shared" si="103"/>
        <v>0</v>
      </c>
      <c r="AU44" s="136">
        <f t="shared" si="103"/>
        <v>87576176.333333299</v>
      </c>
      <c r="AV44" s="136">
        <f t="shared" si="103"/>
        <v>11769667</v>
      </c>
      <c r="AW44" s="136">
        <f t="shared" si="103"/>
        <v>46164800</v>
      </c>
      <c r="AX44" s="136">
        <f t="shared" si="103"/>
        <v>21995433</v>
      </c>
      <c r="AY44" s="136">
        <f t="shared" si="103"/>
        <v>46164800</v>
      </c>
      <c r="AZ44" s="136">
        <f t="shared" si="103"/>
        <v>184481298.83041936</v>
      </c>
      <c r="BA44" s="136">
        <f t="shared" si="91"/>
        <v>833423713</v>
      </c>
      <c r="BB44" s="136">
        <f t="shared" si="91"/>
        <v>833423712.99999988</v>
      </c>
      <c r="BC44" s="136">
        <f t="shared" si="91"/>
        <v>787492269.8304193</v>
      </c>
      <c r="BD44" s="136">
        <f t="shared" si="91"/>
        <v>833423712.99999988</v>
      </c>
      <c r="BE44" s="136">
        <f t="shared" si="91"/>
        <v>787492269.8304193</v>
      </c>
      <c r="BF44" s="136">
        <f t="shared" si="91"/>
        <v>1012534984</v>
      </c>
      <c r="BG44" s="136">
        <f t="shared" si="91"/>
        <v>468432833</v>
      </c>
      <c r="BH44" s="136">
        <f t="shared" si="91"/>
        <v>455184000</v>
      </c>
      <c r="BI44" s="136">
        <f t="shared" si="92"/>
        <v>7912133</v>
      </c>
      <c r="BJ44" s="136">
        <f>+BJ39+BJ42</f>
        <v>14024632</v>
      </c>
      <c r="BK44" s="136">
        <f t="shared" si="92"/>
        <v>535736685</v>
      </c>
      <c r="BL44" s="136">
        <f t="shared" si="92"/>
        <v>0</v>
      </c>
      <c r="BM44" s="136">
        <f t="shared" si="92"/>
        <v>0</v>
      </c>
      <c r="BN44" s="136">
        <f t="shared" ref="BN44:CP44" si="104">+BN39+BN42</f>
        <v>0</v>
      </c>
      <c r="BO44" s="136">
        <f t="shared" si="104"/>
        <v>-7048000</v>
      </c>
      <c r="BP44" s="136">
        <f t="shared" si="104"/>
        <v>0</v>
      </c>
      <c r="BQ44" s="136">
        <f t="shared" si="104"/>
        <v>0</v>
      </c>
      <c r="BR44" s="136">
        <f t="shared" si="104"/>
        <v>0</v>
      </c>
      <c r="BS44" s="136">
        <f t="shared" si="104"/>
        <v>453333</v>
      </c>
      <c r="BT44" s="136">
        <f t="shared" si="104"/>
        <v>154825019</v>
      </c>
      <c r="BU44" s="136">
        <f t="shared" si="104"/>
        <v>60207700</v>
      </c>
      <c r="BV44" s="136">
        <f t="shared" si="104"/>
        <v>14028000</v>
      </c>
      <c r="BW44" s="136">
        <f t="shared" si="104"/>
        <v>56811164</v>
      </c>
      <c r="BX44" s="136">
        <f t="shared" si="104"/>
        <v>19349799</v>
      </c>
      <c r="BY44" s="136">
        <f t="shared" si="104"/>
        <v>52033594</v>
      </c>
      <c r="BZ44" s="136">
        <f t="shared" si="104"/>
        <v>-52172449</v>
      </c>
      <c r="CA44" s="136">
        <f t="shared" si="104"/>
        <v>82649842</v>
      </c>
      <c r="CB44" s="136">
        <f t="shared" si="104"/>
        <v>204260109</v>
      </c>
      <c r="CC44" s="136">
        <f t="shared" si="104"/>
        <v>-34453334</v>
      </c>
      <c r="CD44" s="136">
        <f t="shared" si="104"/>
        <v>383111048</v>
      </c>
      <c r="CE44" s="136">
        <f t="shared" si="104"/>
        <v>1222735950</v>
      </c>
      <c r="CF44" s="136">
        <f t="shared" si="104"/>
        <v>1222735950</v>
      </c>
      <c r="CG44" s="136">
        <f t="shared" si="104"/>
        <v>1192610158</v>
      </c>
      <c r="CH44" s="136">
        <f t="shared" si="104"/>
        <v>1222735950</v>
      </c>
      <c r="CI44" s="136">
        <f t="shared" si="104"/>
        <v>1192610158</v>
      </c>
      <c r="CJ44" s="136">
        <f t="shared" si="104"/>
        <v>978344661</v>
      </c>
      <c r="CK44" s="136">
        <f t="shared" si="104"/>
        <v>4677580</v>
      </c>
      <c r="CL44" s="136">
        <f t="shared" si="104"/>
        <v>0</v>
      </c>
      <c r="CM44" s="136">
        <f t="shared" si="104"/>
        <v>109113327</v>
      </c>
      <c r="CN44" s="136">
        <f t="shared" si="104"/>
        <v>238369066</v>
      </c>
      <c r="CO44" s="136">
        <f t="shared" si="104"/>
        <v>85439783</v>
      </c>
      <c r="CP44" s="136">
        <f t="shared" si="104"/>
        <v>266555164</v>
      </c>
      <c r="CQ44" s="136">
        <f>+CQ39+CS42</f>
        <v>69674350</v>
      </c>
      <c r="CR44" s="136">
        <f>+CR39+CU42</f>
        <v>231912701</v>
      </c>
      <c r="CS44" s="136">
        <f>+CS39+CV42</f>
        <v>75388816</v>
      </c>
      <c r="CT44" s="182">
        <f>+CT39+CT42</f>
        <v>18116833</v>
      </c>
      <c r="CU44" s="136">
        <f>+CU39+CZ42</f>
        <v>55388816</v>
      </c>
      <c r="CV44" s="136">
        <f>+CV39+DA42</f>
        <v>0</v>
      </c>
      <c r="CW44" s="136">
        <f>+CW39+CW42</f>
        <v>59555482</v>
      </c>
      <c r="CX44" s="236">
        <f>+CX39+CX42</f>
        <v>77915136</v>
      </c>
      <c r="CY44" s="136">
        <f>+CY39+DH42</f>
        <v>100564566</v>
      </c>
      <c r="CZ44" s="136">
        <f>+CZ39+DI42</f>
        <v>423906195</v>
      </c>
      <c r="DA44" s="136">
        <f>+DA39+DA42</f>
        <v>59555482</v>
      </c>
      <c r="DB44" s="136">
        <f>+DB39+DB42</f>
        <v>1692667</v>
      </c>
      <c r="DC44" s="136">
        <f>+DC39+DC42</f>
        <v>77802749</v>
      </c>
      <c r="DD44" s="136"/>
      <c r="DE44" s="136">
        <f>+DE39+DE42</f>
        <v>9463482</v>
      </c>
      <c r="DF44" s="136"/>
      <c r="DG44" s="136">
        <f>+DG39+DG42</f>
        <v>6195226</v>
      </c>
      <c r="DH44" s="136">
        <f t="shared" ref="DH44:DN44" si="105">+DH39+DH42</f>
        <v>65575526</v>
      </c>
      <c r="DI44" s="136">
        <f t="shared" si="105"/>
        <v>974187362</v>
      </c>
      <c r="DJ44" s="136">
        <f>+DJ39+DJ42</f>
        <v>974187362</v>
      </c>
      <c r="DK44" s="136">
        <f>+DK39+DK42</f>
        <v>960079267</v>
      </c>
      <c r="DL44" s="136">
        <f t="shared" si="105"/>
        <v>974187362</v>
      </c>
      <c r="DM44" s="136">
        <f t="shared" si="105"/>
        <v>960079267</v>
      </c>
      <c r="DN44" s="136">
        <f t="shared" si="105"/>
        <v>1235918426</v>
      </c>
      <c r="DO44" s="182">
        <f t="shared" si="96"/>
        <v>53973000</v>
      </c>
      <c r="DP44" s="182">
        <f t="shared" si="96"/>
        <v>53973000</v>
      </c>
      <c r="DQ44" s="182">
        <f t="shared" si="96"/>
        <v>278990609</v>
      </c>
      <c r="DR44" s="182">
        <f t="shared" ref="DR44" si="106">+DR39+DR42</f>
        <v>191982033</v>
      </c>
      <c r="DS44" s="182">
        <f t="shared" si="98"/>
        <v>221849000</v>
      </c>
      <c r="DT44" s="182">
        <f t="shared" si="98"/>
        <v>138145277</v>
      </c>
      <c r="DU44" s="182">
        <f t="shared" si="98"/>
        <v>187849985</v>
      </c>
      <c r="DV44" s="182">
        <f t="shared" ref="DV44" si="107">+DV39+DV42</f>
        <v>38054960</v>
      </c>
      <c r="DW44" s="236">
        <f t="shared" si="100"/>
        <v>167325896</v>
      </c>
      <c r="DX44" s="236">
        <f t="shared" si="100"/>
        <v>100050431</v>
      </c>
      <c r="DY44" s="236">
        <f t="shared" si="100"/>
        <v>254395156</v>
      </c>
      <c r="DZ44" s="149"/>
      <c r="EA44" s="286"/>
      <c r="EB44" s="286"/>
      <c r="EC44" s="286"/>
      <c r="ED44" s="286"/>
      <c r="EE44" s="286"/>
      <c r="EF44" s="286"/>
      <c r="EG44" s="286"/>
      <c r="EH44" s="286"/>
      <c r="EI44" s="286"/>
      <c r="EJ44" s="286"/>
      <c r="EK44" s="286"/>
      <c r="EL44" s="149"/>
      <c r="EM44" s="272">
        <f>EM39+EM42</f>
        <v>1235918426</v>
      </c>
      <c r="EN44" s="182">
        <f>+EN39+EN42</f>
        <v>909988490</v>
      </c>
      <c r="EO44" s="273">
        <f>+EO39+EO42</f>
        <v>522205701</v>
      </c>
      <c r="EP44" s="182">
        <f>+EP39+EP42</f>
        <v>1235918426</v>
      </c>
      <c r="EQ44" s="182">
        <f>+EQ39+EQ42</f>
        <v>522205701</v>
      </c>
      <c r="ER44" s="260">
        <f>IFERROR(DX44/DW44,0)</f>
        <v>0.59793751829065356</v>
      </c>
      <c r="ES44" s="260">
        <f t="shared" si="5"/>
        <v>0.57385967706031094</v>
      </c>
      <c r="ET44" s="845">
        <f>IFERROR(EQ44/EP44,0)</f>
        <v>0.42252440777187666</v>
      </c>
      <c r="EU44" s="845">
        <f t="shared" si="24"/>
        <v>0.8577166667817645</v>
      </c>
      <c r="EV44" s="846">
        <f t="shared" si="7"/>
        <v>0.838113286600351</v>
      </c>
      <c r="EW44" s="719"/>
      <c r="EX44" s="707"/>
      <c r="EY44" s="707" t="s">
        <v>547</v>
      </c>
      <c r="EZ44" s="717"/>
      <c r="FA44" s="716"/>
      <c r="FB44" s="427"/>
    </row>
    <row r="45" spans="1:160" s="3" customFormat="1" ht="24.95" customHeight="1" x14ac:dyDescent="0.25">
      <c r="A45" s="458" t="s">
        <v>295</v>
      </c>
      <c r="B45" s="458">
        <v>6</v>
      </c>
      <c r="C45" s="458" t="s">
        <v>780</v>
      </c>
      <c r="D45" s="458" t="s">
        <v>255</v>
      </c>
      <c r="E45" s="458">
        <v>268</v>
      </c>
      <c r="F45" s="165" t="s">
        <v>40</v>
      </c>
      <c r="G45" s="835">
        <f>+AA45+BE45+CI45+DM45+EP45</f>
        <v>9050</v>
      </c>
      <c r="H45" s="701">
        <v>1292</v>
      </c>
      <c r="I45" s="701"/>
      <c r="J45" s="701"/>
      <c r="K45" s="701"/>
      <c r="L45" s="701"/>
      <c r="M45" s="701"/>
      <c r="N45" s="701"/>
      <c r="O45" s="701"/>
      <c r="P45" s="701"/>
      <c r="Q45" s="701"/>
      <c r="R45" s="701"/>
      <c r="S45" s="701"/>
      <c r="T45" s="701"/>
      <c r="U45" s="701"/>
      <c r="V45" s="701"/>
      <c r="W45" s="701">
        <v>1292</v>
      </c>
      <c r="X45" s="701">
        <v>1292</v>
      </c>
      <c r="Y45" s="701">
        <v>1292</v>
      </c>
      <c r="Z45" s="701">
        <v>1292</v>
      </c>
      <c r="AA45" s="701">
        <v>1292</v>
      </c>
      <c r="AB45" s="701">
        <v>759</v>
      </c>
      <c r="AC45" s="701">
        <v>51</v>
      </c>
      <c r="AD45" s="701">
        <v>278</v>
      </c>
      <c r="AE45" s="701">
        <v>66</v>
      </c>
      <c r="AF45" s="701">
        <v>211</v>
      </c>
      <c r="AG45" s="701">
        <v>66</v>
      </c>
      <c r="AH45" s="701">
        <v>837</v>
      </c>
      <c r="AI45" s="701">
        <v>473</v>
      </c>
      <c r="AJ45" s="701">
        <v>488</v>
      </c>
      <c r="AK45" s="701">
        <v>2050</v>
      </c>
      <c r="AL45" s="701">
        <v>892</v>
      </c>
      <c r="AM45" s="701">
        <v>295</v>
      </c>
      <c r="AN45" s="701">
        <v>798</v>
      </c>
      <c r="AO45" s="701">
        <v>295</v>
      </c>
      <c r="AP45" s="701">
        <v>265</v>
      </c>
      <c r="AQ45" s="701">
        <v>295</v>
      </c>
      <c r="AR45" s="701">
        <v>203</v>
      </c>
      <c r="AS45" s="701">
        <v>295</v>
      </c>
      <c r="AT45" s="701">
        <v>294</v>
      </c>
      <c r="AU45" s="701">
        <v>295</v>
      </c>
      <c r="AV45" s="701">
        <v>575</v>
      </c>
      <c r="AW45" s="701">
        <v>295</v>
      </c>
      <c r="AX45" s="701">
        <v>57</v>
      </c>
      <c r="AY45" s="701">
        <f>231+243</f>
        <v>474</v>
      </c>
      <c r="AZ45" s="701">
        <v>52</v>
      </c>
      <c r="BA45" s="144">
        <f>AY45+AW45+AU45+AS45+AQ45+AO45+AM45+AK45+AI45+AG45+AE45+AC45</f>
        <v>4950</v>
      </c>
      <c r="BB45" s="144">
        <f t="shared" ref="BB45:BC49" si="108">AC45+AE45+AG45+AI45+AK45+AM45+AO45+AQ45+AS45+AU45+AW45+AY45</f>
        <v>4950</v>
      </c>
      <c r="BC45" s="144">
        <f t="shared" si="108"/>
        <v>4950</v>
      </c>
      <c r="BD45" s="144">
        <f>AE45+AG45+AI45+AK45+AM45+AO45+AQ45+AS45+AU45+AW45+AY45+AC45</f>
        <v>4950</v>
      </c>
      <c r="BE45" s="144">
        <f>AD45+AF45+AH45+AJ45+AL45+AN45+AP45+AR45+AT45+AV45+AX45+AZ45</f>
        <v>4950</v>
      </c>
      <c r="BF45" s="701">
        <v>1097</v>
      </c>
      <c r="BG45" s="701">
        <v>85</v>
      </c>
      <c r="BH45" s="701">
        <v>0</v>
      </c>
      <c r="BI45" s="701">
        <v>92</v>
      </c>
      <c r="BJ45" s="701">
        <v>32</v>
      </c>
      <c r="BK45" s="701">
        <v>92</v>
      </c>
      <c r="BL45" s="701">
        <v>55</v>
      </c>
      <c r="BM45" s="701">
        <v>92</v>
      </c>
      <c r="BN45" s="701">
        <v>110</v>
      </c>
      <c r="BO45" s="701">
        <v>92</v>
      </c>
      <c r="BP45" s="701">
        <v>263</v>
      </c>
      <c r="BQ45" s="701">
        <v>99</v>
      </c>
      <c r="BR45" s="701">
        <v>87</v>
      </c>
      <c r="BS45" s="701">
        <v>92</v>
      </c>
      <c r="BT45" s="701">
        <v>65</v>
      </c>
      <c r="BU45" s="701">
        <v>92</v>
      </c>
      <c r="BV45" s="701">
        <v>99</v>
      </c>
      <c r="BW45" s="701">
        <v>92</v>
      </c>
      <c r="BX45" s="701">
        <v>171</v>
      </c>
      <c r="BY45" s="701">
        <v>92</v>
      </c>
      <c r="BZ45" s="701">
        <v>103</v>
      </c>
      <c r="CA45" s="701">
        <v>92</v>
      </c>
      <c r="CB45" s="701">
        <v>94</v>
      </c>
      <c r="CC45" s="781">
        <f>85+86</f>
        <v>171</v>
      </c>
      <c r="CD45" s="701">
        <v>104</v>
      </c>
      <c r="CE45" s="701">
        <f>CC45+CA45+BY45+BW45+BU45+BS45+BQ45+BO45+BM45+BK45+BI45+BG45</f>
        <v>1183</v>
      </c>
      <c r="CF45" s="701">
        <f t="shared" ref="CF45:CG49" si="109">+BG45+BI45+BK45+BM45+BO45+BQ45+BS45+BU45+BW45+BY45+CA45+CC45</f>
        <v>1183</v>
      </c>
      <c r="CG45" s="145">
        <f t="shared" si="109"/>
        <v>1183</v>
      </c>
      <c r="CH45" s="145">
        <f>CC45+CA45+BY45+BW45+BU45+BS45+BQ45+BO45+BM45+BK45+BI45+BG45</f>
        <v>1183</v>
      </c>
      <c r="CI45" s="145">
        <f>+BH45+BJ45+BL45+BN45+BP45+BR45+BT45+BV45+BX45+BZ45+CB45+CD45</f>
        <v>1183</v>
      </c>
      <c r="CJ45" s="701">
        <v>370</v>
      </c>
      <c r="CK45" s="701">
        <v>10</v>
      </c>
      <c r="CL45" s="701">
        <v>10</v>
      </c>
      <c r="CM45" s="701">
        <v>13</v>
      </c>
      <c r="CN45" s="701">
        <v>13</v>
      </c>
      <c r="CO45" s="701">
        <v>34</v>
      </c>
      <c r="CP45" s="701">
        <v>34</v>
      </c>
      <c r="CQ45" s="701">
        <v>35</v>
      </c>
      <c r="CR45" s="797">
        <v>79</v>
      </c>
      <c r="CS45" s="701">
        <v>35</v>
      </c>
      <c r="CT45" s="785">
        <v>43</v>
      </c>
      <c r="CU45" s="701">
        <v>58</v>
      </c>
      <c r="CV45" s="809">
        <v>215</v>
      </c>
      <c r="CW45" s="697">
        <f>35+24</f>
        <v>59</v>
      </c>
      <c r="CX45" s="809">
        <v>24</v>
      </c>
      <c r="CY45" s="697">
        <f>35+82</f>
        <v>117</v>
      </c>
      <c r="CZ45" s="809">
        <v>117</v>
      </c>
      <c r="DA45" s="697">
        <f>35+103</f>
        <v>138</v>
      </c>
      <c r="DB45" s="809">
        <v>112</v>
      </c>
      <c r="DC45" s="697">
        <f>35+103</f>
        <v>138</v>
      </c>
      <c r="DD45" s="796">
        <v>196</v>
      </c>
      <c r="DE45" s="697">
        <f>35+103</f>
        <v>138</v>
      </c>
      <c r="DF45" s="809">
        <v>15</v>
      </c>
      <c r="DG45" s="697">
        <f>34+93+291</f>
        <v>418</v>
      </c>
      <c r="DH45" s="697">
        <v>335</v>
      </c>
      <c r="DI45" s="689">
        <f>DG45+DE45+DC45+DA45+CY45+CW45+CU45+CS45+CQ45+CO45+CM45+CK45</f>
        <v>1193</v>
      </c>
      <c r="DJ45" s="689">
        <f t="shared" ref="DJ45:DK48" si="110">CK45+CM45+CO45+CQ45+CS45+CU45+CW45+CY45+DA45+DC45+DE45+DG45</f>
        <v>1193</v>
      </c>
      <c r="DK45" s="689">
        <f t="shared" si="110"/>
        <v>1193</v>
      </c>
      <c r="DL45" s="133">
        <f>CM45+CO45+CQ45+CS45+CU45+CW45+CY45+DA45+DC45+DE45+DG45+CK45</f>
        <v>1193</v>
      </c>
      <c r="DM45" s="133">
        <f t="shared" ref="DM45" si="111">CN45+CP45+CR45+CT45+CV45+CX45+CZ45+DB45+DD45+DF45+DH45+CL45</f>
        <v>1193</v>
      </c>
      <c r="DN45" s="697">
        <v>153</v>
      </c>
      <c r="DO45" s="700">
        <v>56</v>
      </c>
      <c r="DP45" s="700">
        <v>56</v>
      </c>
      <c r="DQ45" s="700">
        <f>28+25</f>
        <v>53</v>
      </c>
      <c r="DR45" s="700">
        <v>53</v>
      </c>
      <c r="DS45" s="700">
        <v>22</v>
      </c>
      <c r="DT45" s="700">
        <v>34</v>
      </c>
      <c r="DU45" s="700">
        <f>106</f>
        <v>106</v>
      </c>
      <c r="DV45" s="700">
        <v>106</v>
      </c>
      <c r="DW45" s="775">
        <f>7+97</f>
        <v>104</v>
      </c>
      <c r="DX45" s="775">
        <v>107</v>
      </c>
      <c r="DY45" s="775">
        <f>3+88</f>
        <v>91</v>
      </c>
      <c r="DZ45" s="803"/>
      <c r="EA45" s="775"/>
      <c r="EB45" s="791"/>
      <c r="EC45" s="791"/>
      <c r="ED45" s="791"/>
      <c r="EE45" s="791"/>
      <c r="EF45" s="791"/>
      <c r="EG45" s="685"/>
      <c r="EH45" s="685"/>
      <c r="EI45" s="685"/>
      <c r="EJ45" s="685"/>
      <c r="EK45" s="685"/>
      <c r="EL45" s="780"/>
      <c r="EM45" s="700">
        <f>EK45+EI45+EG45+EE45+EC45+EA45+DY45+DW45+DU45+DS45+DQ45+DO45</f>
        <v>432</v>
      </c>
      <c r="EN45" s="700">
        <f>DO45+DQ45+DS45+DU45+DW45</f>
        <v>341</v>
      </c>
      <c r="EO45" s="700">
        <f>DP45+DR45+DT45+DV45+DX45</f>
        <v>356</v>
      </c>
      <c r="EP45" s="804">
        <f>DQ45+DS45+DU45+DW45+DY45+EA45+EC45+EE45+EG45+EI45+EK45+DO45</f>
        <v>432</v>
      </c>
      <c r="EQ45" s="700">
        <f>DR45+DT45+DV45+DX45+DP45</f>
        <v>356</v>
      </c>
      <c r="ER45" s="134">
        <f>IFERROR(DX45/DW45,0)</f>
        <v>1.0288461538461537</v>
      </c>
      <c r="ES45" s="134">
        <f>IFERROR(EO45/EN45,0)</f>
        <v>1.0439882697947214</v>
      </c>
      <c r="ET45" s="847">
        <f t="shared" si="6"/>
        <v>0.82407407407407407</v>
      </c>
      <c r="EU45" s="847">
        <f t="shared" si="24"/>
        <v>1.0016742940060275</v>
      </c>
      <c r="EV45" s="336">
        <f t="shared" si="7"/>
        <v>0.99160220994475134</v>
      </c>
      <c r="EW45" s="706" t="s">
        <v>790</v>
      </c>
      <c r="EX45" s="708" t="s">
        <v>547</v>
      </c>
      <c r="EY45" s="708" t="s">
        <v>547</v>
      </c>
      <c r="EZ45" s="712" t="s">
        <v>519</v>
      </c>
      <c r="FA45" s="713" t="s">
        <v>681</v>
      </c>
      <c r="FB45" s="427"/>
    </row>
    <row r="46" spans="1:160" s="39" customFormat="1" ht="24.95" customHeight="1" x14ac:dyDescent="0.25">
      <c r="A46" s="458"/>
      <c r="B46" s="458"/>
      <c r="C46" s="458"/>
      <c r="D46" s="458"/>
      <c r="E46" s="458"/>
      <c r="F46" s="166" t="s">
        <v>3</v>
      </c>
      <c r="G46" s="55">
        <f>+AA46+BE46+CI46+DM46+EP46</f>
        <v>7379261532</v>
      </c>
      <c r="H46" s="54">
        <v>658814131</v>
      </c>
      <c r="I46" s="61"/>
      <c r="J46" s="61"/>
      <c r="K46" s="61"/>
      <c r="L46" s="61"/>
      <c r="M46" s="61"/>
      <c r="N46" s="61"/>
      <c r="O46" s="61"/>
      <c r="P46" s="61"/>
      <c r="Q46" s="61"/>
      <c r="R46" s="61"/>
      <c r="S46" s="61"/>
      <c r="T46" s="54"/>
      <c r="U46" s="54"/>
      <c r="V46" s="54"/>
      <c r="W46" s="54">
        <v>658814131</v>
      </c>
      <c r="X46" s="54">
        <v>658814131</v>
      </c>
      <c r="Y46" s="54">
        <v>644978000</v>
      </c>
      <c r="Z46" s="54">
        <v>658814131</v>
      </c>
      <c r="AA46" s="54">
        <v>644978000</v>
      </c>
      <c r="AB46" s="54">
        <v>1294148000</v>
      </c>
      <c r="AC46" s="61">
        <v>0</v>
      </c>
      <c r="AD46" s="54">
        <v>0</v>
      </c>
      <c r="AE46" s="54">
        <v>385283000</v>
      </c>
      <c r="AF46" s="54">
        <f>385283000-AD46</f>
        <v>385283000</v>
      </c>
      <c r="AG46" s="54">
        <v>752696000</v>
      </c>
      <c r="AH46" s="54">
        <f>1137979000-AF46-AD46</f>
        <v>752696000</v>
      </c>
      <c r="AI46" s="54">
        <v>0</v>
      </c>
      <c r="AJ46" s="54">
        <f>1137979000-AH46-AF46-AD46</f>
        <v>0</v>
      </c>
      <c r="AK46" s="61">
        <v>24066000</v>
      </c>
      <c r="AL46" s="61">
        <f>1162045000-AJ46-AH46-AF46-AD46</f>
        <v>24066000</v>
      </c>
      <c r="AM46" s="61">
        <v>0</v>
      </c>
      <c r="AN46" s="61">
        <v>0</v>
      </c>
      <c r="AO46" s="61">
        <v>0</v>
      </c>
      <c r="AP46" s="61">
        <v>0</v>
      </c>
      <c r="AQ46" s="61">
        <v>44034333.333333336</v>
      </c>
      <c r="AR46" s="61">
        <v>0</v>
      </c>
      <c r="AS46" s="61">
        <v>44034333.333333336</v>
      </c>
      <c r="AT46" s="61">
        <v>24595500</v>
      </c>
      <c r="AU46" s="61">
        <v>44034333.333333336</v>
      </c>
      <c r="AV46" s="61">
        <v>15965667</v>
      </c>
      <c r="AW46" s="61">
        <v>0</v>
      </c>
      <c r="AX46" s="61">
        <v>61570599</v>
      </c>
      <c r="AY46" s="61">
        <v>0</v>
      </c>
      <c r="AZ46" s="61">
        <v>8140033</v>
      </c>
      <c r="BA46" s="54">
        <f>AY46+AW46+AU46+AS46+AQ46+AO46+AM46+AK46+AI46+AG46+AE46+AC46</f>
        <v>1294148000</v>
      </c>
      <c r="BB46" s="54">
        <f t="shared" si="108"/>
        <v>1294147999.9999998</v>
      </c>
      <c r="BC46" s="54">
        <f t="shared" si="108"/>
        <v>1272316799</v>
      </c>
      <c r="BD46" s="54">
        <f>AE46+AG46+AI46+AK46+AM46+AO46+AQ46+AS46+AU46+AW46+AY46+AC46</f>
        <v>1294147999.9999998</v>
      </c>
      <c r="BE46" s="54">
        <f>AD46+AF46+AH46+AJ46+AL46+AN46+AP46+AR46+AT46+AV46+AX46+AZ46</f>
        <v>1272316799</v>
      </c>
      <c r="BF46" s="54">
        <v>1568833000</v>
      </c>
      <c r="BG46" s="61">
        <v>1443681000</v>
      </c>
      <c r="BH46" s="61">
        <v>1487818000</v>
      </c>
      <c r="BI46" s="61">
        <v>0</v>
      </c>
      <c r="BJ46" s="61">
        <v>0</v>
      </c>
      <c r="BK46" s="61">
        <f>82874000+ 48160000</f>
        <v>131034000</v>
      </c>
      <c r="BL46" s="61">
        <v>0</v>
      </c>
      <c r="BM46" s="61">
        <v>0</v>
      </c>
      <c r="BN46" s="61">
        <v>0</v>
      </c>
      <c r="BO46" s="61">
        <v>7048000</v>
      </c>
      <c r="BP46" s="61">
        <v>0</v>
      </c>
      <c r="BQ46" s="61">
        <v>7278000</v>
      </c>
      <c r="BR46" s="61">
        <v>6020000</v>
      </c>
      <c r="BS46" s="61">
        <v>0</v>
      </c>
      <c r="BT46" s="61">
        <v>0</v>
      </c>
      <c r="BU46" s="61">
        <v>0</v>
      </c>
      <c r="BV46" s="61">
        <v>0</v>
      </c>
      <c r="BW46" s="61">
        <f>35000000+213822900</f>
        <v>248822900</v>
      </c>
      <c r="BX46" s="61">
        <v>47940200</v>
      </c>
      <c r="BY46" s="61">
        <v>115523998</v>
      </c>
      <c r="BZ46" s="61">
        <v>223888000</v>
      </c>
      <c r="CA46" s="61">
        <v>0</v>
      </c>
      <c r="CB46" s="61">
        <v>122375900</v>
      </c>
      <c r="CC46" s="61">
        <v>84750000</v>
      </c>
      <c r="CD46" s="61">
        <v>124732133</v>
      </c>
      <c r="CE46" s="55">
        <f>CC46+CA46+BY46+BW46+BU46+BS46+BQ46+BO46+BM46+BK46+BI46+BG46</f>
        <v>2038137898</v>
      </c>
      <c r="CF46" s="55">
        <f t="shared" si="109"/>
        <v>2038137898</v>
      </c>
      <c r="CG46" s="55">
        <f t="shared" si="109"/>
        <v>2012774233</v>
      </c>
      <c r="CH46" s="54">
        <f>CC46+CA46+BY46+BW46+BU46+BS46+BQ46+BO46+BM46+BK46+BI46+BG46</f>
        <v>2038137898</v>
      </c>
      <c r="CI46" s="54">
        <f>+BH46+BJ46+BL46+BN46+BP46+BR46+BT46+BV46+BX46+BZ46+CB46+CD46</f>
        <v>2012774233</v>
      </c>
      <c r="CJ46" s="61">
        <v>1768085000</v>
      </c>
      <c r="CK46" s="61">
        <v>-137880500</v>
      </c>
      <c r="CL46" s="61">
        <v>0</v>
      </c>
      <c r="CM46" s="61">
        <v>198245000</v>
      </c>
      <c r="CN46" s="61">
        <v>411740000</v>
      </c>
      <c r="CO46" s="61">
        <v>198245000</v>
      </c>
      <c r="CP46" s="61">
        <v>856353500</v>
      </c>
      <c r="CQ46" s="61">
        <v>198245000</v>
      </c>
      <c r="CR46" s="61">
        <v>188055000</v>
      </c>
      <c r="CS46" s="61">
        <v>198245000</v>
      </c>
      <c r="CT46" s="183">
        <v>43233000</v>
      </c>
      <c r="CU46" s="164">
        <v>198245000</v>
      </c>
      <c r="CV46" s="164">
        <v>18060000</v>
      </c>
      <c r="CW46" s="164">
        <f>198245000-35905500</f>
        <v>162339500</v>
      </c>
      <c r="CX46" s="164">
        <v>0</v>
      </c>
      <c r="CY46" s="61">
        <f>186205000-36954500</f>
        <v>149250500</v>
      </c>
      <c r="CZ46" s="164">
        <v>0</v>
      </c>
      <c r="DA46" s="164">
        <f>186205000-20758000</f>
        <v>165447000</v>
      </c>
      <c r="DB46" s="164">
        <v>0</v>
      </c>
      <c r="DC46" s="164">
        <f>186205000+58295432</f>
        <v>244500432</v>
      </c>
      <c r="DD46" s="164">
        <v>0</v>
      </c>
      <c r="DE46" s="164">
        <v>4698900</v>
      </c>
      <c r="DF46" s="164">
        <v>49728800</v>
      </c>
      <c r="DG46" s="164">
        <f>20000000+25517000</f>
        <v>45517000</v>
      </c>
      <c r="DH46" s="164">
        <v>49410200</v>
      </c>
      <c r="DI46" s="54">
        <f>DG46+DE46+DC46+DA46+CY46+CW46+CU46+CS46+CQ46+CO46+CM46+CK46</f>
        <v>1625097832</v>
      </c>
      <c r="DJ46" s="54">
        <f t="shared" si="110"/>
        <v>1625097832</v>
      </c>
      <c r="DK46" s="54">
        <f t="shared" si="110"/>
        <v>1616580500</v>
      </c>
      <c r="DL46" s="54">
        <f>CM46+CO46+CQ46+CS46+CU46+CW46+CY46+DA46+DC46+DE46+DG46+CK46</f>
        <v>1625097832</v>
      </c>
      <c r="DM46" s="54">
        <f>CN46+CP46+CR46+CT46+CV46+CX46+CZ46+DB46+DD46+DF46+DH46+CL46</f>
        <v>1616580500</v>
      </c>
      <c r="DN46" s="55">
        <f>DO46+DQ46+DS46+DU46+DW46+DY46+EA46</f>
        <v>1832612000</v>
      </c>
      <c r="DO46" s="180">
        <v>47492000</v>
      </c>
      <c r="DP46" s="180">
        <v>47492000</v>
      </c>
      <c r="DQ46" s="180">
        <v>359344000</v>
      </c>
      <c r="DR46" s="180">
        <v>230224000</v>
      </c>
      <c r="DS46" s="180">
        <v>326459871</v>
      </c>
      <c r="DT46" s="180">
        <v>157996000</v>
      </c>
      <c r="DU46" s="180">
        <v>146325987</v>
      </c>
      <c r="DV46" s="180">
        <v>89720000</v>
      </c>
      <c r="DW46" s="162">
        <v>413698324</v>
      </c>
      <c r="DX46" s="279">
        <v>268286000</v>
      </c>
      <c r="DY46" s="162">
        <v>346256985</v>
      </c>
      <c r="DZ46" s="49"/>
      <c r="EA46" s="162">
        <v>193034833</v>
      </c>
      <c r="EB46" s="281"/>
      <c r="EC46" s="281"/>
      <c r="ED46" s="281"/>
      <c r="EE46" s="281"/>
      <c r="EF46" s="281"/>
      <c r="EG46" s="281"/>
      <c r="EH46" s="281"/>
      <c r="EI46" s="281"/>
      <c r="EJ46" s="281"/>
      <c r="EK46" s="281"/>
      <c r="EL46" s="49"/>
      <c r="EM46" s="61">
        <f>EK46+EI46+EG46+EE46+EC46+EA46+DY46+DW46+DU46+DS46+DQ46+DO46</f>
        <v>1832612000</v>
      </c>
      <c r="EN46" s="686">
        <f t="shared" ref="EN46:EN47" si="112">DO46+DQ46+DS46+DU46+DW46</f>
        <v>1293320182</v>
      </c>
      <c r="EO46" s="686">
        <f t="shared" ref="EO46:EO49" si="113">DP46+DR46+DT46+DV46+DX46</f>
        <v>793718000</v>
      </c>
      <c r="EP46" s="262">
        <f>DQ46+DS46+DU46+DW46+DY46+EA46+EC46+EE46+EG46+EI46+EK46+DO46</f>
        <v>1832612000</v>
      </c>
      <c r="EQ46" s="61">
        <f>DP46+DR46+DT46+DV46+DX46</f>
        <v>793718000</v>
      </c>
      <c r="ER46" s="134">
        <f t="shared" ref="ER46:ER49" si="114">IFERROR(DX46/DW46,0)</f>
        <v>0.64850637393445176</v>
      </c>
      <c r="ES46" s="134">
        <f>IFERROR(EO47/EN46,0)</f>
        <v>0.18037497848309306</v>
      </c>
      <c r="ET46" s="847">
        <f t="shared" si="6"/>
        <v>0.43310749902325207</v>
      </c>
      <c r="EU46" s="847">
        <f>IFERROR((AA46+BE46+CI46+DM46+EO47)/(Z46+BD46+CH46+DL46+EN46),0)</f>
        <v>0.83651740917814399</v>
      </c>
      <c r="EV46" s="337">
        <f t="shared" si="7"/>
        <v>0.85921436779346283</v>
      </c>
      <c r="EW46" s="706"/>
      <c r="EX46" s="708"/>
      <c r="EY46" s="708" t="s">
        <v>547</v>
      </c>
      <c r="EZ46" s="712"/>
      <c r="FA46" s="716"/>
      <c r="FB46" s="427"/>
    </row>
    <row r="47" spans="1:160" s="39" customFormat="1" ht="24.95" customHeight="1" x14ac:dyDescent="0.25">
      <c r="A47" s="458"/>
      <c r="B47" s="458"/>
      <c r="C47" s="458"/>
      <c r="D47" s="458"/>
      <c r="E47" s="458"/>
      <c r="F47" s="167" t="s">
        <v>205</v>
      </c>
      <c r="G47" s="55"/>
      <c r="H47" s="54"/>
      <c r="I47" s="61"/>
      <c r="J47" s="61"/>
      <c r="K47" s="61"/>
      <c r="L47" s="61"/>
      <c r="M47" s="61"/>
      <c r="N47" s="61"/>
      <c r="O47" s="61"/>
      <c r="P47" s="61"/>
      <c r="Q47" s="61"/>
      <c r="R47" s="61"/>
      <c r="S47" s="61"/>
      <c r="T47" s="54"/>
      <c r="U47" s="54"/>
      <c r="V47" s="54"/>
      <c r="W47" s="54"/>
      <c r="X47" s="54"/>
      <c r="Y47" s="54"/>
      <c r="Z47" s="54"/>
      <c r="AA47" s="54"/>
      <c r="AB47" s="54"/>
      <c r="AC47" s="61">
        <v>0</v>
      </c>
      <c r="AD47" s="61">
        <v>0</v>
      </c>
      <c r="AE47" s="54">
        <v>0</v>
      </c>
      <c r="AF47" s="54">
        <v>0</v>
      </c>
      <c r="AG47" s="54">
        <v>2672200</v>
      </c>
      <c r="AH47" s="54">
        <v>2672200</v>
      </c>
      <c r="AI47" s="54">
        <v>50155734</v>
      </c>
      <c r="AJ47" s="54">
        <f>52827934-AH47</f>
        <v>50155734</v>
      </c>
      <c r="AK47" s="61">
        <v>112069567</v>
      </c>
      <c r="AL47" s="61">
        <f>164897501-AJ47-AH47</f>
        <v>112069567</v>
      </c>
      <c r="AM47" s="61">
        <v>153388400</v>
      </c>
      <c r="AN47" s="61">
        <v>153388400</v>
      </c>
      <c r="AO47" s="61">
        <v>0</v>
      </c>
      <c r="AP47" s="61">
        <v>133716400</v>
      </c>
      <c r="AQ47" s="61">
        <v>0</v>
      </c>
      <c r="AR47" s="61">
        <v>134296967</v>
      </c>
      <c r="AS47" s="61">
        <v>0</v>
      </c>
      <c r="AT47" s="61">
        <v>143750933</v>
      </c>
      <c r="AU47" s="61">
        <v>0</v>
      </c>
      <c r="AV47" s="61">
        <v>139067500</v>
      </c>
      <c r="AW47" s="61">
        <v>0</v>
      </c>
      <c r="AX47" s="61">
        <v>120979400</v>
      </c>
      <c r="AY47" s="61">
        <v>0</v>
      </c>
      <c r="AZ47" s="61">
        <v>168419156</v>
      </c>
      <c r="BA47" s="54">
        <f>AY47+AW47+AU47+AS47+AQ47+AO47+AM47+AK47+AI47+AG47+AE47+AC47</f>
        <v>318285901</v>
      </c>
      <c r="BB47" s="54">
        <f t="shared" si="108"/>
        <v>318285901</v>
      </c>
      <c r="BC47" s="54">
        <f t="shared" si="108"/>
        <v>1158516257</v>
      </c>
      <c r="BD47" s="54">
        <f>AE47+AG47+AI47+AK47+AM47+AO47+AQ47+AS47+AU47+AW47+AY47+AC47</f>
        <v>318285901</v>
      </c>
      <c r="BE47" s="54">
        <f>AD47+AF47+AH47+AJ47+AL47+AN47+AP47+AR47+AT47+AV47+AX47+AZ47</f>
        <v>1158516257</v>
      </c>
      <c r="BF47" s="61">
        <v>0</v>
      </c>
      <c r="BG47" s="61">
        <v>0</v>
      </c>
      <c r="BH47" s="61">
        <v>0</v>
      </c>
      <c r="BI47" s="61"/>
      <c r="BJ47" s="61">
        <v>13187899</v>
      </c>
      <c r="BK47" s="61"/>
      <c r="BL47" s="61">
        <v>121091401</v>
      </c>
      <c r="BM47" s="61"/>
      <c r="BN47" s="61">
        <v>139007700</v>
      </c>
      <c r="BO47" s="61"/>
      <c r="BP47" s="61">
        <v>162956333</v>
      </c>
      <c r="BQ47" s="61"/>
      <c r="BR47" s="61">
        <v>159505900</v>
      </c>
      <c r="BS47" s="61"/>
      <c r="BT47" s="61">
        <v>149244000</v>
      </c>
      <c r="BU47" s="61">
        <v>0</v>
      </c>
      <c r="BV47" s="61">
        <v>136416000</v>
      </c>
      <c r="BW47" s="61">
        <v>0</v>
      </c>
      <c r="BX47" s="61">
        <v>174495600</v>
      </c>
      <c r="BY47" s="61">
        <v>0</v>
      </c>
      <c r="BZ47" s="61">
        <v>162654334</v>
      </c>
      <c r="CA47" s="61">
        <v>0</v>
      </c>
      <c r="CB47" s="61">
        <v>162774200</v>
      </c>
      <c r="CC47" s="61">
        <v>0</v>
      </c>
      <c r="CD47" s="61">
        <v>241406833</v>
      </c>
      <c r="CE47" s="55">
        <f>CC47+CA47+BY47+BW47+BU47+BS47+BQ47+BO47+BM47+BK47+BI47+BG47</f>
        <v>0</v>
      </c>
      <c r="CF47" s="55">
        <f t="shared" si="109"/>
        <v>0</v>
      </c>
      <c r="CG47" s="55">
        <f t="shared" si="109"/>
        <v>1622740200</v>
      </c>
      <c r="CH47" s="54">
        <f>CC47+CA47+BY47+BW47+BU47+BS47+BQ47+BO47+BM47+BK47+BI47+BG47</f>
        <v>0</v>
      </c>
      <c r="CI47" s="54">
        <f>+BH47+BJ47+BL47+BN47+BP47+BR47+BT47+BV47+BX47+BZ47+CB47+CD47</f>
        <v>1622740200</v>
      </c>
      <c r="CJ47" s="61">
        <v>1768085000</v>
      </c>
      <c r="CK47" s="61">
        <v>-137880500</v>
      </c>
      <c r="CL47" s="61">
        <v>0</v>
      </c>
      <c r="CM47" s="61">
        <v>198245000</v>
      </c>
      <c r="CN47" s="61">
        <v>0</v>
      </c>
      <c r="CO47" s="61">
        <v>198245000</v>
      </c>
      <c r="CP47" s="61">
        <v>10565366</v>
      </c>
      <c r="CQ47" s="61">
        <v>198245000</v>
      </c>
      <c r="CR47" s="61">
        <v>78559167</v>
      </c>
      <c r="CS47" s="61">
        <v>198245000</v>
      </c>
      <c r="CT47" s="183">
        <v>141862968</v>
      </c>
      <c r="CU47" s="164">
        <v>198245000</v>
      </c>
      <c r="CV47" s="164">
        <v>120115700</v>
      </c>
      <c r="CW47" s="164">
        <f>198245000-35905500</f>
        <v>162339500</v>
      </c>
      <c r="CX47" s="164">
        <v>153134600</v>
      </c>
      <c r="CY47" s="61">
        <f>186205000-36954500</f>
        <v>149250500</v>
      </c>
      <c r="CZ47" s="164">
        <v>152058333</v>
      </c>
      <c r="DA47" s="164">
        <f>186205000-20758000</f>
        <v>165447000</v>
      </c>
      <c r="DB47" s="164">
        <v>145040101</v>
      </c>
      <c r="DC47" s="164">
        <f>186205000+58295432</f>
        <v>244500432</v>
      </c>
      <c r="DD47" s="164">
        <v>167937266</v>
      </c>
      <c r="DE47" s="164">
        <v>4698900</v>
      </c>
      <c r="DF47" s="164">
        <v>171985734</v>
      </c>
      <c r="DG47" s="164">
        <f>20000000+25517000</f>
        <v>45517000</v>
      </c>
      <c r="DH47" s="164">
        <v>221280000</v>
      </c>
      <c r="DI47" s="262">
        <f>DG47+DE47+DC47+DA47+CY47+CW47+CU47+CS47+CQ47+CO47+CM47+CK47</f>
        <v>1625097832</v>
      </c>
      <c r="DJ47" s="54">
        <f t="shared" si="110"/>
        <v>1625097832</v>
      </c>
      <c r="DK47" s="54">
        <f t="shared" si="110"/>
        <v>1362539235</v>
      </c>
      <c r="DL47" s="54">
        <f>CM47+CO47+CQ47+CS47+CU47+CW47+CY47+DA47+DC47+DE47+DG47+CK47</f>
        <v>1625097832</v>
      </c>
      <c r="DM47" s="54">
        <f>CN47+CP47+CR47+CT47+CV47+CX47+CZ47+DB47+DD47+DF47+DH47+CL47</f>
        <v>1362539235</v>
      </c>
      <c r="DN47" s="55">
        <f>DO47+DQ47+DS47+DU47+DW47+DY47+EA47</f>
        <v>1832612000</v>
      </c>
      <c r="DO47" s="180">
        <v>47492000</v>
      </c>
      <c r="DP47" s="180">
        <v>47492000</v>
      </c>
      <c r="DQ47" s="180">
        <v>359344000</v>
      </c>
      <c r="DR47" s="180">
        <v>-42707567</v>
      </c>
      <c r="DS47" s="180">
        <v>326459871</v>
      </c>
      <c r="DT47" s="180">
        <v>28360500</v>
      </c>
      <c r="DU47" s="180">
        <v>146325987</v>
      </c>
      <c r="DV47" s="180">
        <v>87804934</v>
      </c>
      <c r="DW47" s="162">
        <v>413698324</v>
      </c>
      <c r="DX47" s="279">
        <v>112332733</v>
      </c>
      <c r="DY47" s="162">
        <v>346256985</v>
      </c>
      <c r="DZ47" s="49"/>
      <c r="EA47" s="162">
        <v>193034833</v>
      </c>
      <c r="EB47" s="281"/>
      <c r="EC47" s="281"/>
      <c r="ED47" s="281"/>
      <c r="EE47" s="281"/>
      <c r="EF47" s="281"/>
      <c r="EG47" s="281"/>
      <c r="EH47" s="281"/>
      <c r="EI47" s="281"/>
      <c r="EJ47" s="281"/>
      <c r="EK47" s="281"/>
      <c r="EL47" s="49"/>
      <c r="EM47" s="61">
        <f>EK47+EI47+EG47+EE47+EC47+EA47+DY47+DW47+DU47+DS47+DQ47+DO47</f>
        <v>1832612000</v>
      </c>
      <c r="EN47" s="686">
        <f t="shared" si="112"/>
        <v>1293320182</v>
      </c>
      <c r="EO47" s="686">
        <f t="shared" si="113"/>
        <v>233282600</v>
      </c>
      <c r="EP47" s="262">
        <f>DQ47+DS47+DU47+DW47+DY47+EA47+EC47+EE47+EG47+EI47+EK47+DO47</f>
        <v>1832612000</v>
      </c>
      <c r="EQ47" s="61">
        <f>DP47+DR47+DT47+DV47+DX47</f>
        <v>233282600</v>
      </c>
      <c r="ER47" s="134">
        <f t="shared" si="114"/>
        <v>0.27153296613307043</v>
      </c>
      <c r="ES47" s="134">
        <f>IFERROR(EO48/EN47,0)</f>
        <v>0</v>
      </c>
      <c r="ET47" s="847">
        <f t="shared" si="6"/>
        <v>0.12729513939666443</v>
      </c>
      <c r="EU47" s="847" t="s">
        <v>311</v>
      </c>
      <c r="EV47" s="337">
        <f>IFERROR(+(AA47+BE47+CI47+DM47+EQ47)/G47,0)</f>
        <v>0</v>
      </c>
      <c r="EW47" s="706"/>
      <c r="EX47" s="708"/>
      <c r="EY47" s="708" t="s">
        <v>547</v>
      </c>
      <c r="EZ47" s="712"/>
      <c r="FA47" s="716"/>
      <c r="FB47" s="427"/>
    </row>
    <row r="48" spans="1:160" s="3" customFormat="1" ht="24.95" customHeight="1" x14ac:dyDescent="0.25">
      <c r="A48" s="458"/>
      <c r="B48" s="458"/>
      <c r="C48" s="458"/>
      <c r="D48" s="458"/>
      <c r="E48" s="458"/>
      <c r="F48" s="165" t="s">
        <v>41</v>
      </c>
      <c r="G48" s="189">
        <f>+AA48+BE48+CI48+DM48+EP48</f>
        <v>0</v>
      </c>
      <c r="H48" s="694">
        <v>0</v>
      </c>
      <c r="I48" s="694"/>
      <c r="J48" s="694"/>
      <c r="K48" s="694"/>
      <c r="L48" s="694"/>
      <c r="M48" s="694"/>
      <c r="N48" s="694"/>
      <c r="O48" s="694"/>
      <c r="P48" s="694"/>
      <c r="Q48" s="694"/>
      <c r="R48" s="694"/>
      <c r="S48" s="694"/>
      <c r="T48" s="694"/>
      <c r="U48" s="694"/>
      <c r="V48" s="694"/>
      <c r="W48" s="694">
        <v>0</v>
      </c>
      <c r="X48" s="694">
        <v>0</v>
      </c>
      <c r="Y48" s="694">
        <v>0</v>
      </c>
      <c r="Z48" s="694">
        <v>0</v>
      </c>
      <c r="AA48" s="694">
        <v>0</v>
      </c>
      <c r="AB48" s="694">
        <v>0</v>
      </c>
      <c r="AC48" s="694">
        <v>0</v>
      </c>
      <c r="AD48" s="694">
        <v>0</v>
      </c>
      <c r="AE48" s="694">
        <v>0</v>
      </c>
      <c r="AF48" s="694">
        <v>0</v>
      </c>
      <c r="AG48" s="694">
        <v>0</v>
      </c>
      <c r="AH48" s="694">
        <v>0</v>
      </c>
      <c r="AI48" s="694">
        <v>0</v>
      </c>
      <c r="AJ48" s="694">
        <v>0</v>
      </c>
      <c r="AK48" s="694">
        <v>0</v>
      </c>
      <c r="AL48" s="694">
        <v>0</v>
      </c>
      <c r="AM48" s="694">
        <v>0</v>
      </c>
      <c r="AN48" s="694">
        <v>0</v>
      </c>
      <c r="AO48" s="694">
        <v>0</v>
      </c>
      <c r="AP48" s="694">
        <v>0</v>
      </c>
      <c r="AQ48" s="694">
        <v>0</v>
      </c>
      <c r="AR48" s="694">
        <v>0</v>
      </c>
      <c r="AS48" s="694">
        <v>0</v>
      </c>
      <c r="AT48" s="694">
        <v>0</v>
      </c>
      <c r="AU48" s="694">
        <v>0</v>
      </c>
      <c r="AV48" s="694">
        <v>0</v>
      </c>
      <c r="AW48" s="694">
        <v>0</v>
      </c>
      <c r="AX48" s="694">
        <v>0</v>
      </c>
      <c r="AY48" s="694">
        <v>0</v>
      </c>
      <c r="AZ48" s="694">
        <v>0</v>
      </c>
      <c r="BA48" s="63">
        <f>AY48+AW48+AU48+AS48+AQ48+AO48+AM48+AK48+AI48+AG48+AE48+AC48</f>
        <v>0</v>
      </c>
      <c r="BB48" s="63">
        <f t="shared" si="108"/>
        <v>0</v>
      </c>
      <c r="BC48" s="63">
        <f t="shared" si="108"/>
        <v>0</v>
      </c>
      <c r="BD48" s="63">
        <f>BE49-BC49</f>
        <v>0</v>
      </c>
      <c r="BE48" s="63">
        <f>AD48+AF48+AH48+AJ48+AL48+AN48+AP48+AR48+AT48+AV48+AX48+AZ48</f>
        <v>0</v>
      </c>
      <c r="BF48" s="694">
        <v>0</v>
      </c>
      <c r="BG48" s="694">
        <v>0</v>
      </c>
      <c r="BH48" s="694">
        <v>0</v>
      </c>
      <c r="BI48" s="694"/>
      <c r="BJ48" s="694">
        <v>0</v>
      </c>
      <c r="BK48" s="694">
        <v>0</v>
      </c>
      <c r="BL48" s="694">
        <v>0</v>
      </c>
      <c r="BM48" s="694"/>
      <c r="BN48" s="694">
        <v>0</v>
      </c>
      <c r="BO48" s="694"/>
      <c r="BP48" s="694">
        <v>0</v>
      </c>
      <c r="BQ48" s="694"/>
      <c r="BR48" s="694">
        <v>0</v>
      </c>
      <c r="BS48" s="694"/>
      <c r="BT48" s="694">
        <v>0</v>
      </c>
      <c r="BU48" s="694">
        <v>0</v>
      </c>
      <c r="BV48" s="694">
        <v>0</v>
      </c>
      <c r="BW48" s="694">
        <v>0</v>
      </c>
      <c r="BX48" s="694">
        <v>0</v>
      </c>
      <c r="BY48" s="694">
        <v>0</v>
      </c>
      <c r="BZ48" s="694">
        <v>0</v>
      </c>
      <c r="CA48" s="694">
        <v>0</v>
      </c>
      <c r="CB48" s="694">
        <v>0</v>
      </c>
      <c r="CC48" s="694">
        <v>0</v>
      </c>
      <c r="CD48" s="694">
        <v>0</v>
      </c>
      <c r="CE48" s="779">
        <f>CC48+CA48+BY48+BW48+BU48+BS48+BQ48+BO48+BM48+BK48+BI48+BG48</f>
        <v>0</v>
      </c>
      <c r="CF48" s="802">
        <f t="shared" si="109"/>
        <v>0</v>
      </c>
      <c r="CG48" s="115">
        <f t="shared" si="109"/>
        <v>0</v>
      </c>
      <c r="CH48" s="114">
        <f>CC48+CA48+BY48+BW48+BU48+BS48+BQ48+BO48+BM48+BK48+BI48+BG48</f>
        <v>0</v>
      </c>
      <c r="CI48" s="115">
        <f>+BH48+BJ48+BL48+BN48+BP48+BR48+BT48+BV48+BX48+BZ48+CB48+CD48</f>
        <v>0</v>
      </c>
      <c r="CJ48" s="694">
        <v>0</v>
      </c>
      <c r="CK48" s="694">
        <v>0</v>
      </c>
      <c r="CL48" s="694">
        <v>0</v>
      </c>
      <c r="CM48" s="694">
        <v>0</v>
      </c>
      <c r="CN48" s="694">
        <v>0</v>
      </c>
      <c r="CO48" s="694">
        <v>0</v>
      </c>
      <c r="CP48" s="694">
        <v>0</v>
      </c>
      <c r="CQ48" s="694">
        <v>0</v>
      </c>
      <c r="CR48" s="694">
        <v>0</v>
      </c>
      <c r="CS48" s="694">
        <v>0</v>
      </c>
      <c r="CT48" s="694">
        <v>0</v>
      </c>
      <c r="CU48" s="694">
        <v>0</v>
      </c>
      <c r="CV48" s="777">
        <v>0</v>
      </c>
      <c r="CW48" s="694">
        <v>0</v>
      </c>
      <c r="CX48" s="777">
        <v>0</v>
      </c>
      <c r="CY48" s="694">
        <v>0</v>
      </c>
      <c r="CZ48" s="777">
        <v>0</v>
      </c>
      <c r="DA48" s="694">
        <v>0</v>
      </c>
      <c r="DB48" s="777">
        <v>0</v>
      </c>
      <c r="DC48" s="694">
        <v>0</v>
      </c>
      <c r="DD48" s="777">
        <v>0</v>
      </c>
      <c r="DE48" s="694">
        <v>0</v>
      </c>
      <c r="DF48" s="777">
        <v>0</v>
      </c>
      <c r="DG48" s="694">
        <v>0</v>
      </c>
      <c r="DH48" s="777">
        <v>0</v>
      </c>
      <c r="DI48" s="778">
        <f>DG48+DE48+DC48+CW48+CY48+CU48+CS48+CQ48+CO48+CM48+CK48</f>
        <v>0</v>
      </c>
      <c r="DJ48" s="689">
        <f t="shared" si="110"/>
        <v>0</v>
      </c>
      <c r="DK48" s="802">
        <f>CL48+CN48+CP48+CR48+CT48+CV48+CX48+CZ48+DB48+DD48+DF48+DH48</f>
        <v>0</v>
      </c>
      <c r="DL48" s="197">
        <f>CK48+CM48+CO48+CQ48+CS48+CU48+CW48+CY48+DA48+DC48+DE48+DG48</f>
        <v>0</v>
      </c>
      <c r="DM48" s="197">
        <f>CN48+CP48+CR48+CT48+CV48+CX48+CZ48+DB48+DD48+DF48+DH48+CL48</f>
        <v>0</v>
      </c>
      <c r="DN48" s="694"/>
      <c r="DO48" s="691">
        <v>0</v>
      </c>
      <c r="DP48" s="691">
        <v>0</v>
      </c>
      <c r="DQ48" s="691">
        <v>0</v>
      </c>
      <c r="DR48" s="691">
        <v>0</v>
      </c>
      <c r="DS48" s="691">
        <v>0</v>
      </c>
      <c r="DT48" s="691">
        <v>0</v>
      </c>
      <c r="DU48" s="691">
        <v>0</v>
      </c>
      <c r="DV48" s="691">
        <v>0</v>
      </c>
      <c r="DW48" s="690">
        <v>0</v>
      </c>
      <c r="DX48" s="690">
        <v>0</v>
      </c>
      <c r="DY48" s="690">
        <v>0</v>
      </c>
      <c r="DZ48" s="800"/>
      <c r="EA48" s="690"/>
      <c r="EB48" s="788"/>
      <c r="EC48" s="788"/>
      <c r="ED48" s="788"/>
      <c r="EE48" s="788"/>
      <c r="EF48" s="788"/>
      <c r="EG48" s="788"/>
      <c r="EH48" s="788"/>
      <c r="EI48" s="788"/>
      <c r="EJ48" s="788"/>
      <c r="EK48" s="788"/>
      <c r="EL48" s="800"/>
      <c r="EM48" s="694">
        <f>EI48+EG48+EE48+EC48+EA48+DY48+DW48+DU48+DS48+DQ48+DO48+EK48</f>
        <v>0</v>
      </c>
      <c r="EN48" s="271">
        <f>DO48+DQ48+DS48+DU48+DW48</f>
        <v>0</v>
      </c>
      <c r="EO48" s="147">
        <f t="shared" si="113"/>
        <v>0</v>
      </c>
      <c r="EP48" s="684">
        <f>DQ48+DS48+DU48+DW48+DY48+EA48+EC48+EE48+EG48+EI48+EK48</f>
        <v>0</v>
      </c>
      <c r="EQ48" s="700"/>
      <c r="ER48" s="134">
        <f t="shared" si="114"/>
        <v>0</v>
      </c>
      <c r="ES48" s="134">
        <f>IFERROR(#REF!/EN48,0)</f>
        <v>0</v>
      </c>
      <c r="ET48" s="847">
        <f t="shared" si="6"/>
        <v>0</v>
      </c>
      <c r="EU48" s="847">
        <f>IFERROR((AA48+BE48+CI48+DM48+#REF!)/(Z48+BD48+CH48+DL48+EN48),0)</f>
        <v>0</v>
      </c>
      <c r="EV48" s="337">
        <f>IFERROR(+(AA48+BE48+CI48+DM48+EQ48)/G48,0)</f>
        <v>0</v>
      </c>
      <c r="EW48" s="706"/>
      <c r="EX48" s="708"/>
      <c r="EY48" s="708" t="s">
        <v>547</v>
      </c>
      <c r="EZ48" s="712"/>
      <c r="FA48" s="716"/>
      <c r="FB48" s="427"/>
    </row>
    <row r="49" spans="1:158" s="3" customFormat="1" ht="24.95" customHeight="1" x14ac:dyDescent="0.25">
      <c r="A49" s="458"/>
      <c r="B49" s="458"/>
      <c r="C49" s="458"/>
      <c r="D49" s="458"/>
      <c r="E49" s="458"/>
      <c r="F49" s="166" t="s">
        <v>4</v>
      </c>
      <c r="G49" s="55">
        <f>+AA49+BE49+CI49+DM49+EP49</f>
        <v>927926678</v>
      </c>
      <c r="H49" s="54">
        <v>0</v>
      </c>
      <c r="I49" s="61"/>
      <c r="J49" s="61"/>
      <c r="K49" s="61"/>
      <c r="L49" s="61"/>
      <c r="M49" s="61"/>
      <c r="N49" s="61"/>
      <c r="O49" s="61"/>
      <c r="P49" s="61"/>
      <c r="Q49" s="61"/>
      <c r="R49" s="61"/>
      <c r="S49" s="61"/>
      <c r="T49" s="54"/>
      <c r="U49" s="54"/>
      <c r="V49" s="54"/>
      <c r="W49" s="54">
        <v>0</v>
      </c>
      <c r="X49" s="54">
        <v>0</v>
      </c>
      <c r="Y49" s="54">
        <v>0</v>
      </c>
      <c r="Z49" s="54">
        <v>0</v>
      </c>
      <c r="AA49" s="54">
        <v>0</v>
      </c>
      <c r="AB49" s="54">
        <v>282323662</v>
      </c>
      <c r="AC49" s="54">
        <v>62610500</v>
      </c>
      <c r="AD49" s="54">
        <v>62610500</v>
      </c>
      <c r="AE49" s="54">
        <v>113705833</v>
      </c>
      <c r="AF49" s="54">
        <f>176316333-AD49</f>
        <v>113705833</v>
      </c>
      <c r="AG49" s="54">
        <v>41010499</v>
      </c>
      <c r="AH49" s="54">
        <f>217326832-AF49-AD49</f>
        <v>41010499</v>
      </c>
      <c r="AI49" s="54">
        <v>24710465</v>
      </c>
      <c r="AJ49" s="54">
        <f>242037297-AH49-AF49-AD49</f>
        <v>24710465</v>
      </c>
      <c r="AK49" s="61">
        <v>3094000</v>
      </c>
      <c r="AL49" s="61">
        <f>245131297-AJ49-AH49-AF49-AD49</f>
        <v>3094000</v>
      </c>
      <c r="AM49" s="61">
        <v>14803433</v>
      </c>
      <c r="AN49" s="61">
        <v>14803433</v>
      </c>
      <c r="AO49" s="61">
        <v>0</v>
      </c>
      <c r="AP49" s="61">
        <v>0</v>
      </c>
      <c r="AQ49" s="61">
        <f>30516833-3961969-22793465</f>
        <v>3761399</v>
      </c>
      <c r="AR49" s="61">
        <v>0</v>
      </c>
      <c r="AS49" s="61">
        <f>10636900+601</f>
        <v>10637501</v>
      </c>
      <c r="AT49" s="61">
        <v>0</v>
      </c>
      <c r="AU49" s="61"/>
      <c r="AV49" s="61">
        <v>0</v>
      </c>
      <c r="AW49" s="61">
        <v>0</v>
      </c>
      <c r="AX49" s="61">
        <v>1870410</v>
      </c>
      <c r="AY49" s="61"/>
      <c r="AZ49" s="61"/>
      <c r="BA49" s="54">
        <f>AY49+AW49+AU49+AS49+AQ49+AO49+AM49+AK49+AI49+AG49+AE49+AC49</f>
        <v>274333630</v>
      </c>
      <c r="BB49" s="54">
        <f t="shared" si="108"/>
        <v>274333630</v>
      </c>
      <c r="BC49" s="54">
        <f t="shared" si="108"/>
        <v>261805140</v>
      </c>
      <c r="BD49" s="54">
        <f>AE49+AG49+AI49+AK49+AM49+AO49+AQ49+AS49+AU49+AW49+AY49+AC49</f>
        <v>274333630</v>
      </c>
      <c r="BE49" s="54">
        <v>261805140</v>
      </c>
      <c r="BF49" s="61">
        <v>113800542</v>
      </c>
      <c r="BG49" s="61">
        <v>8850800</v>
      </c>
      <c r="BH49" s="61">
        <v>0</v>
      </c>
      <c r="BI49" s="61">
        <v>104949742</v>
      </c>
      <c r="BJ49" s="61">
        <v>51705541</v>
      </c>
      <c r="BK49" s="61"/>
      <c r="BL49" s="61">
        <v>0</v>
      </c>
      <c r="BM49" s="61"/>
      <c r="BN49" s="61">
        <v>0</v>
      </c>
      <c r="BO49" s="61"/>
      <c r="BP49" s="61">
        <v>0</v>
      </c>
      <c r="BQ49" s="61">
        <v>-27147400</v>
      </c>
      <c r="BR49" s="61">
        <v>0</v>
      </c>
      <c r="BS49" s="61">
        <v>27147400</v>
      </c>
      <c r="BT49" s="61">
        <v>34947601</v>
      </c>
      <c r="BU49" s="61">
        <v>0</v>
      </c>
      <c r="BV49" s="61">
        <v>0</v>
      </c>
      <c r="BW49" s="61">
        <v>-27147400</v>
      </c>
      <c r="BX49" s="61">
        <v>-14095801</v>
      </c>
      <c r="BY49" s="61">
        <v>82196508</v>
      </c>
      <c r="BZ49" s="61">
        <v>96292309</v>
      </c>
      <c r="CA49" s="61">
        <v>-55049108</v>
      </c>
      <c r="CB49" s="61">
        <v>-82196509</v>
      </c>
      <c r="CC49" s="61">
        <v>-27147401</v>
      </c>
      <c r="CD49" s="61">
        <v>-14095800</v>
      </c>
      <c r="CE49" s="55">
        <f>CC49+CA49+BY49+BW49+BU49+BS49+BQ49+BO49+BM49+BK49+BI49+BG49</f>
        <v>86653141</v>
      </c>
      <c r="CF49" s="55">
        <f t="shared" si="109"/>
        <v>86653141</v>
      </c>
      <c r="CG49" s="55">
        <f t="shared" si="109"/>
        <v>72557341</v>
      </c>
      <c r="CH49" s="54">
        <f>CC49+CA49+BY49+BW49+BU49+BS49+BQ49+BO49+BM49+BK49+BI49+BG49</f>
        <v>86653141</v>
      </c>
      <c r="CI49" s="54">
        <f>+BH49+BJ49+BL49+BN49+BP49+BR49+BT49+BV49+BX49+BZ49+CB49+CD49</f>
        <v>72557341</v>
      </c>
      <c r="CJ49" s="61">
        <v>390034033</v>
      </c>
      <c r="CK49" s="61">
        <v>86905033</v>
      </c>
      <c r="CL49" s="61">
        <v>65830733</v>
      </c>
      <c r="CM49" s="61">
        <v>170606833</v>
      </c>
      <c r="CN49" s="61">
        <v>119260266</v>
      </c>
      <c r="CO49" s="61">
        <v>67661867</v>
      </c>
      <c r="CP49" s="61">
        <v>71351366</v>
      </c>
      <c r="CQ49" s="61">
        <v>13188267</v>
      </c>
      <c r="CR49" s="61">
        <v>27416034</v>
      </c>
      <c r="CS49" s="61">
        <v>11980333</v>
      </c>
      <c r="CT49" s="183">
        <v>19707033</v>
      </c>
      <c r="CU49" s="164">
        <v>6462000</v>
      </c>
      <c r="CV49" s="164">
        <v>8292900</v>
      </c>
      <c r="CW49" s="61">
        <v>2261700</v>
      </c>
      <c r="CX49" s="164">
        <v>10254333</v>
      </c>
      <c r="CY49" s="61">
        <v>0</v>
      </c>
      <c r="CZ49" s="164">
        <v>8929667</v>
      </c>
      <c r="DA49" s="61">
        <v>0</v>
      </c>
      <c r="DB49" s="164">
        <v>4334667</v>
      </c>
      <c r="DC49" s="61">
        <v>0</v>
      </c>
      <c r="DD49" s="164">
        <v>2207333</v>
      </c>
      <c r="DE49" s="164"/>
      <c r="DF49" s="164">
        <v>0</v>
      </c>
      <c r="DG49" s="61">
        <v>30968000</v>
      </c>
      <c r="DH49" s="164">
        <v>1938600</v>
      </c>
      <c r="DI49" s="54">
        <f>DG49+DE49+DC49+DA49+CY49+CW49+CU49+CM49+CS49+CO49+CQ49+CK49</f>
        <v>390034033</v>
      </c>
      <c r="DJ49" s="54">
        <f>CK49+CM49+CO49+CQ49+CS49+CU49+CW49+CY49+DA49+DC49+DE49+DG49</f>
        <v>390034033</v>
      </c>
      <c r="DK49" s="54">
        <f>CL49+CN49+CP49+CR49+CT49+CV49+CX49+CZ49+DB49+DD49+DF49+DH49</f>
        <v>339522932</v>
      </c>
      <c r="DL49" s="54">
        <f>CM49+CO49+CQ49+CS49+CU49+CW49+CY49+DA49+DC49+DE49+DG49+CK49</f>
        <v>390034033</v>
      </c>
      <c r="DM49" s="54">
        <f>DK49</f>
        <v>339522932</v>
      </c>
      <c r="DN49" s="55">
        <f>DO49+DQ49+DS49+DU49+DW49+DY49+EA49</f>
        <v>254041265</v>
      </c>
      <c r="DO49" s="180">
        <v>62472933</v>
      </c>
      <c r="DP49" s="180">
        <v>62472933</v>
      </c>
      <c r="DQ49" s="180">
        <v>93832465</v>
      </c>
      <c r="DR49" s="180">
        <v>61332433</v>
      </c>
      <c r="DS49" s="180">
        <v>12827200</v>
      </c>
      <c r="DT49" s="180">
        <v>14881466</v>
      </c>
      <c r="DU49" s="180">
        <v>3231000</v>
      </c>
      <c r="DV49" s="180">
        <v>17136600</v>
      </c>
      <c r="DW49" s="162">
        <v>3231000</v>
      </c>
      <c r="DX49" s="265">
        <v>7064000</v>
      </c>
      <c r="DY49" s="162">
        <v>3231000</v>
      </c>
      <c r="DZ49" s="48"/>
      <c r="EA49" s="162">
        <v>75215667</v>
      </c>
      <c r="EB49" s="282"/>
      <c r="EC49" s="282"/>
      <c r="ED49" s="282"/>
      <c r="EE49" s="282"/>
      <c r="EF49" s="282"/>
      <c r="EG49" s="282"/>
      <c r="EH49" s="282"/>
      <c r="EI49" s="282"/>
      <c r="EJ49" s="282"/>
      <c r="EK49" s="282"/>
      <c r="EL49" s="48"/>
      <c r="EM49" s="61">
        <f>EK49+EI49+EG49+EE49+EC49+EA49+DY49+DW49+DU49+DS49+DQ49+DO49</f>
        <v>254041265</v>
      </c>
      <c r="EN49" s="367">
        <f>DO49+DQ49+DS49+DU49+DW49</f>
        <v>175594598</v>
      </c>
      <c r="EO49" s="686">
        <f t="shared" si="113"/>
        <v>162887432</v>
      </c>
      <c r="EP49" s="262">
        <f>DQ49+DS49+DU49+DW49+DY49+EA49+EC49+EE49+EG49+EI49+EK49+DO49</f>
        <v>254041265</v>
      </c>
      <c r="EQ49" s="61">
        <f>DP49+DR49+DT49+DV49+DX49</f>
        <v>162887432</v>
      </c>
      <c r="ER49" s="134">
        <f t="shared" si="114"/>
        <v>2.186320024760136</v>
      </c>
      <c r="ES49" s="134">
        <f t="shared" si="5"/>
        <v>0.92763350271174061</v>
      </c>
      <c r="ET49" s="847">
        <f t="shared" si="6"/>
        <v>0.64118493505375984</v>
      </c>
      <c r="EU49" s="847">
        <f t="shared" si="24"/>
        <v>0.90304223650277726</v>
      </c>
      <c r="EV49" s="337">
        <f t="shared" si="7"/>
        <v>0.90176612531879374</v>
      </c>
      <c r="EW49" s="706"/>
      <c r="EX49" s="708"/>
      <c r="EY49" s="708" t="s">
        <v>547</v>
      </c>
      <c r="EZ49" s="712"/>
      <c r="FA49" s="716"/>
      <c r="FB49" s="427"/>
    </row>
    <row r="50" spans="1:158" s="3" customFormat="1" ht="24.95" customHeight="1" thickBot="1" x14ac:dyDescent="0.3">
      <c r="A50" s="458"/>
      <c r="B50" s="458"/>
      <c r="C50" s="458"/>
      <c r="D50" s="458"/>
      <c r="E50" s="458"/>
      <c r="F50" s="165" t="s">
        <v>42</v>
      </c>
      <c r="G50" s="835">
        <f>+G45+G48</f>
        <v>9050</v>
      </c>
      <c r="H50" s="143">
        <f>+H45+H48</f>
        <v>1292</v>
      </c>
      <c r="I50" s="143">
        <f t="shared" ref="I50:AZ50" si="115">+I45+I48</f>
        <v>0</v>
      </c>
      <c r="J50" s="143">
        <f t="shared" si="115"/>
        <v>0</v>
      </c>
      <c r="K50" s="143">
        <f t="shared" si="115"/>
        <v>0</v>
      </c>
      <c r="L50" s="143">
        <f t="shared" si="115"/>
        <v>0</v>
      </c>
      <c r="M50" s="143">
        <f t="shared" si="115"/>
        <v>0</v>
      </c>
      <c r="N50" s="143">
        <f t="shared" si="115"/>
        <v>0</v>
      </c>
      <c r="O50" s="143">
        <f t="shared" si="115"/>
        <v>0</v>
      </c>
      <c r="P50" s="143">
        <f t="shared" si="115"/>
        <v>0</v>
      </c>
      <c r="Q50" s="143">
        <f t="shared" si="115"/>
        <v>0</v>
      </c>
      <c r="R50" s="143">
        <f t="shared" si="115"/>
        <v>0</v>
      </c>
      <c r="S50" s="143">
        <f t="shared" si="115"/>
        <v>0</v>
      </c>
      <c r="T50" s="143">
        <f t="shared" si="115"/>
        <v>0</v>
      </c>
      <c r="U50" s="143">
        <f t="shared" si="115"/>
        <v>0</v>
      </c>
      <c r="V50" s="143">
        <f t="shared" si="115"/>
        <v>0</v>
      </c>
      <c r="W50" s="143">
        <f>+W45+W48</f>
        <v>1292</v>
      </c>
      <c r="X50" s="143">
        <f>+X45+X48</f>
        <v>1292</v>
      </c>
      <c r="Y50" s="143">
        <f t="shared" si="115"/>
        <v>1292</v>
      </c>
      <c r="Z50" s="143">
        <f>+Z45+Z48</f>
        <v>1292</v>
      </c>
      <c r="AA50" s="293">
        <f t="shared" si="115"/>
        <v>1292</v>
      </c>
      <c r="AB50" s="787">
        <f>+AB45+AB48</f>
        <v>759</v>
      </c>
      <c r="AC50" s="143">
        <f>+AC45+AC48</f>
        <v>51</v>
      </c>
      <c r="AD50" s="143">
        <f t="shared" si="115"/>
        <v>278</v>
      </c>
      <c r="AE50" s="143">
        <f t="shared" si="115"/>
        <v>66</v>
      </c>
      <c r="AF50" s="143">
        <f t="shared" si="115"/>
        <v>211</v>
      </c>
      <c r="AG50" s="143">
        <f t="shared" si="115"/>
        <v>66</v>
      </c>
      <c r="AH50" s="143">
        <f t="shared" si="115"/>
        <v>837</v>
      </c>
      <c r="AI50" s="143">
        <f t="shared" si="115"/>
        <v>473</v>
      </c>
      <c r="AJ50" s="143">
        <f t="shared" si="115"/>
        <v>488</v>
      </c>
      <c r="AK50" s="143">
        <f t="shared" si="115"/>
        <v>2050</v>
      </c>
      <c r="AL50" s="143">
        <f t="shared" si="115"/>
        <v>892</v>
      </c>
      <c r="AM50" s="143">
        <f t="shared" si="115"/>
        <v>295</v>
      </c>
      <c r="AN50" s="143">
        <f>+AN45+AN48</f>
        <v>798</v>
      </c>
      <c r="AO50" s="143">
        <f t="shared" si="115"/>
        <v>295</v>
      </c>
      <c r="AP50" s="143">
        <f t="shared" si="115"/>
        <v>265</v>
      </c>
      <c r="AQ50" s="143">
        <f t="shared" si="115"/>
        <v>295</v>
      </c>
      <c r="AR50" s="143">
        <f t="shared" si="115"/>
        <v>203</v>
      </c>
      <c r="AS50" s="143">
        <f t="shared" si="115"/>
        <v>295</v>
      </c>
      <c r="AT50" s="143">
        <f t="shared" si="115"/>
        <v>294</v>
      </c>
      <c r="AU50" s="143">
        <f t="shared" si="115"/>
        <v>295</v>
      </c>
      <c r="AV50" s="143">
        <f>+AV45+AV48</f>
        <v>575</v>
      </c>
      <c r="AW50" s="143">
        <f t="shared" si="115"/>
        <v>295</v>
      </c>
      <c r="AX50" s="143">
        <f>+AX45+AX48</f>
        <v>57</v>
      </c>
      <c r="AY50" s="143">
        <f t="shared" si="115"/>
        <v>474</v>
      </c>
      <c r="AZ50" s="143">
        <f t="shared" si="115"/>
        <v>52</v>
      </c>
      <c r="BA50" s="143">
        <f t="shared" ref="BA50:BF51" si="116">+BA45+BA48</f>
        <v>4950</v>
      </c>
      <c r="BB50" s="787">
        <f t="shared" si="116"/>
        <v>4950</v>
      </c>
      <c r="BC50" s="787">
        <f t="shared" si="116"/>
        <v>4950</v>
      </c>
      <c r="BD50" s="787">
        <f t="shared" si="116"/>
        <v>4950</v>
      </c>
      <c r="BE50" s="776">
        <f t="shared" si="116"/>
        <v>4950</v>
      </c>
      <c r="BF50" s="787">
        <f t="shared" si="116"/>
        <v>1097</v>
      </c>
      <c r="BG50" s="787">
        <f t="shared" ref="BG50:CD50" si="117">+BG45+BG48</f>
        <v>85</v>
      </c>
      <c r="BH50" s="787">
        <f t="shared" si="117"/>
        <v>0</v>
      </c>
      <c r="BI50" s="787">
        <f t="shared" si="117"/>
        <v>92</v>
      </c>
      <c r="BJ50" s="787">
        <f>+BJ45+BJ48</f>
        <v>32</v>
      </c>
      <c r="BK50" s="787">
        <f t="shared" si="117"/>
        <v>92</v>
      </c>
      <c r="BL50" s="787">
        <f t="shared" si="117"/>
        <v>55</v>
      </c>
      <c r="BM50" s="787">
        <f t="shared" si="117"/>
        <v>92</v>
      </c>
      <c r="BN50" s="787">
        <f t="shared" si="117"/>
        <v>110</v>
      </c>
      <c r="BO50" s="787">
        <f t="shared" si="117"/>
        <v>92</v>
      </c>
      <c r="BP50" s="787">
        <f t="shared" si="117"/>
        <v>263</v>
      </c>
      <c r="BQ50" s="787">
        <f t="shared" si="117"/>
        <v>99</v>
      </c>
      <c r="BR50" s="787">
        <f t="shared" si="117"/>
        <v>87</v>
      </c>
      <c r="BS50" s="787">
        <f t="shared" si="117"/>
        <v>92</v>
      </c>
      <c r="BT50" s="787">
        <f t="shared" si="117"/>
        <v>65</v>
      </c>
      <c r="BU50" s="787">
        <f t="shared" si="117"/>
        <v>92</v>
      </c>
      <c r="BV50" s="787">
        <f t="shared" si="117"/>
        <v>99</v>
      </c>
      <c r="BW50" s="787">
        <f t="shared" si="117"/>
        <v>92</v>
      </c>
      <c r="BX50" s="787">
        <f t="shared" si="117"/>
        <v>171</v>
      </c>
      <c r="BY50" s="787">
        <f t="shared" si="117"/>
        <v>92</v>
      </c>
      <c r="BZ50" s="787">
        <f t="shared" si="117"/>
        <v>103</v>
      </c>
      <c r="CA50" s="787">
        <f t="shared" si="117"/>
        <v>92</v>
      </c>
      <c r="CB50" s="787">
        <f t="shared" si="117"/>
        <v>94</v>
      </c>
      <c r="CC50" s="787">
        <f t="shared" si="117"/>
        <v>171</v>
      </c>
      <c r="CD50" s="787">
        <f t="shared" si="117"/>
        <v>104</v>
      </c>
      <c r="CE50" s="787">
        <f t="shared" ref="CE50:CS51" si="118">+CE45+CE48</f>
        <v>1183</v>
      </c>
      <c r="CF50" s="787">
        <f t="shared" si="118"/>
        <v>1183</v>
      </c>
      <c r="CG50" s="787">
        <f t="shared" si="118"/>
        <v>1183</v>
      </c>
      <c r="CH50" s="139">
        <f t="shared" si="118"/>
        <v>1183</v>
      </c>
      <c r="CI50" s="293">
        <f t="shared" si="118"/>
        <v>1183</v>
      </c>
      <c r="CJ50" s="825">
        <f t="shared" si="118"/>
        <v>370</v>
      </c>
      <c r="CK50" s="825">
        <f t="shared" si="118"/>
        <v>10</v>
      </c>
      <c r="CL50" s="825">
        <f t="shared" si="118"/>
        <v>10</v>
      </c>
      <c r="CM50" s="825">
        <f>+CM45+CM48</f>
        <v>13</v>
      </c>
      <c r="CN50" s="825">
        <f t="shared" si="118"/>
        <v>13</v>
      </c>
      <c r="CO50" s="825">
        <f t="shared" si="118"/>
        <v>34</v>
      </c>
      <c r="CP50" s="825">
        <f>+CP45+CP48</f>
        <v>34</v>
      </c>
      <c r="CQ50" s="825">
        <f t="shared" si="118"/>
        <v>35</v>
      </c>
      <c r="CR50" s="825">
        <f t="shared" si="118"/>
        <v>79</v>
      </c>
      <c r="CS50" s="825">
        <f t="shared" si="118"/>
        <v>35</v>
      </c>
      <c r="CT50" s="839">
        <f>CT45+CT48</f>
        <v>43</v>
      </c>
      <c r="CU50" s="825">
        <f t="shared" ref="CU50:CX51" si="119">+CU45+CU48</f>
        <v>58</v>
      </c>
      <c r="CV50" s="825">
        <f t="shared" si="119"/>
        <v>215</v>
      </c>
      <c r="CW50" s="844">
        <f t="shared" si="119"/>
        <v>59</v>
      </c>
      <c r="CX50" s="844">
        <f t="shared" si="119"/>
        <v>24</v>
      </c>
      <c r="CY50" s="844">
        <f t="shared" ref="CY50:DB51" si="120">+CY45+CY48</f>
        <v>117</v>
      </c>
      <c r="CZ50" s="844">
        <f t="shared" si="120"/>
        <v>117</v>
      </c>
      <c r="DA50" s="844">
        <f t="shared" si="120"/>
        <v>138</v>
      </c>
      <c r="DB50" s="844">
        <f t="shared" si="120"/>
        <v>112</v>
      </c>
      <c r="DC50" s="844">
        <f>+DC45+DC48</f>
        <v>138</v>
      </c>
      <c r="DD50" s="844"/>
      <c r="DE50" s="844">
        <f>+DE45+DE48</f>
        <v>138</v>
      </c>
      <c r="DF50" s="844">
        <f>+DF45+DF48</f>
        <v>15</v>
      </c>
      <c r="DG50" s="848">
        <f>+DG45+DG48</f>
        <v>418</v>
      </c>
      <c r="DH50" s="848">
        <f>+DH45+DH48</f>
        <v>335</v>
      </c>
      <c r="DI50" s="787">
        <f>DI45+DI48</f>
        <v>1193</v>
      </c>
      <c r="DJ50" s="261">
        <v>902</v>
      </c>
      <c r="DK50" s="787">
        <f>+DK45+DK48</f>
        <v>1193</v>
      </c>
      <c r="DL50" s="787">
        <f>DL45+DL48</f>
        <v>1193</v>
      </c>
      <c r="DM50" s="776">
        <f>DM45+DM48</f>
        <v>1193</v>
      </c>
      <c r="DN50" s="659">
        <f t="shared" ref="DN50:DQ51" si="121">+DN45+DN48</f>
        <v>153</v>
      </c>
      <c r="DO50" s="787">
        <f t="shared" si="121"/>
        <v>56</v>
      </c>
      <c r="DP50" s="787">
        <f t="shared" si="121"/>
        <v>56</v>
      </c>
      <c r="DQ50" s="787">
        <f>+DQ45+DQ48</f>
        <v>53</v>
      </c>
      <c r="DR50" s="787">
        <f t="shared" ref="DR50" si="122">+DR45+DR48</f>
        <v>53</v>
      </c>
      <c r="DS50" s="787">
        <f t="shared" ref="DS50:DU51" si="123">+DS45+DS48</f>
        <v>22</v>
      </c>
      <c r="DT50" s="787">
        <f t="shared" si="123"/>
        <v>34</v>
      </c>
      <c r="DU50" s="787">
        <f t="shared" si="123"/>
        <v>106</v>
      </c>
      <c r="DV50" s="787">
        <f t="shared" ref="DV50" si="124">+DV45+DV48</f>
        <v>106</v>
      </c>
      <c r="DW50" s="789">
        <f t="shared" ref="DW50:DY51" si="125">+DW45+DW48</f>
        <v>104</v>
      </c>
      <c r="DX50" s="789">
        <f t="shared" si="125"/>
        <v>107</v>
      </c>
      <c r="DY50" s="789">
        <f t="shared" si="125"/>
        <v>91</v>
      </c>
      <c r="DZ50" s="827"/>
      <c r="EA50" s="789"/>
      <c r="EB50" s="867"/>
      <c r="EC50" s="867"/>
      <c r="ED50" s="867"/>
      <c r="EE50" s="867"/>
      <c r="EF50" s="867"/>
      <c r="EG50" s="867"/>
      <c r="EH50" s="867"/>
      <c r="EI50" s="867"/>
      <c r="EJ50" s="867"/>
      <c r="EK50" s="867"/>
      <c r="EL50" s="827"/>
      <c r="EM50" s="787">
        <f>EI50+EG50+EE50+EC50+EA50+DY50+DW50+DU50+DS50+DQ50+DO50+EK50</f>
        <v>432</v>
      </c>
      <c r="EN50" s="787">
        <f>DO50+DQ50+DS50+DU50+DW50</f>
        <v>341</v>
      </c>
      <c r="EO50" s="787">
        <f>DP50+DR50+DT50+DV50+DX50</f>
        <v>356</v>
      </c>
      <c r="EP50" s="787">
        <f>DQ50+DS50+DU50+DW50+DY50+EA50+EC50+EE50+EG50+EI50+EK50+DO50</f>
        <v>432</v>
      </c>
      <c r="EQ50" s="700">
        <f>DR50+DT50+DV50+DX50+DP50</f>
        <v>356</v>
      </c>
      <c r="ER50" s="134">
        <f>IFERROR(DX50/DW50,0)</f>
        <v>1.0288461538461537</v>
      </c>
      <c r="ES50" s="259">
        <f t="shared" si="5"/>
        <v>1.0439882697947214</v>
      </c>
      <c r="ET50" s="870">
        <f t="shared" si="6"/>
        <v>0.82407407407407407</v>
      </c>
      <c r="EU50" s="870">
        <f>IFERROR((AA50+BE50+CI50+DM50+EO50)/(Z50+BD50+CH50+DL50+EN50),0)</f>
        <v>1.0016742940060275</v>
      </c>
      <c r="EV50" s="338">
        <f t="shared" si="7"/>
        <v>0.99160220994475134</v>
      </c>
      <c r="EW50" s="706"/>
      <c r="EX50" s="708"/>
      <c r="EY50" s="708" t="s">
        <v>547</v>
      </c>
      <c r="EZ50" s="712"/>
      <c r="FA50" s="716"/>
      <c r="FB50" s="427"/>
    </row>
    <row r="51" spans="1:158" s="24" customFormat="1" ht="24.95" customHeight="1" thickBot="1" x14ac:dyDescent="0.3">
      <c r="A51" s="458"/>
      <c r="B51" s="458"/>
      <c r="C51" s="458"/>
      <c r="D51" s="458"/>
      <c r="E51" s="458"/>
      <c r="F51" s="166" t="s">
        <v>44</v>
      </c>
      <c r="G51" s="135">
        <f>+G46+G49</f>
        <v>8307188210</v>
      </c>
      <c r="H51" s="136">
        <f>+H46+H49</f>
        <v>658814131</v>
      </c>
      <c r="I51" s="136">
        <f t="shared" ref="I51:AZ51" si="126">+I46+I49</f>
        <v>0</v>
      </c>
      <c r="J51" s="136">
        <f t="shared" si="126"/>
        <v>0</v>
      </c>
      <c r="K51" s="136">
        <f t="shared" si="126"/>
        <v>0</v>
      </c>
      <c r="L51" s="136">
        <f t="shared" si="126"/>
        <v>0</v>
      </c>
      <c r="M51" s="136">
        <f t="shared" si="126"/>
        <v>0</v>
      </c>
      <c r="N51" s="136">
        <f t="shared" si="126"/>
        <v>0</v>
      </c>
      <c r="O51" s="136">
        <f t="shared" si="126"/>
        <v>0</v>
      </c>
      <c r="P51" s="136">
        <f t="shared" si="126"/>
        <v>0</v>
      </c>
      <c r="Q51" s="136">
        <f t="shared" si="126"/>
        <v>0</v>
      </c>
      <c r="R51" s="136">
        <f t="shared" si="126"/>
        <v>0</v>
      </c>
      <c r="S51" s="136">
        <f t="shared" si="126"/>
        <v>0</v>
      </c>
      <c r="T51" s="136">
        <f t="shared" si="126"/>
        <v>0</v>
      </c>
      <c r="U51" s="136">
        <f t="shared" si="126"/>
        <v>0</v>
      </c>
      <c r="V51" s="136">
        <f t="shared" si="126"/>
        <v>0</v>
      </c>
      <c r="W51" s="136">
        <f>+W46+W49</f>
        <v>658814131</v>
      </c>
      <c r="X51" s="136">
        <f>+X46+X49</f>
        <v>658814131</v>
      </c>
      <c r="Y51" s="136">
        <f t="shared" si="126"/>
        <v>644978000</v>
      </c>
      <c r="Z51" s="136">
        <f>+Z46+Z49</f>
        <v>658814131</v>
      </c>
      <c r="AA51" s="136">
        <f t="shared" si="126"/>
        <v>644978000</v>
      </c>
      <c r="AB51" s="141">
        <f>+AB46+AB49</f>
        <v>1576471662</v>
      </c>
      <c r="AC51" s="136">
        <f t="shared" si="126"/>
        <v>62610500</v>
      </c>
      <c r="AD51" s="136">
        <f t="shared" si="126"/>
        <v>62610500</v>
      </c>
      <c r="AE51" s="136">
        <f t="shared" si="126"/>
        <v>498988833</v>
      </c>
      <c r="AF51" s="136">
        <f t="shared" si="126"/>
        <v>498988833</v>
      </c>
      <c r="AG51" s="136">
        <f t="shared" si="126"/>
        <v>793706499</v>
      </c>
      <c r="AH51" s="136">
        <f t="shared" si="126"/>
        <v>793706499</v>
      </c>
      <c r="AI51" s="136">
        <f t="shared" si="126"/>
        <v>24710465</v>
      </c>
      <c r="AJ51" s="136">
        <f t="shared" si="126"/>
        <v>24710465</v>
      </c>
      <c r="AK51" s="136">
        <f t="shared" si="126"/>
        <v>27160000</v>
      </c>
      <c r="AL51" s="136">
        <f>+AL46+AL49</f>
        <v>27160000</v>
      </c>
      <c r="AM51" s="136">
        <f t="shared" si="126"/>
        <v>14803433</v>
      </c>
      <c r="AN51" s="136">
        <f>+AN46+AN49</f>
        <v>14803433</v>
      </c>
      <c r="AO51" s="136">
        <f t="shared" si="126"/>
        <v>0</v>
      </c>
      <c r="AP51" s="136">
        <f t="shared" si="126"/>
        <v>0</v>
      </c>
      <c r="AQ51" s="136">
        <f t="shared" si="126"/>
        <v>47795732.333333336</v>
      </c>
      <c r="AR51" s="136">
        <f t="shared" si="126"/>
        <v>0</v>
      </c>
      <c r="AS51" s="136">
        <f t="shared" si="126"/>
        <v>54671834.333333336</v>
      </c>
      <c r="AT51" s="136">
        <f t="shared" si="126"/>
        <v>24595500</v>
      </c>
      <c r="AU51" s="136">
        <f t="shared" si="126"/>
        <v>44034333.333333336</v>
      </c>
      <c r="AV51" s="136">
        <f>+AV46+AV49</f>
        <v>15965667</v>
      </c>
      <c r="AW51" s="136">
        <f t="shared" si="126"/>
        <v>0</v>
      </c>
      <c r="AX51" s="136">
        <f>+AX46+AX49</f>
        <v>63441009</v>
      </c>
      <c r="AY51" s="136">
        <f t="shared" si="126"/>
        <v>0</v>
      </c>
      <c r="AZ51" s="136">
        <f t="shared" si="126"/>
        <v>8140033</v>
      </c>
      <c r="BA51" s="137">
        <f>+BA46+BA49</f>
        <v>1568481630</v>
      </c>
      <c r="BB51" s="142">
        <f>+BB46+BB49</f>
        <v>1568481629.9999998</v>
      </c>
      <c r="BC51" s="142">
        <f>+BC46+BC49</f>
        <v>1534121939</v>
      </c>
      <c r="BD51" s="142">
        <f>+BD46+BD49</f>
        <v>1568481629.9999998</v>
      </c>
      <c r="BE51" s="142">
        <f>+BE46+BE49</f>
        <v>1534121939</v>
      </c>
      <c r="BF51" s="142">
        <f t="shared" si="116"/>
        <v>1682633542</v>
      </c>
      <c r="BG51" s="142">
        <f t="shared" ref="BG51:CD51" si="127">+BG46+BG49</f>
        <v>1452531800</v>
      </c>
      <c r="BH51" s="142">
        <f t="shared" si="127"/>
        <v>1487818000</v>
      </c>
      <c r="BI51" s="142">
        <f>+BI46+BI49</f>
        <v>104949742</v>
      </c>
      <c r="BJ51" s="142">
        <f>+BJ46+BJ49</f>
        <v>51705541</v>
      </c>
      <c r="BK51" s="142">
        <f t="shared" si="127"/>
        <v>131034000</v>
      </c>
      <c r="BL51" s="142">
        <f t="shared" si="127"/>
        <v>0</v>
      </c>
      <c r="BM51" s="142">
        <f t="shared" si="127"/>
        <v>0</v>
      </c>
      <c r="BN51" s="142">
        <f t="shared" si="127"/>
        <v>0</v>
      </c>
      <c r="BO51" s="142">
        <f t="shared" si="127"/>
        <v>7048000</v>
      </c>
      <c r="BP51" s="142">
        <f t="shared" si="127"/>
        <v>0</v>
      </c>
      <c r="BQ51" s="142">
        <f t="shared" si="127"/>
        <v>-19869400</v>
      </c>
      <c r="BR51" s="142">
        <f t="shared" si="127"/>
        <v>6020000</v>
      </c>
      <c r="BS51" s="142">
        <f t="shared" si="127"/>
        <v>27147400</v>
      </c>
      <c r="BT51" s="142">
        <f t="shared" si="127"/>
        <v>34947601</v>
      </c>
      <c r="BU51" s="142">
        <f t="shared" si="127"/>
        <v>0</v>
      </c>
      <c r="BV51" s="142">
        <f t="shared" si="127"/>
        <v>0</v>
      </c>
      <c r="BW51" s="142">
        <f t="shared" si="127"/>
        <v>221675500</v>
      </c>
      <c r="BX51" s="142">
        <f t="shared" si="127"/>
        <v>33844399</v>
      </c>
      <c r="BY51" s="142">
        <f t="shared" si="127"/>
        <v>197720506</v>
      </c>
      <c r="BZ51" s="142">
        <f t="shared" si="127"/>
        <v>320180309</v>
      </c>
      <c r="CA51" s="142">
        <f t="shared" si="127"/>
        <v>-55049108</v>
      </c>
      <c r="CB51" s="142">
        <f t="shared" si="127"/>
        <v>40179391</v>
      </c>
      <c r="CC51" s="142">
        <f t="shared" si="127"/>
        <v>57602599</v>
      </c>
      <c r="CD51" s="142">
        <f t="shared" si="127"/>
        <v>110636333</v>
      </c>
      <c r="CE51" s="142">
        <f t="shared" si="118"/>
        <v>2124791039</v>
      </c>
      <c r="CF51" s="142">
        <f t="shared" si="118"/>
        <v>2124791039</v>
      </c>
      <c r="CG51" s="142">
        <f t="shared" si="118"/>
        <v>2085331574</v>
      </c>
      <c r="CH51" s="137">
        <f t="shared" si="118"/>
        <v>2124791039</v>
      </c>
      <c r="CI51" s="137">
        <f t="shared" si="118"/>
        <v>2085331574</v>
      </c>
      <c r="CJ51" s="137">
        <f t="shared" si="118"/>
        <v>2158119033</v>
      </c>
      <c r="CK51" s="137">
        <f t="shared" si="118"/>
        <v>-50975467</v>
      </c>
      <c r="CL51" s="137">
        <f t="shared" si="118"/>
        <v>65830733</v>
      </c>
      <c r="CM51" s="137">
        <f>+CM46+CM49</f>
        <v>368851833</v>
      </c>
      <c r="CN51" s="137">
        <f>+CN46+CM49</f>
        <v>582346833</v>
      </c>
      <c r="CO51" s="137">
        <f t="shared" si="118"/>
        <v>265906867</v>
      </c>
      <c r="CP51" s="137">
        <f>+CP46+CP49</f>
        <v>927704866</v>
      </c>
      <c r="CQ51" s="137">
        <f>+CQ46+CS49</f>
        <v>210225333</v>
      </c>
      <c r="CR51" s="137">
        <f>+CR46+CU49</f>
        <v>194517000</v>
      </c>
      <c r="CS51" s="137">
        <f>+CS46+CW49</f>
        <v>200506700</v>
      </c>
      <c r="CT51" s="182">
        <f>+CT46+CT49</f>
        <v>62940033</v>
      </c>
      <c r="CU51" s="136">
        <f t="shared" si="119"/>
        <v>204707000</v>
      </c>
      <c r="CV51" s="136">
        <f t="shared" si="119"/>
        <v>26352900</v>
      </c>
      <c r="CW51" s="137">
        <f t="shared" si="119"/>
        <v>164601200</v>
      </c>
      <c r="CX51" s="237"/>
      <c r="CY51" s="137">
        <f t="shared" si="120"/>
        <v>149250500</v>
      </c>
      <c r="CZ51" s="137">
        <f t="shared" si="120"/>
        <v>8929667</v>
      </c>
      <c r="DA51" s="137">
        <f t="shared" si="120"/>
        <v>165447000</v>
      </c>
      <c r="DB51" s="137">
        <f t="shared" si="120"/>
        <v>4334667</v>
      </c>
      <c r="DC51" s="137">
        <f>+DC46+DC49</f>
        <v>244500432</v>
      </c>
      <c r="DD51" s="137"/>
      <c r="DE51" s="137">
        <f>+DE46+DE49</f>
        <v>4698900</v>
      </c>
      <c r="DF51" s="137"/>
      <c r="DG51" s="136">
        <f>+DG46+DG49</f>
        <v>76485000</v>
      </c>
      <c r="DH51" s="136">
        <f>+DH46+DH49</f>
        <v>51348800</v>
      </c>
      <c r="DI51" s="137">
        <f>DI46+DI49</f>
        <v>2015131865</v>
      </c>
      <c r="DJ51" s="137">
        <f>DJ46+DJ49</f>
        <v>2015131865</v>
      </c>
      <c r="DK51" s="142">
        <f>DK46+DK49</f>
        <v>1956103432</v>
      </c>
      <c r="DL51" s="137">
        <f>DL46+DL49</f>
        <v>2015131865</v>
      </c>
      <c r="DM51" s="142">
        <f>DM46+DM49</f>
        <v>1956103432</v>
      </c>
      <c r="DN51" s="142">
        <f t="shared" si="121"/>
        <v>2086653265</v>
      </c>
      <c r="DO51" s="273">
        <f t="shared" si="121"/>
        <v>109964933</v>
      </c>
      <c r="DP51" s="273">
        <f t="shared" si="121"/>
        <v>109964933</v>
      </c>
      <c r="DQ51" s="273">
        <f t="shared" si="121"/>
        <v>453176465</v>
      </c>
      <c r="DR51" s="182">
        <f t="shared" ref="DR51" si="128">+DR46+DR49</f>
        <v>291556433</v>
      </c>
      <c r="DS51" s="273">
        <f t="shared" si="123"/>
        <v>339287071</v>
      </c>
      <c r="DT51" s="273">
        <f t="shared" si="123"/>
        <v>172877466</v>
      </c>
      <c r="DU51" s="273">
        <f t="shared" si="123"/>
        <v>149556987</v>
      </c>
      <c r="DV51" s="273">
        <f t="shared" ref="DV51" si="129">+DV46+DV49</f>
        <v>106856600</v>
      </c>
      <c r="DW51" s="267">
        <f t="shared" si="125"/>
        <v>416929324</v>
      </c>
      <c r="DX51" s="267">
        <f t="shared" si="125"/>
        <v>275350000</v>
      </c>
      <c r="DY51" s="267">
        <f t="shared" si="125"/>
        <v>349487985</v>
      </c>
      <c r="DZ51" s="146"/>
      <c r="EA51" s="283"/>
      <c r="EB51" s="283"/>
      <c r="EC51" s="283"/>
      <c r="ED51" s="283"/>
      <c r="EE51" s="283"/>
      <c r="EF51" s="283"/>
      <c r="EG51" s="283"/>
      <c r="EH51" s="283"/>
      <c r="EI51" s="283"/>
      <c r="EJ51" s="283"/>
      <c r="EK51" s="283"/>
      <c r="EL51" s="146"/>
      <c r="EM51" s="272">
        <f>EM46+EM49</f>
        <v>2086653265</v>
      </c>
      <c r="EN51" s="182">
        <f>+EN46+EN49</f>
        <v>1468914780</v>
      </c>
      <c r="EO51" s="182">
        <f>+EO46+EO49</f>
        <v>956605432</v>
      </c>
      <c r="EP51" s="182">
        <f>+EP46+EP49</f>
        <v>2086653265</v>
      </c>
      <c r="EQ51" s="182">
        <f>EQ46+EQ49</f>
        <v>956605432</v>
      </c>
      <c r="ER51" s="260">
        <f>IFERROR(DX51/DW51,0)</f>
        <v>0.66042368370328397</v>
      </c>
      <c r="ES51" s="260">
        <f>IFERROR(EO51/EN51,0)</f>
        <v>0.65123276382309936</v>
      </c>
      <c r="ET51" s="845">
        <f>IFERROR(EQ51/EP51,0)</f>
        <v>0.45844005232944152</v>
      </c>
      <c r="EU51" s="845">
        <f>IFERROR((AA51+BE51+CI51+DM51+EO51)/(Z51+BD51+CH51+DL51+EN51),0)</f>
        <v>0.91590328666231635</v>
      </c>
      <c r="EV51" s="846">
        <f t="shared" si="7"/>
        <v>0.86396746956573411</v>
      </c>
      <c r="EW51" s="706"/>
      <c r="EX51" s="707"/>
      <c r="EY51" s="707" t="s">
        <v>547</v>
      </c>
      <c r="EZ51" s="712"/>
      <c r="FA51" s="716"/>
      <c r="FB51" s="427"/>
    </row>
    <row r="52" spans="1:158" s="3" customFormat="1" ht="24.95" customHeight="1" x14ac:dyDescent="0.25">
      <c r="A52" s="458" t="s">
        <v>295</v>
      </c>
      <c r="B52" s="458">
        <v>7</v>
      </c>
      <c r="C52" s="458" t="s">
        <v>299</v>
      </c>
      <c r="D52" s="458" t="s">
        <v>260</v>
      </c>
      <c r="E52" s="458">
        <v>268</v>
      </c>
      <c r="F52" s="165" t="s">
        <v>40</v>
      </c>
      <c r="G52" s="147">
        <v>1</v>
      </c>
      <c r="H52" s="147">
        <v>1</v>
      </c>
      <c r="I52" s="147">
        <v>1</v>
      </c>
      <c r="J52" s="147">
        <v>1</v>
      </c>
      <c r="K52" s="147">
        <v>1</v>
      </c>
      <c r="L52" s="147">
        <v>1</v>
      </c>
      <c r="M52" s="147">
        <v>1</v>
      </c>
      <c r="N52" s="147">
        <v>1</v>
      </c>
      <c r="O52" s="147">
        <v>1</v>
      </c>
      <c r="P52" s="147">
        <v>1</v>
      </c>
      <c r="Q52" s="147">
        <v>1</v>
      </c>
      <c r="R52" s="147">
        <v>1</v>
      </c>
      <c r="S52" s="147">
        <v>1</v>
      </c>
      <c r="T52" s="147">
        <v>1</v>
      </c>
      <c r="U52" s="147">
        <v>1</v>
      </c>
      <c r="V52" s="147">
        <v>1</v>
      </c>
      <c r="W52" s="147">
        <v>1</v>
      </c>
      <c r="X52" s="147">
        <v>1</v>
      </c>
      <c r="Y52" s="147">
        <v>1</v>
      </c>
      <c r="Z52" s="147">
        <v>1</v>
      </c>
      <c r="AA52" s="147">
        <v>1</v>
      </c>
      <c r="AB52" s="147">
        <v>1</v>
      </c>
      <c r="AC52" s="147">
        <v>1</v>
      </c>
      <c r="AD52" s="147">
        <v>1</v>
      </c>
      <c r="AE52" s="147">
        <v>1</v>
      </c>
      <c r="AF52" s="147">
        <v>1</v>
      </c>
      <c r="AG52" s="147">
        <v>1</v>
      </c>
      <c r="AH52" s="147">
        <v>1</v>
      </c>
      <c r="AI52" s="147">
        <v>1</v>
      </c>
      <c r="AJ52" s="147">
        <v>0.64</v>
      </c>
      <c r="AK52" s="147">
        <v>1</v>
      </c>
      <c r="AL52" s="147">
        <v>0.877</v>
      </c>
      <c r="AM52" s="147">
        <v>1</v>
      </c>
      <c r="AN52" s="150">
        <v>0.91600000000000004</v>
      </c>
      <c r="AO52" s="147">
        <v>1</v>
      </c>
      <c r="AP52" s="147">
        <v>1</v>
      </c>
      <c r="AQ52" s="147">
        <v>1</v>
      </c>
      <c r="AR52" s="150">
        <v>0.91300000000000003</v>
      </c>
      <c r="AS52" s="147">
        <v>1</v>
      </c>
      <c r="AT52" s="147">
        <v>1</v>
      </c>
      <c r="AU52" s="147">
        <v>1</v>
      </c>
      <c r="AV52" s="150">
        <v>1</v>
      </c>
      <c r="AW52" s="147">
        <v>1</v>
      </c>
      <c r="AX52" s="147">
        <v>1</v>
      </c>
      <c r="AY52" s="147">
        <v>1</v>
      </c>
      <c r="AZ52" s="150">
        <v>1</v>
      </c>
      <c r="BA52" s="147">
        <f>+AB52</f>
        <v>1</v>
      </c>
      <c r="BB52" s="147">
        <f>+AY52</f>
        <v>1</v>
      </c>
      <c r="BC52" s="147">
        <f>+AZ52</f>
        <v>1</v>
      </c>
      <c r="BD52" s="147">
        <f>+G52</f>
        <v>1</v>
      </c>
      <c r="BE52" s="147">
        <f>+AZ52</f>
        <v>1</v>
      </c>
      <c r="BF52" s="147">
        <v>1</v>
      </c>
      <c r="BG52" s="147">
        <v>1</v>
      </c>
      <c r="BH52" s="147">
        <v>1</v>
      </c>
      <c r="BI52" s="147">
        <v>1</v>
      </c>
      <c r="BJ52" s="147">
        <v>1</v>
      </c>
      <c r="BK52" s="147">
        <v>1</v>
      </c>
      <c r="BL52" s="147">
        <v>1</v>
      </c>
      <c r="BM52" s="147">
        <v>1</v>
      </c>
      <c r="BN52" s="147">
        <v>1</v>
      </c>
      <c r="BO52" s="147">
        <v>1</v>
      </c>
      <c r="BP52" s="147">
        <v>1</v>
      </c>
      <c r="BQ52" s="147">
        <v>1</v>
      </c>
      <c r="BR52" s="147">
        <v>1</v>
      </c>
      <c r="BS52" s="147">
        <v>1</v>
      </c>
      <c r="BT52" s="147">
        <v>1</v>
      </c>
      <c r="BU52" s="147">
        <v>1</v>
      </c>
      <c r="BV52" s="147">
        <v>1</v>
      </c>
      <c r="BW52" s="147">
        <v>1</v>
      </c>
      <c r="BX52" s="147">
        <v>1</v>
      </c>
      <c r="BY52" s="147">
        <v>1</v>
      </c>
      <c r="BZ52" s="147">
        <v>0.92849999999999999</v>
      </c>
      <c r="CA52" s="147">
        <v>1</v>
      </c>
      <c r="CB52" s="147">
        <v>1</v>
      </c>
      <c r="CC52" s="147">
        <v>1</v>
      </c>
      <c r="CD52" s="147">
        <v>1</v>
      </c>
      <c r="CE52" s="147">
        <f>BF52</f>
        <v>1</v>
      </c>
      <c r="CF52" s="147">
        <f>+CC52</f>
        <v>1</v>
      </c>
      <c r="CG52" s="147">
        <f>+CD52</f>
        <v>1</v>
      </c>
      <c r="CH52" s="147">
        <f>+CC52</f>
        <v>1</v>
      </c>
      <c r="CI52" s="147">
        <f>+CD52</f>
        <v>1</v>
      </c>
      <c r="CJ52" s="821">
        <v>1</v>
      </c>
      <c r="CK52" s="821">
        <v>1</v>
      </c>
      <c r="CL52" s="821">
        <v>1</v>
      </c>
      <c r="CM52" s="821">
        <v>1</v>
      </c>
      <c r="CN52" s="821">
        <v>1</v>
      </c>
      <c r="CO52" s="821">
        <v>1</v>
      </c>
      <c r="CP52" s="821">
        <v>1</v>
      </c>
      <c r="CQ52" s="821">
        <v>1</v>
      </c>
      <c r="CR52" s="821">
        <v>1</v>
      </c>
      <c r="CS52" s="821">
        <v>1</v>
      </c>
      <c r="CT52" s="864">
        <v>1</v>
      </c>
      <c r="CU52" s="821">
        <v>1</v>
      </c>
      <c r="CV52" s="863">
        <v>1</v>
      </c>
      <c r="CW52" s="821">
        <v>1</v>
      </c>
      <c r="CX52" s="863">
        <v>1</v>
      </c>
      <c r="CY52" s="821">
        <v>1</v>
      </c>
      <c r="CZ52" s="863">
        <v>1</v>
      </c>
      <c r="DA52" s="821">
        <v>1</v>
      </c>
      <c r="DB52" s="863">
        <v>1</v>
      </c>
      <c r="DC52" s="821">
        <v>1</v>
      </c>
      <c r="DD52" s="863">
        <v>1</v>
      </c>
      <c r="DE52" s="821">
        <v>1</v>
      </c>
      <c r="DF52" s="863">
        <v>1</v>
      </c>
      <c r="DG52" s="821">
        <v>1</v>
      </c>
      <c r="DH52" s="863">
        <v>1</v>
      </c>
      <c r="DI52" s="147">
        <f>+CJ52</f>
        <v>1</v>
      </c>
      <c r="DJ52" s="147">
        <f>DG52</f>
        <v>1</v>
      </c>
      <c r="DK52" s="147">
        <f>DH52</f>
        <v>1</v>
      </c>
      <c r="DL52" s="147">
        <f>+CJ52</f>
        <v>1</v>
      </c>
      <c r="DM52" s="147">
        <f>+CR52</f>
        <v>1</v>
      </c>
      <c r="DN52" s="147">
        <v>1</v>
      </c>
      <c r="DO52" s="762">
        <v>1</v>
      </c>
      <c r="DP52" s="762">
        <v>1</v>
      </c>
      <c r="DQ52" s="762">
        <v>1</v>
      </c>
      <c r="DR52" s="320">
        <v>1</v>
      </c>
      <c r="DS52" s="762">
        <v>1</v>
      </c>
      <c r="DT52" s="320">
        <v>1</v>
      </c>
      <c r="DU52" s="762">
        <v>1</v>
      </c>
      <c r="DV52" s="762">
        <v>1</v>
      </c>
      <c r="DW52" s="275">
        <v>1</v>
      </c>
      <c r="DX52" s="275">
        <v>1</v>
      </c>
      <c r="DY52" s="275">
        <v>1</v>
      </c>
      <c r="DZ52" s="151"/>
      <c r="EA52" s="275"/>
      <c r="EB52" s="287"/>
      <c r="EC52" s="287"/>
      <c r="ED52" s="287"/>
      <c r="EE52" s="287"/>
      <c r="EF52" s="287"/>
      <c r="EG52" s="287"/>
      <c r="EH52" s="287"/>
      <c r="EI52" s="287"/>
      <c r="EJ52" s="287"/>
      <c r="EK52" s="287"/>
      <c r="EL52" s="151"/>
      <c r="EM52" s="320">
        <f>Z52</f>
        <v>1</v>
      </c>
      <c r="EN52" s="320">
        <f>DU52</f>
        <v>1</v>
      </c>
      <c r="EO52" s="320">
        <f>DV52</f>
        <v>1</v>
      </c>
      <c r="EP52" s="320">
        <f>EN52</f>
        <v>1</v>
      </c>
      <c r="EQ52" s="147">
        <f>EO52</f>
        <v>1</v>
      </c>
      <c r="ER52" s="134">
        <f>IFERROR(DX52/DW52,0)</f>
        <v>1</v>
      </c>
      <c r="ES52" s="134">
        <f>IFERROR(EO52/EN52,0)</f>
        <v>1</v>
      </c>
      <c r="ET52" s="847">
        <f t="shared" si="6"/>
        <v>1</v>
      </c>
      <c r="EU52" s="847">
        <f>IFERROR((AA52+BE52+CI52+DM52+EO52)/(Z52+BD52+CH52+DL52+EN52),0)</f>
        <v>1</v>
      </c>
      <c r="EV52" s="336">
        <f>+(AA52+BE52+CI52+DM52+EQ52)/500%</f>
        <v>1</v>
      </c>
      <c r="EW52" s="706" t="s">
        <v>791</v>
      </c>
      <c r="EX52" s="708" t="s">
        <v>547</v>
      </c>
      <c r="EY52" s="708" t="s">
        <v>547</v>
      </c>
      <c r="EZ52" s="712" t="s">
        <v>510</v>
      </c>
      <c r="FA52" s="713" t="s">
        <v>779</v>
      </c>
      <c r="FB52" s="427"/>
    </row>
    <row r="53" spans="1:158" s="36" customFormat="1" ht="24.95" customHeight="1" x14ac:dyDescent="0.25">
      <c r="A53" s="458"/>
      <c r="B53" s="458"/>
      <c r="C53" s="458"/>
      <c r="D53" s="458"/>
      <c r="E53" s="458"/>
      <c r="F53" s="166" t="s">
        <v>3</v>
      </c>
      <c r="G53" s="55">
        <f>+AA53+BE53+CI53+DM53+EP53</f>
        <v>3485999018</v>
      </c>
      <c r="H53" s="54">
        <v>450000000</v>
      </c>
      <c r="I53" s="55"/>
      <c r="J53" s="55"/>
      <c r="K53" s="55"/>
      <c r="L53" s="55"/>
      <c r="M53" s="55"/>
      <c r="N53" s="55"/>
      <c r="O53" s="55"/>
      <c r="P53" s="55"/>
      <c r="Q53" s="55"/>
      <c r="R53" s="55"/>
      <c r="S53" s="55"/>
      <c r="T53" s="54"/>
      <c r="U53" s="62"/>
      <c r="V53" s="62"/>
      <c r="W53" s="54">
        <v>450000000</v>
      </c>
      <c r="X53" s="54">
        <v>450000000</v>
      </c>
      <c r="Y53" s="54">
        <v>447516000</v>
      </c>
      <c r="Z53" s="54">
        <v>450000000</v>
      </c>
      <c r="AA53" s="54">
        <v>447516000</v>
      </c>
      <c r="AB53" s="54">
        <v>691670000</v>
      </c>
      <c r="AC53" s="55">
        <v>0</v>
      </c>
      <c r="AD53" s="55">
        <v>0</v>
      </c>
      <c r="AE53" s="55">
        <v>326043000</v>
      </c>
      <c r="AF53" s="55">
        <f>326043000-AD53</f>
        <v>326043000</v>
      </c>
      <c r="AG53" s="55">
        <v>89595000</v>
      </c>
      <c r="AH53" s="55">
        <f>415638000-AF53-AD53</f>
        <v>89595000</v>
      </c>
      <c r="AI53" s="55">
        <v>100480000</v>
      </c>
      <c r="AJ53" s="55">
        <f>516118000-AH53-AF53-AD53</f>
        <v>100480000</v>
      </c>
      <c r="AK53" s="55">
        <v>0</v>
      </c>
      <c r="AL53" s="55">
        <f>516118000-AJ53-AH53-AF53-AD53</f>
        <v>0</v>
      </c>
      <c r="AM53" s="55">
        <v>0</v>
      </c>
      <c r="AN53" s="55">
        <v>0</v>
      </c>
      <c r="AO53" s="55">
        <v>0</v>
      </c>
      <c r="AP53" s="55">
        <v>0</v>
      </c>
      <c r="AQ53" s="55">
        <f>4186666.66666667+32598400</f>
        <v>36785066.666666672</v>
      </c>
      <c r="AR53" s="55">
        <v>0</v>
      </c>
      <c r="AS53" s="55">
        <f>4186666.66666667+32598400-133727930</f>
        <v>-96942863.333333328</v>
      </c>
      <c r="AT53" s="55">
        <v>0</v>
      </c>
      <c r="AU53" s="55">
        <f>4186666.66666667+32598400</f>
        <v>36785066.666666672</v>
      </c>
      <c r="AV53" s="55">
        <v>27531699</v>
      </c>
      <c r="AW53" s="55">
        <v>32598400</v>
      </c>
      <c r="AX53" s="55">
        <v>13283666</v>
      </c>
      <c r="AY53" s="55">
        <v>32598400</v>
      </c>
      <c r="AZ53" s="55">
        <v>0</v>
      </c>
      <c r="BA53" s="55">
        <f>AY53+AW53+AU53+AS53+AQ53+AO53+AM53+AK53+AI53+AG53+AE53+AC53</f>
        <v>557942070</v>
      </c>
      <c r="BB53" s="61">
        <f>AC53+AE53+AG53+AI53+AK53+AM53+AO53+AQ53+AS53+AU53+AW53+AY53</f>
        <v>557942070</v>
      </c>
      <c r="BC53" s="55">
        <f>AD53+AF53+AH53+AJ53+AL53+AN53+AP53+AR53+AT53+AV53+AX53+AZ53</f>
        <v>556933365</v>
      </c>
      <c r="BD53" s="61">
        <f>AE53+AG53+AI53+AK53+AM53+AO53+AQ53+AS53+AU53+AW53+AY53+AC53</f>
        <v>557942070</v>
      </c>
      <c r="BE53" s="55">
        <f>AD53+AF53+AH53+AJ53+AL53+AN53+AP53+AR53+AT53+AV53+AX53+AZ53</f>
        <v>556933365</v>
      </c>
      <c r="BF53" s="61">
        <v>725040000</v>
      </c>
      <c r="BG53" s="55">
        <v>722400000</v>
      </c>
      <c r="BH53" s="55">
        <v>585413000</v>
      </c>
      <c r="BI53" s="55">
        <v>0</v>
      </c>
      <c r="BJ53" s="55">
        <v>0</v>
      </c>
      <c r="BK53" s="170">
        <v>-136987000</v>
      </c>
      <c r="BL53" s="55">
        <v>0</v>
      </c>
      <c r="BM53" s="170">
        <v>0</v>
      </c>
      <c r="BN53" s="55">
        <v>0</v>
      </c>
      <c r="BO53" s="170">
        <v>0</v>
      </c>
      <c r="BP53" s="55">
        <v>0</v>
      </c>
      <c r="BQ53" s="170">
        <v>0</v>
      </c>
      <c r="BR53" s="55">
        <v>0</v>
      </c>
      <c r="BS53" s="170">
        <v>0</v>
      </c>
      <c r="BT53" s="55">
        <v>0</v>
      </c>
      <c r="BU53" s="171">
        <v>2640000</v>
      </c>
      <c r="BV53" s="55">
        <v>0</v>
      </c>
      <c r="BW53" s="171">
        <v>76803767</v>
      </c>
      <c r="BX53" s="55">
        <v>12040000</v>
      </c>
      <c r="BY53" s="55">
        <v>-793767</v>
      </c>
      <c r="BZ53" s="55">
        <v>46709200</v>
      </c>
      <c r="CA53" s="55">
        <v>0</v>
      </c>
      <c r="CB53" s="55">
        <v>19900800</v>
      </c>
      <c r="CC53" s="55">
        <v>0</v>
      </c>
      <c r="CD53" s="55">
        <v>0</v>
      </c>
      <c r="CE53" s="55">
        <f>CC53+CA53+BY53+BW53+BU53+BS53+BQ53+BO53+BM53+BK53+BI53+BG53</f>
        <v>664063000</v>
      </c>
      <c r="CF53" s="55">
        <f>+BG53+BI53+BK53+BM53+BO53+BQ53+BS53+BU53+BW53+BY53+CA53+CC53</f>
        <v>664063000</v>
      </c>
      <c r="CG53" s="55">
        <f>+BH53+BJ53+BL53+BN53+BP53+BR53+BT53+BV53+BX53+BZ53+CB53+CD53</f>
        <v>664063000</v>
      </c>
      <c r="CH53" s="54">
        <f>CC53+CA53+BY53+BW53+BU53+BS53+BQ53+BO53+BM53+BK53+BI53+BG53</f>
        <v>664063000</v>
      </c>
      <c r="CI53" s="54">
        <f>+BH53+BJ53+BL53+BN53+BP53+BR53+BT53+BV53+BX53+BZ53+CB53+CD53</f>
        <v>664063000</v>
      </c>
      <c r="CJ53" s="55">
        <v>758280000</v>
      </c>
      <c r="CK53" s="55">
        <v>77547000</v>
      </c>
      <c r="CL53" s="55">
        <v>0</v>
      </c>
      <c r="CM53" s="55">
        <v>20516333</v>
      </c>
      <c r="CN53" s="55">
        <v>366737000</v>
      </c>
      <c r="CO53" s="55">
        <v>61549000</v>
      </c>
      <c r="CP53" s="55">
        <v>324728000</v>
      </c>
      <c r="CQ53" s="55">
        <v>61549000</v>
      </c>
      <c r="CR53" s="55">
        <v>22192000</v>
      </c>
      <c r="CS53" s="55">
        <v>61549000</v>
      </c>
      <c r="CT53" s="180">
        <v>0</v>
      </c>
      <c r="CU53" s="162">
        <v>61549000</v>
      </c>
      <c r="CV53" s="162">
        <v>12186000</v>
      </c>
      <c r="CW53" s="55">
        <v>59211000</v>
      </c>
      <c r="CX53" s="162">
        <v>27366000</v>
      </c>
      <c r="CY53" s="55">
        <f>54203000-26187000</f>
        <v>28016000</v>
      </c>
      <c r="CZ53" s="162">
        <v>0</v>
      </c>
      <c r="DA53" s="162">
        <f>47521000-40501000</f>
        <v>7020000</v>
      </c>
      <c r="DB53" s="162">
        <v>0</v>
      </c>
      <c r="DC53" s="162">
        <f>47521000+24948053</f>
        <v>72469053</v>
      </c>
      <c r="DD53" s="162">
        <v>4482652</v>
      </c>
      <c r="DE53" s="162">
        <f>44889000-8374400</f>
        <v>36514600</v>
      </c>
      <c r="DF53" s="162">
        <v>28021001</v>
      </c>
      <c r="DG53" s="162">
        <v>238222667</v>
      </c>
      <c r="DH53" s="162">
        <v>0</v>
      </c>
      <c r="DI53" s="54">
        <f>DG53+DE53+DC53+DA53+CY53+CW53+CU53+CS53+CQ53+CO53+CM53+CK53</f>
        <v>785712653</v>
      </c>
      <c r="DJ53" s="54">
        <f>CK53+CM53+CO53+CQ53+CS53+CU53+CW53+CY53+DA53+DC53+DE53+DG53</f>
        <v>785712653</v>
      </c>
      <c r="DK53" s="54">
        <f>CL53+CN53+CP53+CR53+CT53+CV53+CX53+CZ53+DB53+DD53+DF53+DH53</f>
        <v>785712653</v>
      </c>
      <c r="DL53" s="54">
        <f>CM53+CO53+CQ53+CS53+CU53+CW53+CY53+DA53+DC53+DE53+DG53+CK53</f>
        <v>785712653</v>
      </c>
      <c r="DM53" s="54">
        <f>CN53+CP53+CR53+CT53+CV53+CX53+CZ53+DB53+DD53+DF53+DH53+CL53</f>
        <v>785712653</v>
      </c>
      <c r="DN53" s="55">
        <f>DO53+DQ53+DS53+DU53+DW53+DY53+EA53</f>
        <v>1031774000</v>
      </c>
      <c r="DO53" s="180">
        <v>120278000</v>
      </c>
      <c r="DP53" s="180">
        <v>120278000</v>
      </c>
      <c r="DQ53" s="180">
        <v>298628000</v>
      </c>
      <c r="DR53" s="180">
        <v>78350000</v>
      </c>
      <c r="DS53" s="180">
        <v>268563254</v>
      </c>
      <c r="DT53" s="180">
        <v>105348000</v>
      </c>
      <c r="DU53" s="180">
        <v>235268964</v>
      </c>
      <c r="DV53" s="180">
        <v>17252000</v>
      </c>
      <c r="DW53" s="162">
        <v>96523698</v>
      </c>
      <c r="DX53" s="265">
        <v>68614000</v>
      </c>
      <c r="DY53" s="162">
        <v>0</v>
      </c>
      <c r="DZ53" s="48"/>
      <c r="EA53" s="162">
        <v>12512084</v>
      </c>
      <c r="EB53" s="282"/>
      <c r="EC53" s="282"/>
      <c r="ED53" s="282"/>
      <c r="EE53" s="282"/>
      <c r="EF53" s="282"/>
      <c r="EG53" s="282"/>
      <c r="EH53" s="282"/>
      <c r="EI53" s="282"/>
      <c r="EJ53" s="282"/>
      <c r="EK53" s="282"/>
      <c r="EL53" s="48"/>
      <c r="EM53" s="61">
        <f>EK53+EI53+EG53+EE53+EC53+EA53+DY53+DW53+DU53+DS53+DQ53+DO53</f>
        <v>1031774000</v>
      </c>
      <c r="EN53" s="61">
        <f>DO53+DQ53+DS53+DU53+DW53</f>
        <v>1019261916</v>
      </c>
      <c r="EO53" s="183">
        <f>DP53+DR53+DT53+DV53+DX53</f>
        <v>389842000</v>
      </c>
      <c r="EP53" s="262">
        <f>DQ53+DS53+DU53+DW53+DY53+EA53+EC53+EE53+EG53+EI53+EK53+DO53</f>
        <v>1031774000</v>
      </c>
      <c r="EQ53" s="61">
        <f>DP53+DR53+DT53+DV53+DX53</f>
        <v>389842000</v>
      </c>
      <c r="ER53" s="134">
        <f t="shared" ref="ER53:ER57" si="130">IFERROR(DX53/DW53,0)</f>
        <v>0.71085133932601707</v>
      </c>
      <c r="ES53" s="134">
        <f t="shared" si="5"/>
        <v>0.38247480248246613</v>
      </c>
      <c r="ET53" s="847">
        <f t="shared" si="6"/>
        <v>0.37783661925964407</v>
      </c>
      <c r="EU53" s="847">
        <f>IFERROR((AA53+BE53+CI53+DM53+EO53)/(Z53+BD53+CH53+DL53+EN53),0)</f>
        <v>0.81797057023260866</v>
      </c>
      <c r="EV53" s="337">
        <f>+(AA53+BE53+CI53+DM53+EQ53)/G53</f>
        <v>0.81585422236627836</v>
      </c>
      <c r="EW53" s="706"/>
      <c r="EX53" s="708" t="s">
        <v>547</v>
      </c>
      <c r="EY53" s="708" t="s">
        <v>547</v>
      </c>
      <c r="EZ53" s="712"/>
      <c r="FA53" s="716"/>
      <c r="FB53" s="427"/>
    </row>
    <row r="54" spans="1:158" s="36" customFormat="1" ht="24.95" customHeight="1" x14ac:dyDescent="0.25">
      <c r="A54" s="458"/>
      <c r="B54" s="458"/>
      <c r="C54" s="458"/>
      <c r="D54" s="458"/>
      <c r="E54" s="458"/>
      <c r="F54" s="167" t="s">
        <v>205</v>
      </c>
      <c r="G54" s="55"/>
      <c r="H54" s="54"/>
      <c r="I54" s="55"/>
      <c r="J54" s="55"/>
      <c r="K54" s="55"/>
      <c r="L54" s="55"/>
      <c r="M54" s="55"/>
      <c r="N54" s="55"/>
      <c r="O54" s="55"/>
      <c r="P54" s="55"/>
      <c r="Q54" s="55"/>
      <c r="R54" s="55"/>
      <c r="S54" s="55"/>
      <c r="T54" s="54"/>
      <c r="U54" s="62"/>
      <c r="V54" s="62"/>
      <c r="W54" s="54"/>
      <c r="X54" s="54"/>
      <c r="Y54" s="54"/>
      <c r="Z54" s="54"/>
      <c r="AA54" s="55"/>
      <c r="AB54" s="54"/>
      <c r="AC54" s="55">
        <v>0</v>
      </c>
      <c r="AD54" s="55">
        <v>0</v>
      </c>
      <c r="AE54" s="55">
        <v>0</v>
      </c>
      <c r="AF54" s="55">
        <v>0</v>
      </c>
      <c r="AG54" s="55">
        <v>13025300</v>
      </c>
      <c r="AH54" s="55">
        <v>13025300</v>
      </c>
      <c r="AI54" s="55">
        <v>41275300</v>
      </c>
      <c r="AJ54" s="55">
        <f>54300600-AH54</f>
        <v>41275300</v>
      </c>
      <c r="AK54" s="55">
        <v>49826100</v>
      </c>
      <c r="AL54" s="55">
        <f>104126700-AJ54-AH54</f>
        <v>49826100</v>
      </c>
      <c r="AM54" s="55">
        <v>59253467</v>
      </c>
      <c r="AN54" s="55">
        <v>59253467</v>
      </c>
      <c r="AO54" s="55">
        <v>0</v>
      </c>
      <c r="AP54" s="55">
        <v>58742000</v>
      </c>
      <c r="AQ54" s="55">
        <v>0</v>
      </c>
      <c r="AR54" s="55">
        <v>58742000</v>
      </c>
      <c r="AS54" s="55">
        <v>0</v>
      </c>
      <c r="AT54" s="55">
        <v>58742000</v>
      </c>
      <c r="AU54" s="55">
        <v>0</v>
      </c>
      <c r="AV54" s="55">
        <v>58742000</v>
      </c>
      <c r="AW54" s="55">
        <v>0</v>
      </c>
      <c r="AX54" s="55">
        <v>58742000</v>
      </c>
      <c r="AY54" s="55">
        <v>0</v>
      </c>
      <c r="AZ54" s="55">
        <v>0</v>
      </c>
      <c r="BA54" s="55">
        <f>AY54+AW54+AU54+AS54+AQ54+AO54+AM54+AK54+AI54+AG54+AE54+AC54</f>
        <v>163380167</v>
      </c>
      <c r="BB54" s="61">
        <f>AC54+AE54+AG54+AI54+AK54+AM54+AO54+AQ54+AS54+AU54+AW54+AY54</f>
        <v>163380167</v>
      </c>
      <c r="BC54" s="55">
        <f>AD54+AF54+AH54+AJ54+AL54+AN54+AP54+AR54+AT54+AV54+AX54+AZ54</f>
        <v>457090167</v>
      </c>
      <c r="BD54" s="61">
        <f>AE54+AG54+AI54+AK54+AM54+AO54+AQ54+AS54+AU54+AW54+AY54+AC54</f>
        <v>163380167</v>
      </c>
      <c r="BE54" s="55">
        <f>AD54+AF54+AH54+AJ54+AL54+AN54+AP54+AR54+AT54+AV54+AX54+AZ54</f>
        <v>457090167</v>
      </c>
      <c r="BF54" s="55">
        <v>0</v>
      </c>
      <c r="BG54" s="55">
        <v>0</v>
      </c>
      <c r="BH54" s="55">
        <v>0</v>
      </c>
      <c r="BI54" s="55"/>
      <c r="BJ54" s="55">
        <v>1771000</v>
      </c>
      <c r="BK54" s="55"/>
      <c r="BL54" s="55">
        <v>55558600</v>
      </c>
      <c r="BM54" s="55"/>
      <c r="BN54" s="55">
        <v>75173000</v>
      </c>
      <c r="BO54" s="55"/>
      <c r="BP54" s="55">
        <v>67583000</v>
      </c>
      <c r="BQ54" s="55">
        <v>0</v>
      </c>
      <c r="BR54" s="55">
        <v>67583000</v>
      </c>
      <c r="BS54" s="55"/>
      <c r="BT54" s="55">
        <v>67583000</v>
      </c>
      <c r="BU54" s="55">
        <v>0</v>
      </c>
      <c r="BV54" s="55">
        <v>59667000</v>
      </c>
      <c r="BW54" s="55">
        <v>0</v>
      </c>
      <c r="BX54" s="55">
        <v>72489000</v>
      </c>
      <c r="BY54" s="55">
        <v>0</v>
      </c>
      <c r="BZ54" s="55">
        <v>47759000</v>
      </c>
      <c r="CA54" s="55">
        <v>0</v>
      </c>
      <c r="CB54" s="55">
        <v>45262000</v>
      </c>
      <c r="CC54" s="55">
        <v>0</v>
      </c>
      <c r="CD54" s="55">
        <v>69310900</v>
      </c>
      <c r="CE54" s="55">
        <f>CC54+CA54+BY54+BW54+BU54+BS54+BQ54+BO54+BM54+BK54+BI54+BG54</f>
        <v>0</v>
      </c>
      <c r="CF54" s="55">
        <f>+BG54+BI54+BK54+BM54+BO54+BQ54+BS54+BU54+BW54+BY54+CA54+CC54</f>
        <v>0</v>
      </c>
      <c r="CG54" s="55">
        <f>+BH54+BJ54+BL54+BN54+BP54+BR54+BT54+BV54+BX54+BZ54+CB54+CD54</f>
        <v>629739500</v>
      </c>
      <c r="CH54" s="54">
        <f>CC54+CA54+BY54+BW54+BU54+BS54+BQ54+BO54+BM54+BK54+BI54+BG54</f>
        <v>0</v>
      </c>
      <c r="CI54" s="54">
        <f>+BH54+BJ54+BL54+BN54+BP54+BR54+BT54+BV54+BX54+BZ54+CB54+CD54</f>
        <v>629739500</v>
      </c>
      <c r="CJ54" s="55">
        <v>758280000</v>
      </c>
      <c r="CK54" s="55">
        <v>77547000</v>
      </c>
      <c r="CL54" s="55">
        <v>0</v>
      </c>
      <c r="CM54" s="55">
        <v>20516333</v>
      </c>
      <c r="CN54" s="55">
        <v>0</v>
      </c>
      <c r="CO54" s="55">
        <v>61549000</v>
      </c>
      <c r="CP54" s="55">
        <v>16333866</v>
      </c>
      <c r="CQ54" s="55">
        <v>61549000</v>
      </c>
      <c r="CR54" s="55">
        <v>53490200</v>
      </c>
      <c r="CS54" s="55">
        <v>61549000</v>
      </c>
      <c r="CT54" s="180">
        <v>67516133</v>
      </c>
      <c r="CU54" s="162">
        <v>61549000</v>
      </c>
      <c r="CV54" s="162">
        <v>68320300</v>
      </c>
      <c r="CW54" s="55">
        <v>59211000</v>
      </c>
      <c r="CX54" s="162">
        <v>87270767</v>
      </c>
      <c r="CY54" s="55">
        <f>54203000-26187000</f>
        <v>28016000</v>
      </c>
      <c r="CZ54" s="162">
        <v>84716400</v>
      </c>
      <c r="DA54" s="162">
        <f>47521000-40501000</f>
        <v>7020000</v>
      </c>
      <c r="DB54" s="162">
        <v>78818000</v>
      </c>
      <c r="DC54" s="162">
        <f>47521000+24948053</f>
        <v>72469053</v>
      </c>
      <c r="DD54" s="162">
        <v>76830000</v>
      </c>
      <c r="DE54" s="162">
        <f>44889000-8374400</f>
        <v>36514600</v>
      </c>
      <c r="DF54" s="162">
        <v>68149652</v>
      </c>
      <c r="DG54" s="162">
        <v>238222667</v>
      </c>
      <c r="DH54" s="162">
        <v>86427734</v>
      </c>
      <c r="DI54" s="54">
        <f>DG54+DE54+DC54+DA54+CY54+CW54+CU54+CS54+CQ54+CO54+CM54+CK54</f>
        <v>785712653</v>
      </c>
      <c r="DJ54" s="54">
        <f>CK54+CM54+CO54+CQ54+CS54+CU54+CW54+CY54+DA54+DC54+DE54+DG54</f>
        <v>785712653</v>
      </c>
      <c r="DK54" s="54">
        <f>CL54+CN54+CP54+CR54+CT54+CV54+CX54+CZ54+DB54+DD54+DF54+DH54</f>
        <v>687873052</v>
      </c>
      <c r="DL54" s="54">
        <f>CM54+CO54+CQ54+CS54+CU54+CW54+CY54+DA54+DC54+DE54+DG54+CK54</f>
        <v>785712653</v>
      </c>
      <c r="DM54" s="54">
        <f>CN54+CP54+CR54+CT54+CV54+CX54+CZ54+DB54+DD54+DF54+DH54+CL54</f>
        <v>687873052</v>
      </c>
      <c r="DN54" s="55">
        <f>DO54+DQ54+DS54+DU54+DW54+DY54+EA54</f>
        <v>1031774000</v>
      </c>
      <c r="DO54" s="180">
        <v>120278000</v>
      </c>
      <c r="DP54" s="180">
        <v>120278000</v>
      </c>
      <c r="DQ54" s="180">
        <v>298628000</v>
      </c>
      <c r="DR54" s="180">
        <v>-118983467</v>
      </c>
      <c r="DS54" s="180">
        <v>268563254</v>
      </c>
      <c r="DT54" s="180">
        <v>30925934</v>
      </c>
      <c r="DU54" s="180">
        <v>235268964</v>
      </c>
      <c r="DV54" s="180">
        <v>49075366</v>
      </c>
      <c r="DW54" s="162">
        <v>96523698</v>
      </c>
      <c r="DX54" s="265">
        <v>60982600</v>
      </c>
      <c r="DY54" s="162">
        <v>0</v>
      </c>
      <c r="DZ54" s="48"/>
      <c r="EA54" s="162">
        <v>12512084</v>
      </c>
      <c r="EB54" s="282"/>
      <c r="EC54" s="282"/>
      <c r="ED54" s="282"/>
      <c r="EE54" s="282"/>
      <c r="EF54" s="282"/>
      <c r="EG54" s="282"/>
      <c r="EH54" s="282"/>
      <c r="EI54" s="282"/>
      <c r="EJ54" s="282"/>
      <c r="EK54" s="282"/>
      <c r="EL54" s="48"/>
      <c r="EM54" s="61">
        <f>EK54+EI54+EG54+EE54+EC54+EA54+DY54+DW54+DU54+DS54+DQ54+DO54</f>
        <v>1031774000</v>
      </c>
      <c r="EN54" s="61">
        <f>DO54+DQ54+DS54+DU54+DW54</f>
        <v>1019261916</v>
      </c>
      <c r="EO54" s="183">
        <f t="shared" ref="EO54:EO56" si="131">DP54+DR54+DT54+DV54+DX54</f>
        <v>142278433</v>
      </c>
      <c r="EP54" s="262">
        <f>DQ54+DS54+DU54+DW54+DY54+EA54+EC54+EE54+EG54+EI54+EK54+DO54</f>
        <v>1031774000</v>
      </c>
      <c r="EQ54" s="61">
        <f>DP54+DR54+DT54+DV54+DX54</f>
        <v>142278433</v>
      </c>
      <c r="ER54" s="134">
        <f t="shared" si="130"/>
        <v>0.63178888981232362</v>
      </c>
      <c r="ES54" s="134">
        <f t="shared" si="5"/>
        <v>0.1395896685303015</v>
      </c>
      <c r="ET54" s="847">
        <f t="shared" si="6"/>
        <v>0.13789689699488453</v>
      </c>
      <c r="EU54" s="847" t="s">
        <v>311</v>
      </c>
      <c r="EV54" s="336" t="s">
        <v>311</v>
      </c>
      <c r="EW54" s="706"/>
      <c r="EX54" s="708" t="s">
        <v>547</v>
      </c>
      <c r="EY54" s="708" t="s">
        <v>547</v>
      </c>
      <c r="EZ54" s="712"/>
      <c r="FA54" s="716"/>
      <c r="FB54" s="427"/>
    </row>
    <row r="55" spans="1:158" s="3" customFormat="1" ht="24.95" customHeight="1" x14ac:dyDescent="0.25">
      <c r="A55" s="458"/>
      <c r="B55" s="458"/>
      <c r="C55" s="458"/>
      <c r="D55" s="458"/>
      <c r="E55" s="458"/>
      <c r="F55" s="165" t="s">
        <v>41</v>
      </c>
      <c r="G55" s="814">
        <v>0</v>
      </c>
      <c r="H55" s="814">
        <v>0</v>
      </c>
      <c r="I55" s="695">
        <v>0</v>
      </c>
      <c r="J55" s="695">
        <v>0</v>
      </c>
      <c r="K55" s="695">
        <v>0</v>
      </c>
      <c r="L55" s="695">
        <v>0</v>
      </c>
      <c r="M55" s="695">
        <v>0</v>
      </c>
      <c r="N55" s="694">
        <v>0</v>
      </c>
      <c r="O55" s="695">
        <v>0</v>
      </c>
      <c r="P55" s="694">
        <v>0</v>
      </c>
      <c r="Q55" s="695">
        <v>0</v>
      </c>
      <c r="R55" s="693">
        <v>0</v>
      </c>
      <c r="S55" s="695">
        <v>0</v>
      </c>
      <c r="T55" s="694">
        <v>0</v>
      </c>
      <c r="U55" s="695">
        <v>0</v>
      </c>
      <c r="V55" s="695">
        <v>0</v>
      </c>
      <c r="W55" s="51">
        <v>0</v>
      </c>
      <c r="X55" s="51">
        <v>0</v>
      </c>
      <c r="Y55" s="51">
        <v>0</v>
      </c>
      <c r="Z55" s="51">
        <v>0</v>
      </c>
      <c r="AA55" s="51">
        <v>0</v>
      </c>
      <c r="AB55" s="51">
        <v>0</v>
      </c>
      <c r="AC55" s="51">
        <v>0</v>
      </c>
      <c r="AD55" s="51">
        <v>0</v>
      </c>
      <c r="AE55" s="51">
        <v>0</v>
      </c>
      <c r="AF55" s="51">
        <v>0</v>
      </c>
      <c r="AG55" s="51">
        <v>0</v>
      </c>
      <c r="AH55" s="51">
        <v>0</v>
      </c>
      <c r="AI55" s="51">
        <v>0</v>
      </c>
      <c r="AJ55" s="51">
        <v>0</v>
      </c>
      <c r="AK55" s="51">
        <v>0</v>
      </c>
      <c r="AL55" s="51">
        <v>0</v>
      </c>
      <c r="AM55" s="51">
        <v>0</v>
      </c>
      <c r="AN55" s="51">
        <v>0</v>
      </c>
      <c r="AO55" s="51">
        <v>0</v>
      </c>
      <c r="AP55" s="51">
        <v>0</v>
      </c>
      <c r="AQ55" s="51">
        <v>0</v>
      </c>
      <c r="AR55" s="51">
        <v>0</v>
      </c>
      <c r="AS55" s="51">
        <v>0</v>
      </c>
      <c r="AT55" s="51">
        <v>0</v>
      </c>
      <c r="AU55" s="51">
        <v>0</v>
      </c>
      <c r="AV55" s="51">
        <v>0</v>
      </c>
      <c r="AW55" s="51">
        <v>0</v>
      </c>
      <c r="AX55" s="51">
        <v>0</v>
      </c>
      <c r="AY55" s="51">
        <v>0</v>
      </c>
      <c r="AZ55" s="51">
        <v>0</v>
      </c>
      <c r="BA55" s="51">
        <f>+AB55</f>
        <v>0</v>
      </c>
      <c r="BB55" s="51">
        <f>+AY55</f>
        <v>0</v>
      </c>
      <c r="BC55" s="51">
        <f>+AZ55</f>
        <v>0</v>
      </c>
      <c r="BD55" s="51">
        <f>+G55</f>
        <v>0</v>
      </c>
      <c r="BE55" s="51">
        <f>+AZ55</f>
        <v>0</v>
      </c>
      <c r="BF55" s="111">
        <v>0</v>
      </c>
      <c r="BG55" s="51">
        <v>0</v>
      </c>
      <c r="BH55" s="51">
        <v>0</v>
      </c>
      <c r="BI55" s="51">
        <v>0</v>
      </c>
      <c r="BJ55" s="51">
        <v>0</v>
      </c>
      <c r="BK55" s="51">
        <v>0</v>
      </c>
      <c r="BL55" s="51">
        <v>0</v>
      </c>
      <c r="BM55" s="51">
        <v>0</v>
      </c>
      <c r="BN55" s="51">
        <v>0</v>
      </c>
      <c r="BO55" s="51">
        <v>0</v>
      </c>
      <c r="BP55" s="51">
        <v>0</v>
      </c>
      <c r="BQ55" s="51">
        <v>0</v>
      </c>
      <c r="BR55" s="51">
        <v>0</v>
      </c>
      <c r="BS55" s="51">
        <v>0</v>
      </c>
      <c r="BT55" s="51">
        <v>0</v>
      </c>
      <c r="BU55" s="51">
        <v>0</v>
      </c>
      <c r="BV55" s="51">
        <v>0</v>
      </c>
      <c r="BW55" s="51">
        <v>0</v>
      </c>
      <c r="BX55" s="51">
        <v>0</v>
      </c>
      <c r="BY55" s="51">
        <v>0</v>
      </c>
      <c r="BZ55" s="51">
        <v>0</v>
      </c>
      <c r="CA55" s="51">
        <v>0</v>
      </c>
      <c r="CB55" s="51">
        <v>0</v>
      </c>
      <c r="CC55" s="51">
        <v>0</v>
      </c>
      <c r="CD55" s="51">
        <v>0</v>
      </c>
      <c r="CE55" s="51">
        <f>BF55</f>
        <v>0</v>
      </c>
      <c r="CF55" s="51">
        <f>+CC55</f>
        <v>0</v>
      </c>
      <c r="CG55" s="51">
        <f>CD55</f>
        <v>0</v>
      </c>
      <c r="CH55" s="51">
        <f>+CC55</f>
        <v>0</v>
      </c>
      <c r="CI55" s="51">
        <f>+CD55</f>
        <v>0</v>
      </c>
      <c r="CJ55" s="814">
        <v>0</v>
      </c>
      <c r="CK55" s="814">
        <v>0</v>
      </c>
      <c r="CL55" s="814">
        <v>0</v>
      </c>
      <c r="CM55" s="814">
        <v>0</v>
      </c>
      <c r="CN55" s="814">
        <v>0</v>
      </c>
      <c r="CO55" s="814">
        <v>0</v>
      </c>
      <c r="CP55" s="814">
        <v>0</v>
      </c>
      <c r="CQ55" s="814">
        <v>0</v>
      </c>
      <c r="CR55" s="814">
        <v>0</v>
      </c>
      <c r="CS55" s="814">
        <v>0</v>
      </c>
      <c r="CT55" s="840">
        <v>0</v>
      </c>
      <c r="CU55" s="814">
        <v>0</v>
      </c>
      <c r="CV55" s="836">
        <v>0</v>
      </c>
      <c r="CW55" s="814">
        <v>0</v>
      </c>
      <c r="CX55" s="836">
        <v>0</v>
      </c>
      <c r="CY55" s="814">
        <v>0</v>
      </c>
      <c r="CZ55" s="836">
        <v>0</v>
      </c>
      <c r="DA55" s="814">
        <v>0</v>
      </c>
      <c r="DB55" s="836">
        <v>0</v>
      </c>
      <c r="DC55" s="814">
        <v>0</v>
      </c>
      <c r="DD55" s="836">
        <v>0</v>
      </c>
      <c r="DE55" s="814">
        <v>0</v>
      </c>
      <c r="DF55" s="836">
        <v>0</v>
      </c>
      <c r="DG55" s="814">
        <v>0</v>
      </c>
      <c r="DH55" s="836">
        <v>0</v>
      </c>
      <c r="DI55" s="51">
        <f>+CJ55</f>
        <v>0</v>
      </c>
      <c r="DJ55" s="54">
        <f>CK55+CM55+CO55+CQ55+CS55+CU55+CW55+CY55+DA55+DC55+DG55</f>
        <v>0</v>
      </c>
      <c r="DK55" s="161">
        <f>+CV55+CX55+CZ55+DB55+DD55+DF55+DH55</f>
        <v>0</v>
      </c>
      <c r="DL55" s="51">
        <f>+CJ55</f>
        <v>0</v>
      </c>
      <c r="DM55" s="51">
        <f>+CR55</f>
        <v>0</v>
      </c>
      <c r="DN55" s="51"/>
      <c r="DO55" s="323">
        <v>0</v>
      </c>
      <c r="DP55" s="323">
        <v>0</v>
      </c>
      <c r="DQ55" s="323">
        <v>0</v>
      </c>
      <c r="DR55" s="323">
        <v>0</v>
      </c>
      <c r="DS55" s="323">
        <v>0</v>
      </c>
      <c r="DT55" s="323">
        <v>0</v>
      </c>
      <c r="DU55" s="323">
        <v>0</v>
      </c>
      <c r="DV55" s="323">
        <v>0</v>
      </c>
      <c r="DW55" s="276">
        <v>0</v>
      </c>
      <c r="DX55" s="276">
        <v>0</v>
      </c>
      <c r="DY55" s="276">
        <v>0</v>
      </c>
      <c r="DZ55" s="72"/>
      <c r="EA55" s="276"/>
      <c r="EB55" s="288"/>
      <c r="EC55" s="288"/>
      <c r="ED55" s="288"/>
      <c r="EE55" s="288"/>
      <c r="EF55" s="288"/>
      <c r="EG55" s="288"/>
      <c r="EH55" s="288"/>
      <c r="EI55" s="288"/>
      <c r="EJ55" s="288"/>
      <c r="EK55" s="288"/>
      <c r="EL55" s="72"/>
      <c r="EM55" s="181">
        <f>EI55+EG55+EE55+EC55+EA55+DY55+DW55+DU55+DS55+DQ55+DO55+EK55</f>
        <v>0</v>
      </c>
      <c r="EN55" s="269">
        <f>DO55+DQ55+DS55+DU55+DW55</f>
        <v>0</v>
      </c>
      <c r="EO55" s="274">
        <f t="shared" si="131"/>
        <v>0</v>
      </c>
      <c r="EP55" s="181">
        <f>DQ55+DS55+DU55+DW55+DY55+EA55+EC55+EE55+EG55+EI55+EK55</f>
        <v>0</v>
      </c>
      <c r="EQ55" s="147">
        <f>EO55</f>
        <v>0</v>
      </c>
      <c r="ER55" s="134">
        <f t="shared" si="130"/>
        <v>0</v>
      </c>
      <c r="ES55" s="134">
        <f t="shared" si="5"/>
        <v>0</v>
      </c>
      <c r="ET55" s="847">
        <f t="shared" si="6"/>
        <v>0</v>
      </c>
      <c r="EU55" s="847">
        <f t="shared" si="24"/>
        <v>0</v>
      </c>
      <c r="EV55" s="337">
        <f>IFERROR(+(AA55+BE55+CI55+DM55+EQ55)/G55,0)</f>
        <v>0</v>
      </c>
      <c r="EW55" s="706"/>
      <c r="EX55" s="708" t="s">
        <v>547</v>
      </c>
      <c r="EY55" s="708" t="s">
        <v>547</v>
      </c>
      <c r="EZ55" s="712"/>
      <c r="FA55" s="716"/>
      <c r="FB55" s="427"/>
    </row>
    <row r="56" spans="1:158" s="36" customFormat="1" ht="24.95" customHeight="1" x14ac:dyDescent="0.25">
      <c r="A56" s="458"/>
      <c r="B56" s="458"/>
      <c r="C56" s="458"/>
      <c r="D56" s="458"/>
      <c r="E56" s="458"/>
      <c r="F56" s="166" t="s">
        <v>4</v>
      </c>
      <c r="G56" s="55">
        <f>+AA56+BE56+CI56+DM56+EP56</f>
        <v>286129635</v>
      </c>
      <c r="H56" s="54">
        <v>187668702</v>
      </c>
      <c r="I56" s="55">
        <v>0</v>
      </c>
      <c r="J56" s="55">
        <v>0</v>
      </c>
      <c r="K56" s="55">
        <v>0</v>
      </c>
      <c r="L56" s="55">
        <v>0</v>
      </c>
      <c r="M56" s="55">
        <v>0</v>
      </c>
      <c r="N56" s="55">
        <v>0</v>
      </c>
      <c r="O56" s="55">
        <v>0</v>
      </c>
      <c r="P56" s="55">
        <v>0</v>
      </c>
      <c r="Q56" s="55">
        <v>0</v>
      </c>
      <c r="R56" s="55">
        <v>0</v>
      </c>
      <c r="S56" s="55">
        <v>0</v>
      </c>
      <c r="T56" s="54">
        <v>0</v>
      </c>
      <c r="U56" s="62">
        <v>0</v>
      </c>
      <c r="V56" s="62">
        <v>0</v>
      </c>
      <c r="W56" s="54">
        <v>187668702</v>
      </c>
      <c r="X56" s="54">
        <v>187668702</v>
      </c>
      <c r="Y56" s="54">
        <v>0</v>
      </c>
      <c r="Z56" s="54">
        <v>187668702</v>
      </c>
      <c r="AA56" s="55">
        <v>0</v>
      </c>
      <c r="AB56" s="54">
        <v>131174135</v>
      </c>
      <c r="AC56" s="55">
        <v>56494567</v>
      </c>
      <c r="AD56" s="55">
        <v>56494567</v>
      </c>
      <c r="AE56" s="55">
        <v>56557034</v>
      </c>
      <c r="AF56" s="55">
        <f>113051601-AD56</f>
        <v>56557034</v>
      </c>
      <c r="AG56" s="55">
        <v>7384000</v>
      </c>
      <c r="AH56" s="55">
        <f>120435601-AF56-AD56</f>
        <v>7384000</v>
      </c>
      <c r="AI56" s="55">
        <v>3121667</v>
      </c>
      <c r="AJ56" s="55">
        <f>123557268-AH56-AF56-AD56</f>
        <v>3121667</v>
      </c>
      <c r="AK56" s="55">
        <v>3746000</v>
      </c>
      <c r="AL56" s="55">
        <f>127303268-AJ56-AH56-AF56-AD56</f>
        <v>3746000</v>
      </c>
      <c r="AM56" s="55">
        <v>3870867</v>
      </c>
      <c r="AN56" s="55">
        <v>3870867</v>
      </c>
      <c r="AO56" s="55">
        <v>0</v>
      </c>
      <c r="AP56" s="55">
        <v>0</v>
      </c>
      <c r="AQ56" s="55">
        <v>0</v>
      </c>
      <c r="AR56" s="55">
        <v>0</v>
      </c>
      <c r="AS56" s="55">
        <v>0</v>
      </c>
      <c r="AT56" s="55">
        <v>0</v>
      </c>
      <c r="AU56" s="55">
        <v>0</v>
      </c>
      <c r="AV56" s="55">
        <v>0</v>
      </c>
      <c r="AW56" s="55">
        <v>0</v>
      </c>
      <c r="AX56" s="55">
        <v>0</v>
      </c>
      <c r="AY56" s="55">
        <v>0</v>
      </c>
      <c r="AZ56" s="55">
        <v>0</v>
      </c>
      <c r="BA56" s="55">
        <f>AY56+AW56+AU56+AS56+AQ56+AO56+AM56+AK56+AI56+AG56+AE56+AC56</f>
        <v>131174135</v>
      </c>
      <c r="BB56" s="61">
        <f>AC56+AE56+AG56+AI56+AK56+AM56+AO56+AQ56+AS56+AU56+AW56+AY56</f>
        <v>131174135</v>
      </c>
      <c r="BC56" s="55">
        <f>AD56+AF56+AH56+AJ56+AL56+AN56+AP56+AR56+AT56+AV56+AX56+AZ56</f>
        <v>131174135</v>
      </c>
      <c r="BD56" s="61">
        <f>AE56+AG56+AI56+AK56+AM56+AO56+AQ56+AS56+AU56+AW56+AY56+AC56</f>
        <v>131174135</v>
      </c>
      <c r="BE56" s="55">
        <f>AD56+AF56+AH56+AJ56+AL56+AN56+AP56+AR56+AT56+AV56+AX56+AZ56</f>
        <v>131174135</v>
      </c>
      <c r="BF56" s="55">
        <v>25802399</v>
      </c>
      <c r="BG56" s="55">
        <v>25802399</v>
      </c>
      <c r="BH56" s="55"/>
      <c r="BI56" s="55"/>
      <c r="BJ56" s="55">
        <v>25802399</v>
      </c>
      <c r="BK56" s="55"/>
      <c r="BL56" s="55">
        <v>0</v>
      </c>
      <c r="BM56" s="55"/>
      <c r="BN56" s="55">
        <v>0</v>
      </c>
      <c r="BO56" s="55"/>
      <c r="BP56" s="55">
        <v>0</v>
      </c>
      <c r="BQ56" s="55">
        <v>0</v>
      </c>
      <c r="BR56" s="55">
        <v>0</v>
      </c>
      <c r="BS56" s="55">
        <v>0</v>
      </c>
      <c r="BT56" s="55">
        <v>0</v>
      </c>
      <c r="BU56" s="55">
        <v>0</v>
      </c>
      <c r="BV56" s="55">
        <v>0</v>
      </c>
      <c r="BW56" s="55">
        <v>0</v>
      </c>
      <c r="BX56" s="55">
        <v>0</v>
      </c>
      <c r="BY56" s="55">
        <v>0</v>
      </c>
      <c r="BZ56" s="55">
        <v>0</v>
      </c>
      <c r="CA56" s="55">
        <v>0</v>
      </c>
      <c r="CB56" s="55">
        <v>0</v>
      </c>
      <c r="CC56" s="55">
        <v>0</v>
      </c>
      <c r="CD56" s="55">
        <v>0</v>
      </c>
      <c r="CE56" s="55">
        <f>CC56+CA56+BY56+BW56+BU56+BS56+BQ56+BO56+BM56+BK56+BI56+BG56</f>
        <v>25802399</v>
      </c>
      <c r="CF56" s="55">
        <f>+BG56+BI56+BK56+BM56+BO56+BQ56+BS56+BU56+BW56+BY56+CA56+CC56</f>
        <v>25802399</v>
      </c>
      <c r="CG56" s="55">
        <f>+BH56+BJ56+BL56+BN56+BP56+BR56+BT56+BV56+BX56+BZ56+CB56+CD56</f>
        <v>25802399</v>
      </c>
      <c r="CH56" s="54">
        <f>CC56+CA56+BY56+BW56+BU56+BS56+BQ56+BO56+BM56+BK56+BI56+BG56</f>
        <v>25802399</v>
      </c>
      <c r="CI56" s="54">
        <f>+BH56+BJ56+BL56+BN56+BP56+BR56+BT56+BV56+BX56+BZ56+CB56+CD56</f>
        <v>25802399</v>
      </c>
      <c r="CJ56" s="55">
        <v>34323500</v>
      </c>
      <c r="CK56" s="55">
        <v>19794000</v>
      </c>
      <c r="CL56" s="55">
        <v>16758000</v>
      </c>
      <c r="CM56" s="55">
        <v>2489500</v>
      </c>
      <c r="CN56" s="55">
        <v>5525500</v>
      </c>
      <c r="CO56" s="55">
        <v>0</v>
      </c>
      <c r="CP56" s="55">
        <v>0</v>
      </c>
      <c r="CQ56" s="55">
        <v>0</v>
      </c>
      <c r="CR56" s="55">
        <v>0</v>
      </c>
      <c r="CS56" s="55">
        <v>0</v>
      </c>
      <c r="CT56" s="180">
        <v>0</v>
      </c>
      <c r="CU56" s="162">
        <v>0</v>
      </c>
      <c r="CV56" s="162">
        <v>0</v>
      </c>
      <c r="CW56" s="55">
        <v>0</v>
      </c>
      <c r="CX56" s="162">
        <v>0</v>
      </c>
      <c r="CY56" s="55">
        <v>0</v>
      </c>
      <c r="CZ56" s="162">
        <v>0</v>
      </c>
      <c r="DA56" s="55">
        <v>0</v>
      </c>
      <c r="DB56" s="162">
        <v>0</v>
      </c>
      <c r="DC56" s="55">
        <v>0</v>
      </c>
      <c r="DD56" s="162">
        <v>0</v>
      </c>
      <c r="DE56" s="55">
        <v>0</v>
      </c>
      <c r="DF56" s="162">
        <v>0</v>
      </c>
      <c r="DG56" s="55">
        <v>12040000</v>
      </c>
      <c r="DH56" s="162">
        <v>9030000</v>
      </c>
      <c r="DI56" s="54">
        <f>DG56+DE56+DC56+DA56+CY56+CW56+CU56+CM56+CS56+CO56+CQ56+CK56</f>
        <v>34323500</v>
      </c>
      <c r="DJ56" s="54">
        <f>CK56+CM56+CO56+CQ56+CS56+CU56+CW56+CY56+DA56+DC56+DE56+DG56</f>
        <v>34323500</v>
      </c>
      <c r="DK56" s="54">
        <f>CL56+CN56+CP56+CR56+CT56+CV56+CX56+CZ56+DB56+DD56+DF56+DH56</f>
        <v>31313500</v>
      </c>
      <c r="DL56" s="54">
        <f>CM56+CO56+CQ56+CS56+CU56+CW56+CY56+DA56+DC56+DE56+DG56+CK56</f>
        <v>34323500</v>
      </c>
      <c r="DM56" s="54">
        <f>DK56</f>
        <v>31313500</v>
      </c>
      <c r="DN56" s="55">
        <f>DO56+DQ56+DS56+DU56+DW56+DY56+EA56</f>
        <v>97839601</v>
      </c>
      <c r="DO56" s="180">
        <v>14560800</v>
      </c>
      <c r="DP56" s="180">
        <v>14560800</v>
      </c>
      <c r="DQ56" s="180">
        <v>23025668</v>
      </c>
      <c r="DR56" s="180">
        <v>17353501</v>
      </c>
      <c r="DS56" s="180">
        <v>7698000</v>
      </c>
      <c r="DT56" s="180">
        <v>4265100</v>
      </c>
      <c r="DU56" s="180">
        <v>0</v>
      </c>
      <c r="DV56" s="180">
        <v>2301800</v>
      </c>
      <c r="DW56" s="162">
        <v>0</v>
      </c>
      <c r="DX56" s="265">
        <v>2589067</v>
      </c>
      <c r="DY56" s="162">
        <v>0</v>
      </c>
      <c r="DZ56" s="48"/>
      <c r="EA56" s="162">
        <v>52555133</v>
      </c>
      <c r="EB56" s="282"/>
      <c r="EC56" s="282"/>
      <c r="ED56" s="282"/>
      <c r="EE56" s="282"/>
      <c r="EF56" s="282"/>
      <c r="EG56" s="282"/>
      <c r="EH56" s="282"/>
      <c r="EI56" s="282"/>
      <c r="EJ56" s="282"/>
      <c r="EK56" s="282"/>
      <c r="EL56" s="48"/>
      <c r="EM56" s="61">
        <f>EK56+EI56+EG56+EE56+EC56+EA56+DY56+DW56+DU56+DS56+DQ56+DO56</f>
        <v>97839601</v>
      </c>
      <c r="EN56" s="365">
        <f>DO56+DQ56+DS56+DU56+DW56</f>
        <v>45284468</v>
      </c>
      <c r="EO56" s="183">
        <f t="shared" si="131"/>
        <v>41070268</v>
      </c>
      <c r="EP56" s="262">
        <f>DQ56+DS56+DU56+DW56+DY56+EA56+EC56+EE56+EG56+EI56+EK56+DO56</f>
        <v>97839601</v>
      </c>
      <c r="EQ56" s="61">
        <f>DP56+DR56+DT56+DV56+DX56</f>
        <v>41070268</v>
      </c>
      <c r="ER56" s="134">
        <f t="shared" si="130"/>
        <v>0</v>
      </c>
      <c r="ES56" s="134">
        <f t="shared" si="5"/>
        <v>0.90693939476113528</v>
      </c>
      <c r="ET56" s="847">
        <f t="shared" si="6"/>
        <v>0.41977141750608732</v>
      </c>
      <c r="EU56" s="847">
        <f>IFERROR((AA56+BE56+CI56+DM56+EO56)/(Z56+BD56+CH56+DL56+EN56),0)</f>
        <v>0.54062126069412075</v>
      </c>
      <c r="EV56" s="337">
        <f>+(AA56+BE56+CI56+DM56+EQ56)/G56</f>
        <v>0.80159575920893344</v>
      </c>
      <c r="EW56" s="706"/>
      <c r="EX56" s="708" t="s">
        <v>547</v>
      </c>
      <c r="EY56" s="708" t="s">
        <v>547</v>
      </c>
      <c r="EZ56" s="712"/>
      <c r="FA56" s="716"/>
      <c r="FB56" s="427"/>
    </row>
    <row r="57" spans="1:158" s="3" customFormat="1" ht="24.95" customHeight="1" thickBot="1" x14ac:dyDescent="0.3">
      <c r="A57" s="458"/>
      <c r="B57" s="458"/>
      <c r="C57" s="458"/>
      <c r="D57" s="458"/>
      <c r="E57" s="458"/>
      <c r="F57" s="165" t="s">
        <v>42</v>
      </c>
      <c r="G57" s="822">
        <f>+G52+G55</f>
        <v>1</v>
      </c>
      <c r="H57" s="132">
        <f>+H52+H55</f>
        <v>1</v>
      </c>
      <c r="I57" s="132"/>
      <c r="J57" s="132"/>
      <c r="K57" s="132"/>
      <c r="L57" s="132"/>
      <c r="M57" s="132"/>
      <c r="N57" s="132"/>
      <c r="O57" s="132"/>
      <c r="P57" s="132"/>
      <c r="Q57" s="132"/>
      <c r="R57" s="132"/>
      <c r="S57" s="132"/>
      <c r="T57" s="132"/>
      <c r="U57" s="132"/>
      <c r="V57" s="132"/>
      <c r="W57" s="132">
        <f t="shared" ref="W57:AM57" si="132">+W52+W55</f>
        <v>1</v>
      </c>
      <c r="X57" s="132">
        <f t="shared" si="132"/>
        <v>1</v>
      </c>
      <c r="Y57" s="132">
        <f t="shared" si="132"/>
        <v>1</v>
      </c>
      <c r="Z57" s="132">
        <f t="shared" si="132"/>
        <v>1</v>
      </c>
      <c r="AA57" s="132">
        <f t="shared" si="132"/>
        <v>1</v>
      </c>
      <c r="AB57" s="132">
        <f>+AB52+AB55</f>
        <v>1</v>
      </c>
      <c r="AC57" s="132">
        <f t="shared" si="132"/>
        <v>1</v>
      </c>
      <c r="AD57" s="132">
        <f t="shared" si="132"/>
        <v>1</v>
      </c>
      <c r="AE57" s="132">
        <f t="shared" si="132"/>
        <v>1</v>
      </c>
      <c r="AF57" s="132">
        <f t="shared" si="132"/>
        <v>1</v>
      </c>
      <c r="AG57" s="132">
        <f t="shared" si="132"/>
        <v>1</v>
      </c>
      <c r="AH57" s="132">
        <f t="shared" si="132"/>
        <v>1</v>
      </c>
      <c r="AI57" s="132">
        <f t="shared" si="132"/>
        <v>1</v>
      </c>
      <c r="AJ57" s="132">
        <f t="shared" si="132"/>
        <v>0.64</v>
      </c>
      <c r="AK57" s="132">
        <f t="shared" si="132"/>
        <v>1</v>
      </c>
      <c r="AL57" s="132">
        <f t="shared" si="132"/>
        <v>0.877</v>
      </c>
      <c r="AM57" s="132">
        <f t="shared" si="132"/>
        <v>1</v>
      </c>
      <c r="AN57" s="132">
        <f t="shared" ref="AN57:AZ57" si="133">+AN52+AN55</f>
        <v>0.91600000000000004</v>
      </c>
      <c r="AO57" s="132">
        <f t="shared" si="133"/>
        <v>1</v>
      </c>
      <c r="AP57" s="132">
        <f t="shared" si="133"/>
        <v>1</v>
      </c>
      <c r="AQ57" s="132">
        <f t="shared" si="133"/>
        <v>1</v>
      </c>
      <c r="AR57" s="132">
        <f t="shared" si="133"/>
        <v>0.91300000000000003</v>
      </c>
      <c r="AS57" s="132">
        <f t="shared" si="133"/>
        <v>1</v>
      </c>
      <c r="AT57" s="132">
        <f t="shared" si="133"/>
        <v>1</v>
      </c>
      <c r="AU57" s="132">
        <f t="shared" si="133"/>
        <v>1</v>
      </c>
      <c r="AV57" s="132">
        <f t="shared" si="133"/>
        <v>1</v>
      </c>
      <c r="AW57" s="132">
        <f t="shared" si="133"/>
        <v>1</v>
      </c>
      <c r="AX57" s="132">
        <f t="shared" si="133"/>
        <v>1</v>
      </c>
      <c r="AY57" s="132">
        <f t="shared" si="133"/>
        <v>1</v>
      </c>
      <c r="AZ57" s="132">
        <f t="shared" si="133"/>
        <v>1</v>
      </c>
      <c r="BA57" s="132">
        <f t="shared" ref="BA57:CD57" si="134">+BA52+BA55</f>
        <v>1</v>
      </c>
      <c r="BB57" s="132">
        <f t="shared" si="134"/>
        <v>1</v>
      </c>
      <c r="BC57" s="132">
        <f t="shared" si="134"/>
        <v>1</v>
      </c>
      <c r="BD57" s="132">
        <f t="shared" si="134"/>
        <v>1</v>
      </c>
      <c r="BE57" s="132">
        <f t="shared" si="134"/>
        <v>1</v>
      </c>
      <c r="BF57" s="132">
        <f t="shared" si="134"/>
        <v>1</v>
      </c>
      <c r="BG57" s="132">
        <f t="shared" si="134"/>
        <v>1</v>
      </c>
      <c r="BH57" s="132">
        <f t="shared" si="134"/>
        <v>1</v>
      </c>
      <c r="BI57" s="132">
        <f t="shared" si="134"/>
        <v>1</v>
      </c>
      <c r="BJ57" s="132">
        <f t="shared" si="134"/>
        <v>1</v>
      </c>
      <c r="BK57" s="132">
        <f t="shared" si="134"/>
        <v>1</v>
      </c>
      <c r="BL57" s="132">
        <f t="shared" si="134"/>
        <v>1</v>
      </c>
      <c r="BM57" s="132">
        <f t="shared" si="134"/>
        <v>1</v>
      </c>
      <c r="BN57" s="132">
        <f t="shared" si="134"/>
        <v>1</v>
      </c>
      <c r="BO57" s="132">
        <f t="shared" si="134"/>
        <v>1</v>
      </c>
      <c r="BP57" s="132">
        <f t="shared" si="134"/>
        <v>1</v>
      </c>
      <c r="BQ57" s="132">
        <f t="shared" si="134"/>
        <v>1</v>
      </c>
      <c r="BR57" s="132">
        <f t="shared" si="134"/>
        <v>1</v>
      </c>
      <c r="BS57" s="132">
        <f t="shared" si="134"/>
        <v>1</v>
      </c>
      <c r="BT57" s="132">
        <f t="shared" si="134"/>
        <v>1</v>
      </c>
      <c r="BU57" s="132">
        <f t="shared" si="134"/>
        <v>1</v>
      </c>
      <c r="BV57" s="132">
        <f t="shared" si="134"/>
        <v>1</v>
      </c>
      <c r="BW57" s="132">
        <f t="shared" si="134"/>
        <v>1</v>
      </c>
      <c r="BX57" s="132">
        <f t="shared" si="134"/>
        <v>1</v>
      </c>
      <c r="BY57" s="132">
        <f t="shared" si="134"/>
        <v>1</v>
      </c>
      <c r="BZ57" s="132">
        <f t="shared" si="134"/>
        <v>0.92849999999999999</v>
      </c>
      <c r="CA57" s="132">
        <f t="shared" si="134"/>
        <v>1</v>
      </c>
      <c r="CB57" s="132">
        <f t="shared" si="134"/>
        <v>1</v>
      </c>
      <c r="CC57" s="132">
        <f t="shared" si="134"/>
        <v>1</v>
      </c>
      <c r="CD57" s="132">
        <f t="shared" si="134"/>
        <v>1</v>
      </c>
      <c r="CE57" s="132">
        <f t="shared" ref="CE57:CK57" si="135">+CE52+CE55</f>
        <v>1</v>
      </c>
      <c r="CF57" s="132">
        <f t="shared" si="135"/>
        <v>1</v>
      </c>
      <c r="CG57" s="132">
        <f t="shared" si="135"/>
        <v>1</v>
      </c>
      <c r="CH57" s="132">
        <f t="shared" si="135"/>
        <v>1</v>
      </c>
      <c r="CI57" s="132">
        <f t="shared" si="135"/>
        <v>1</v>
      </c>
      <c r="CJ57" s="822">
        <f t="shared" si="135"/>
        <v>1</v>
      </c>
      <c r="CK57" s="822">
        <f t="shared" si="135"/>
        <v>1</v>
      </c>
      <c r="CL57" s="822">
        <f t="shared" ref="CL57:DH58" si="136">+CL52+CL55</f>
        <v>1</v>
      </c>
      <c r="CM57" s="822">
        <f>+CM52+CM55</f>
        <v>1</v>
      </c>
      <c r="CN57" s="822">
        <f t="shared" si="136"/>
        <v>1</v>
      </c>
      <c r="CO57" s="822">
        <f t="shared" si="136"/>
        <v>1</v>
      </c>
      <c r="CP57" s="822">
        <f>+CP52+CP55</f>
        <v>1</v>
      </c>
      <c r="CQ57" s="822">
        <f t="shared" si="136"/>
        <v>1</v>
      </c>
      <c r="CR57" s="822">
        <f t="shared" si="136"/>
        <v>1</v>
      </c>
      <c r="CS57" s="822">
        <f t="shared" si="136"/>
        <v>1</v>
      </c>
      <c r="CT57" s="837">
        <f>CT52+CT55</f>
        <v>1</v>
      </c>
      <c r="CU57" s="822">
        <f>+CU52+CU55</f>
        <v>1</v>
      </c>
      <c r="CV57" s="822">
        <f>+CV52+CV55</f>
        <v>1</v>
      </c>
      <c r="CW57" s="822">
        <f t="shared" si="136"/>
        <v>1</v>
      </c>
      <c r="CX57" s="848">
        <f t="shared" si="136"/>
        <v>1</v>
      </c>
      <c r="CY57" s="822">
        <f t="shared" si="136"/>
        <v>1</v>
      </c>
      <c r="CZ57" s="822">
        <f>+CZ52+CZ55</f>
        <v>1</v>
      </c>
      <c r="DA57" s="822">
        <f t="shared" si="136"/>
        <v>1</v>
      </c>
      <c r="DB57" s="848">
        <f t="shared" si="136"/>
        <v>1</v>
      </c>
      <c r="DC57" s="822">
        <f t="shared" si="136"/>
        <v>1</v>
      </c>
      <c r="DD57" s="848"/>
      <c r="DE57" s="822">
        <f t="shared" si="136"/>
        <v>1</v>
      </c>
      <c r="DF57" s="848">
        <f t="shared" si="136"/>
        <v>1</v>
      </c>
      <c r="DG57" s="822">
        <f t="shared" si="136"/>
        <v>1</v>
      </c>
      <c r="DH57" s="848">
        <f t="shared" si="136"/>
        <v>1</v>
      </c>
      <c r="DI57" s="132">
        <f t="shared" ref="DI57:DL58" si="137">+DI52+DI55</f>
        <v>1</v>
      </c>
      <c r="DJ57" s="132">
        <f t="shared" si="137"/>
        <v>1</v>
      </c>
      <c r="DK57" s="132">
        <f t="shared" si="137"/>
        <v>1</v>
      </c>
      <c r="DL57" s="132">
        <f t="shared" si="137"/>
        <v>1</v>
      </c>
      <c r="DM57" s="132">
        <f t="shared" ref="DM57:DQ58" si="138">+DM52+DM55</f>
        <v>1</v>
      </c>
      <c r="DN57" s="132">
        <f t="shared" si="138"/>
        <v>1</v>
      </c>
      <c r="DO57" s="319">
        <f t="shared" si="138"/>
        <v>1</v>
      </c>
      <c r="DP57" s="319">
        <f t="shared" si="138"/>
        <v>1</v>
      </c>
      <c r="DQ57" s="319">
        <f t="shared" si="138"/>
        <v>1</v>
      </c>
      <c r="DR57" s="319">
        <f t="shared" ref="DR57" si="139">+DR52+DR55</f>
        <v>1</v>
      </c>
      <c r="DS57" s="319">
        <f t="shared" ref="DS57:DU58" si="140">+DS52+DS55</f>
        <v>1</v>
      </c>
      <c r="DT57" s="319">
        <f t="shared" si="140"/>
        <v>1</v>
      </c>
      <c r="DU57" s="319">
        <f t="shared" si="140"/>
        <v>1</v>
      </c>
      <c r="DV57" s="319">
        <f t="shared" ref="DV57" si="141">+DV52+DV55</f>
        <v>1</v>
      </c>
      <c r="DW57" s="266">
        <f t="shared" ref="DW57:DY58" si="142">+DW52+DW55</f>
        <v>1</v>
      </c>
      <c r="DX57" s="266">
        <f t="shared" si="142"/>
        <v>1</v>
      </c>
      <c r="DY57" s="266">
        <f t="shared" si="142"/>
        <v>1</v>
      </c>
      <c r="DZ57" s="152"/>
      <c r="EA57" s="266"/>
      <c r="EB57" s="289"/>
      <c r="EC57" s="289"/>
      <c r="ED57" s="289"/>
      <c r="EE57" s="289"/>
      <c r="EF57" s="289"/>
      <c r="EG57" s="289"/>
      <c r="EH57" s="289"/>
      <c r="EI57" s="289"/>
      <c r="EJ57" s="289"/>
      <c r="EK57" s="289"/>
      <c r="EL57" s="152"/>
      <c r="EM57" s="319">
        <f>EM52</f>
        <v>1</v>
      </c>
      <c r="EN57" s="319">
        <f>EN52+EN55</f>
        <v>1</v>
      </c>
      <c r="EO57" s="319">
        <f>DV57</f>
        <v>1</v>
      </c>
      <c r="EP57" s="319">
        <f>EP52</f>
        <v>1</v>
      </c>
      <c r="EQ57" s="147">
        <f>EO57</f>
        <v>1</v>
      </c>
      <c r="ER57" s="134">
        <f t="shared" si="130"/>
        <v>1</v>
      </c>
      <c r="ES57" s="259">
        <f t="shared" si="5"/>
        <v>1</v>
      </c>
      <c r="ET57" s="870">
        <f t="shared" si="6"/>
        <v>1</v>
      </c>
      <c r="EU57" s="870">
        <f t="shared" si="24"/>
        <v>1</v>
      </c>
      <c r="EV57" s="339">
        <f>+(AA57+BE57+CI57+DM57+EQ57)/500%</f>
        <v>1</v>
      </c>
      <c r="EW57" s="706"/>
      <c r="EX57" s="708" t="s">
        <v>547</v>
      </c>
      <c r="EY57" s="708" t="s">
        <v>547</v>
      </c>
      <c r="EZ57" s="712"/>
      <c r="FA57" s="716"/>
      <c r="FB57" s="427"/>
    </row>
    <row r="58" spans="1:158" s="37" customFormat="1" ht="24.95" customHeight="1" thickBot="1" x14ac:dyDescent="0.3">
      <c r="A58" s="458"/>
      <c r="B58" s="458"/>
      <c r="C58" s="458"/>
      <c r="D58" s="458"/>
      <c r="E58" s="458"/>
      <c r="F58" s="166" t="s">
        <v>44</v>
      </c>
      <c r="G58" s="135">
        <f>+G53+G56</f>
        <v>3772128653</v>
      </c>
      <c r="H58" s="136">
        <f>+H53+H56</f>
        <v>637668702</v>
      </c>
      <c r="I58" s="136"/>
      <c r="J58" s="136"/>
      <c r="K58" s="136"/>
      <c r="L58" s="136"/>
      <c r="M58" s="136"/>
      <c r="N58" s="136"/>
      <c r="O58" s="136"/>
      <c r="P58" s="136"/>
      <c r="Q58" s="136"/>
      <c r="R58" s="136"/>
      <c r="S58" s="136"/>
      <c r="T58" s="137"/>
      <c r="U58" s="136"/>
      <c r="V58" s="136"/>
      <c r="W58" s="136">
        <f t="shared" ref="W58:AM58" si="143">+W53+W56</f>
        <v>637668702</v>
      </c>
      <c r="X58" s="136">
        <f t="shared" si="143"/>
        <v>637668702</v>
      </c>
      <c r="Y58" s="136">
        <f t="shared" si="143"/>
        <v>447516000</v>
      </c>
      <c r="Z58" s="136">
        <f t="shared" si="143"/>
        <v>637668702</v>
      </c>
      <c r="AA58" s="136">
        <f t="shared" si="143"/>
        <v>447516000</v>
      </c>
      <c r="AB58" s="136">
        <f>+AB53+AB56</f>
        <v>822844135</v>
      </c>
      <c r="AC58" s="136">
        <f t="shared" si="143"/>
        <v>56494567</v>
      </c>
      <c r="AD58" s="136">
        <f t="shared" si="143"/>
        <v>56494567</v>
      </c>
      <c r="AE58" s="136">
        <f t="shared" si="143"/>
        <v>382600034</v>
      </c>
      <c r="AF58" s="136">
        <f t="shared" si="143"/>
        <v>382600034</v>
      </c>
      <c r="AG58" s="136">
        <f t="shared" si="143"/>
        <v>96979000</v>
      </c>
      <c r="AH58" s="136">
        <f t="shared" si="143"/>
        <v>96979000</v>
      </c>
      <c r="AI58" s="136">
        <f t="shared" si="143"/>
        <v>103601667</v>
      </c>
      <c r="AJ58" s="136">
        <f t="shared" si="143"/>
        <v>103601667</v>
      </c>
      <c r="AK58" s="136">
        <f t="shared" si="143"/>
        <v>3746000</v>
      </c>
      <c r="AL58" s="136">
        <f t="shared" si="143"/>
        <v>3746000</v>
      </c>
      <c r="AM58" s="136">
        <f t="shared" si="143"/>
        <v>3870867</v>
      </c>
      <c r="AN58" s="136">
        <f t="shared" ref="AN58:AZ58" si="144">+AN53+AN56</f>
        <v>3870867</v>
      </c>
      <c r="AO58" s="136">
        <f t="shared" si="144"/>
        <v>0</v>
      </c>
      <c r="AP58" s="136">
        <f t="shared" si="144"/>
        <v>0</v>
      </c>
      <c r="AQ58" s="136">
        <f t="shared" si="144"/>
        <v>36785066.666666672</v>
      </c>
      <c r="AR58" s="136">
        <f t="shared" si="144"/>
        <v>0</v>
      </c>
      <c r="AS58" s="136">
        <f t="shared" si="144"/>
        <v>-96942863.333333328</v>
      </c>
      <c r="AT58" s="136">
        <f t="shared" si="144"/>
        <v>0</v>
      </c>
      <c r="AU58" s="136">
        <f t="shared" si="144"/>
        <v>36785066.666666672</v>
      </c>
      <c r="AV58" s="136">
        <f t="shared" si="144"/>
        <v>27531699</v>
      </c>
      <c r="AW58" s="136">
        <f t="shared" si="144"/>
        <v>32598400</v>
      </c>
      <c r="AX58" s="136">
        <f t="shared" si="144"/>
        <v>13283666</v>
      </c>
      <c r="AY58" s="136">
        <f t="shared" si="144"/>
        <v>32598400</v>
      </c>
      <c r="AZ58" s="136">
        <f t="shared" si="144"/>
        <v>0</v>
      </c>
      <c r="BA58" s="136">
        <f t="shared" ref="BA58:CD58" si="145">+BA53+BA56</f>
        <v>689116205</v>
      </c>
      <c r="BB58" s="136">
        <f t="shared" si="145"/>
        <v>689116205</v>
      </c>
      <c r="BC58" s="136">
        <f t="shared" si="145"/>
        <v>688107500</v>
      </c>
      <c r="BD58" s="136">
        <f t="shared" si="145"/>
        <v>689116205</v>
      </c>
      <c r="BE58" s="136">
        <f t="shared" si="145"/>
        <v>688107500</v>
      </c>
      <c r="BF58" s="136">
        <f t="shared" si="145"/>
        <v>750842399</v>
      </c>
      <c r="BG58" s="136">
        <f t="shared" si="145"/>
        <v>748202399</v>
      </c>
      <c r="BH58" s="136">
        <f t="shared" si="145"/>
        <v>585413000</v>
      </c>
      <c r="BI58" s="136">
        <f t="shared" si="145"/>
        <v>0</v>
      </c>
      <c r="BJ58" s="136">
        <f t="shared" si="145"/>
        <v>25802399</v>
      </c>
      <c r="BK58" s="136">
        <f t="shared" si="145"/>
        <v>-136987000</v>
      </c>
      <c r="BL58" s="136">
        <f t="shared" si="145"/>
        <v>0</v>
      </c>
      <c r="BM58" s="136">
        <f t="shared" si="145"/>
        <v>0</v>
      </c>
      <c r="BN58" s="136">
        <f t="shared" si="145"/>
        <v>0</v>
      </c>
      <c r="BO58" s="136">
        <f t="shared" si="145"/>
        <v>0</v>
      </c>
      <c r="BP58" s="136">
        <f t="shared" si="145"/>
        <v>0</v>
      </c>
      <c r="BQ58" s="136">
        <f t="shared" si="145"/>
        <v>0</v>
      </c>
      <c r="BR58" s="136">
        <f t="shared" si="145"/>
        <v>0</v>
      </c>
      <c r="BS58" s="136">
        <f t="shared" si="145"/>
        <v>0</v>
      </c>
      <c r="BT58" s="136">
        <f t="shared" si="145"/>
        <v>0</v>
      </c>
      <c r="BU58" s="136">
        <f t="shared" si="145"/>
        <v>2640000</v>
      </c>
      <c r="BV58" s="136">
        <f t="shared" si="145"/>
        <v>0</v>
      </c>
      <c r="BW58" s="136">
        <f t="shared" si="145"/>
        <v>76803767</v>
      </c>
      <c r="BX58" s="136">
        <f t="shared" si="145"/>
        <v>12040000</v>
      </c>
      <c r="BY58" s="136">
        <f t="shared" si="145"/>
        <v>-793767</v>
      </c>
      <c r="BZ58" s="136">
        <f t="shared" si="145"/>
        <v>46709200</v>
      </c>
      <c r="CA58" s="136">
        <f t="shared" si="145"/>
        <v>0</v>
      </c>
      <c r="CB58" s="136">
        <f t="shared" si="145"/>
        <v>19900800</v>
      </c>
      <c r="CC58" s="136">
        <f t="shared" si="145"/>
        <v>0</v>
      </c>
      <c r="CD58" s="136">
        <f t="shared" si="145"/>
        <v>0</v>
      </c>
      <c r="CE58" s="136">
        <f t="shared" ref="CE58:CK58" si="146">+CE53+CE56</f>
        <v>689865399</v>
      </c>
      <c r="CF58" s="136">
        <f t="shared" si="146"/>
        <v>689865399</v>
      </c>
      <c r="CG58" s="136">
        <f t="shared" si="146"/>
        <v>689865399</v>
      </c>
      <c r="CH58" s="136">
        <f t="shared" si="146"/>
        <v>689865399</v>
      </c>
      <c r="CI58" s="136">
        <f t="shared" si="146"/>
        <v>689865399</v>
      </c>
      <c r="CJ58" s="136">
        <f t="shared" si="146"/>
        <v>792603500</v>
      </c>
      <c r="CK58" s="136">
        <f t="shared" si="146"/>
        <v>97341000</v>
      </c>
      <c r="CL58" s="136">
        <f t="shared" si="136"/>
        <v>16758000</v>
      </c>
      <c r="CM58" s="136">
        <f>+CM53+CM56</f>
        <v>23005833</v>
      </c>
      <c r="CN58" s="136">
        <f>+CN53+CM56</f>
        <v>369226500</v>
      </c>
      <c r="CO58" s="136">
        <f t="shared" si="136"/>
        <v>61549000</v>
      </c>
      <c r="CP58" s="136">
        <f>+CP53+CP56</f>
        <v>324728000</v>
      </c>
      <c r="CQ58" s="136">
        <f t="shared" si="136"/>
        <v>61549000</v>
      </c>
      <c r="CR58" s="136">
        <f t="shared" si="136"/>
        <v>22192000</v>
      </c>
      <c r="CS58" s="136">
        <f t="shared" si="136"/>
        <v>61549000</v>
      </c>
      <c r="CT58" s="182">
        <f>+CT53+CT56</f>
        <v>0</v>
      </c>
      <c r="CU58" s="136">
        <f>+CU53+CU56</f>
        <v>61549000</v>
      </c>
      <c r="CV58" s="136">
        <f>+CV53+CV56</f>
        <v>12186000</v>
      </c>
      <c r="CW58" s="136">
        <f t="shared" si="136"/>
        <v>59211000</v>
      </c>
      <c r="CX58" s="236">
        <f t="shared" si="136"/>
        <v>27366000</v>
      </c>
      <c r="CY58" s="136">
        <f t="shared" si="136"/>
        <v>28016000</v>
      </c>
      <c r="CZ58" s="136">
        <f>+CZ53+CZ56</f>
        <v>0</v>
      </c>
      <c r="DA58" s="136">
        <f t="shared" si="136"/>
        <v>7020000</v>
      </c>
      <c r="DB58" s="136">
        <f>+DB53+DB56</f>
        <v>0</v>
      </c>
      <c r="DC58" s="136">
        <f t="shared" si="136"/>
        <v>72469053</v>
      </c>
      <c r="DD58" s="136">
        <f>+DD53+DD56</f>
        <v>4482652</v>
      </c>
      <c r="DE58" s="136">
        <f t="shared" si="136"/>
        <v>36514600</v>
      </c>
      <c r="DF58" s="136"/>
      <c r="DG58" s="136">
        <f t="shared" si="136"/>
        <v>250262667</v>
      </c>
      <c r="DH58" s="136">
        <f t="shared" si="136"/>
        <v>9030000</v>
      </c>
      <c r="DI58" s="136">
        <f t="shared" si="137"/>
        <v>820036153</v>
      </c>
      <c r="DJ58" s="136">
        <f t="shared" si="137"/>
        <v>820036153</v>
      </c>
      <c r="DK58" s="136">
        <f t="shared" si="137"/>
        <v>817026153</v>
      </c>
      <c r="DL58" s="136">
        <f t="shared" si="137"/>
        <v>820036153</v>
      </c>
      <c r="DM58" s="136">
        <f t="shared" si="138"/>
        <v>817026153</v>
      </c>
      <c r="DN58" s="136">
        <f>+DN53+DN56</f>
        <v>1129613601</v>
      </c>
      <c r="DO58" s="182">
        <f t="shared" si="138"/>
        <v>134838800</v>
      </c>
      <c r="DP58" s="182">
        <f t="shared" si="138"/>
        <v>134838800</v>
      </c>
      <c r="DQ58" s="182">
        <f t="shared" si="138"/>
        <v>321653668</v>
      </c>
      <c r="DR58" s="182">
        <f t="shared" ref="DR58" si="147">+DR53+DR56</f>
        <v>95703501</v>
      </c>
      <c r="DS58" s="182">
        <f t="shared" si="140"/>
        <v>276261254</v>
      </c>
      <c r="DT58" s="182">
        <f t="shared" si="140"/>
        <v>109613100</v>
      </c>
      <c r="DU58" s="182">
        <f t="shared" si="140"/>
        <v>235268964</v>
      </c>
      <c r="DV58" s="182">
        <f t="shared" ref="DV58" si="148">+DV53+DV56</f>
        <v>19553800</v>
      </c>
      <c r="DW58" s="236">
        <f t="shared" si="142"/>
        <v>96523698</v>
      </c>
      <c r="DX58" s="236">
        <f t="shared" si="142"/>
        <v>71203067</v>
      </c>
      <c r="DY58" s="236">
        <f t="shared" si="142"/>
        <v>0</v>
      </c>
      <c r="DZ58" s="146"/>
      <c r="EA58" s="283"/>
      <c r="EB58" s="283"/>
      <c r="EC58" s="283"/>
      <c r="ED58" s="283"/>
      <c r="EE58" s="283"/>
      <c r="EF58" s="283"/>
      <c r="EG58" s="283"/>
      <c r="EH58" s="283"/>
      <c r="EI58" s="283"/>
      <c r="EJ58" s="283"/>
      <c r="EK58" s="283"/>
      <c r="EL58" s="146"/>
      <c r="EM58" s="272">
        <f>EM53+EM56</f>
        <v>1129613601</v>
      </c>
      <c r="EN58" s="182">
        <f>+EN53+EN56</f>
        <v>1064546384</v>
      </c>
      <c r="EO58" s="273">
        <f>EO53+EO56</f>
        <v>430912268</v>
      </c>
      <c r="EP58" s="182">
        <f>+EP53+EP56</f>
        <v>1129613601</v>
      </c>
      <c r="EQ58" s="182">
        <f>+EQ53+EQ56</f>
        <v>430912268</v>
      </c>
      <c r="ER58" s="260">
        <f>IFERROR(DX58/DW58,0)</f>
        <v>0.73767446207873222</v>
      </c>
      <c r="ES58" s="260">
        <f>IFERROR(EO58/EN58,0)</f>
        <v>0.40478486844402262</v>
      </c>
      <c r="ET58" s="845">
        <f>IFERROR(EQ58/EP58,0)</f>
        <v>0.38146873197926379</v>
      </c>
      <c r="EU58" s="845">
        <f>IFERROR((AA58+BE58+CI58+DM58+EO58)/(Z58+BD58+CH58+DL58+EN58),0)</f>
        <v>0.78780924996944612</v>
      </c>
      <c r="EV58" s="846">
        <f>+(AA58+BE58+CI58+DM58+EQ58)/G58</f>
        <v>0.81477266623864542</v>
      </c>
      <c r="EW58" s="705"/>
      <c r="EX58" s="704" t="s">
        <v>547</v>
      </c>
      <c r="EY58" s="704" t="s">
        <v>547</v>
      </c>
      <c r="EZ58" s="703"/>
      <c r="FA58" s="702"/>
      <c r="FB58" s="427"/>
    </row>
    <row r="59" spans="1:158" s="71" customFormat="1" ht="24.95" customHeight="1" x14ac:dyDescent="0.25">
      <c r="A59" s="464" t="s">
        <v>5</v>
      </c>
      <c r="B59" s="464"/>
      <c r="C59" s="464"/>
      <c r="D59" s="464"/>
      <c r="E59" s="464"/>
      <c r="F59" s="168" t="s">
        <v>43</v>
      </c>
      <c r="G59" s="829">
        <f>G11+G18+G25+G32+G39+G46+G53</f>
        <v>59628970608.809998</v>
      </c>
      <c r="H59" s="830">
        <f t="shared" ref="H59:BS59" si="149">+H11+H18+H25+H32+H39+H46+H53</f>
        <v>4935454528</v>
      </c>
      <c r="I59" s="830">
        <f t="shared" si="149"/>
        <v>0</v>
      </c>
      <c r="J59" s="830">
        <f t="shared" si="149"/>
        <v>0</v>
      </c>
      <c r="K59" s="830">
        <f t="shared" si="149"/>
        <v>0</v>
      </c>
      <c r="L59" s="830">
        <f t="shared" si="149"/>
        <v>0</v>
      </c>
      <c r="M59" s="830">
        <f t="shared" si="149"/>
        <v>0</v>
      </c>
      <c r="N59" s="830">
        <f t="shared" si="149"/>
        <v>0</v>
      </c>
      <c r="O59" s="830">
        <f t="shared" si="149"/>
        <v>0</v>
      </c>
      <c r="P59" s="830">
        <f t="shared" si="149"/>
        <v>0</v>
      </c>
      <c r="Q59" s="830">
        <f t="shared" si="149"/>
        <v>0</v>
      </c>
      <c r="R59" s="830">
        <f t="shared" si="149"/>
        <v>0</v>
      </c>
      <c r="S59" s="830">
        <f t="shared" si="149"/>
        <v>0</v>
      </c>
      <c r="T59" s="830">
        <f t="shared" si="149"/>
        <v>0</v>
      </c>
      <c r="U59" s="830">
        <f t="shared" si="149"/>
        <v>0</v>
      </c>
      <c r="V59" s="830">
        <f t="shared" si="149"/>
        <v>0</v>
      </c>
      <c r="W59" s="830">
        <f t="shared" si="149"/>
        <v>4935454528</v>
      </c>
      <c r="X59" s="830">
        <f t="shared" si="149"/>
        <v>4935454528</v>
      </c>
      <c r="Y59" s="830">
        <f t="shared" si="149"/>
        <v>4588924316</v>
      </c>
      <c r="Z59" s="830">
        <f t="shared" si="149"/>
        <v>4935454528</v>
      </c>
      <c r="AA59" s="830">
        <f t="shared" si="149"/>
        <v>4588924316</v>
      </c>
      <c r="AB59" s="830">
        <f>+AB11+AB18+AB25+AB32+AB39+AB46+AB53</f>
        <v>10067880000</v>
      </c>
      <c r="AC59" s="830">
        <f t="shared" si="149"/>
        <v>0</v>
      </c>
      <c r="AD59" s="830">
        <f t="shared" si="149"/>
        <v>0</v>
      </c>
      <c r="AE59" s="830">
        <f t="shared" si="149"/>
        <v>2665269000</v>
      </c>
      <c r="AF59" s="830">
        <f t="shared" si="149"/>
        <v>2665269000</v>
      </c>
      <c r="AG59" s="830">
        <f t="shared" si="149"/>
        <v>3685714150</v>
      </c>
      <c r="AH59" s="830">
        <f t="shared" si="149"/>
        <v>3685714150</v>
      </c>
      <c r="AI59" s="830">
        <f t="shared" si="149"/>
        <v>881440491</v>
      </c>
      <c r="AJ59" s="830">
        <f t="shared" si="149"/>
        <v>472650491</v>
      </c>
      <c r="AK59" s="830">
        <f t="shared" si="149"/>
        <v>38307944</v>
      </c>
      <c r="AL59" s="830">
        <f t="shared" si="149"/>
        <v>38307944</v>
      </c>
      <c r="AM59" s="830">
        <f>+AM11+AM18+AM25+AM32+AM39+AM46+AM53</f>
        <v>602029987.66666663</v>
      </c>
      <c r="AN59" s="830">
        <f>+AN11+AN18+AN25+AN32+AN39+AN46+AN53</f>
        <v>702989174</v>
      </c>
      <c r="AO59" s="830">
        <f t="shared" si="149"/>
        <v>0</v>
      </c>
      <c r="AP59" s="830">
        <f t="shared" si="149"/>
        <v>24890000</v>
      </c>
      <c r="AQ59" s="830">
        <f t="shared" si="149"/>
        <v>570434551.00000024</v>
      </c>
      <c r="AR59" s="830">
        <f t="shared" si="149"/>
        <v>36764000</v>
      </c>
      <c r="AS59" s="830">
        <f t="shared" si="149"/>
        <v>546934551.00000024</v>
      </c>
      <c r="AT59" s="830">
        <f t="shared" si="149"/>
        <v>81226335</v>
      </c>
      <c r="AU59" s="830">
        <f t="shared" si="149"/>
        <v>425505170.33333331</v>
      </c>
      <c r="AV59" s="154">
        <f>+AV11+AV18+AV25+AV32+AV39+AV46+AV53</f>
        <v>334066472</v>
      </c>
      <c r="AW59" s="154">
        <f t="shared" si="149"/>
        <v>314372077</v>
      </c>
      <c r="AX59" s="154">
        <f>+AX11+AX18+AX25+AX32+AX39+AX46+AX53</f>
        <v>783609288</v>
      </c>
      <c r="AY59" s="154">
        <f t="shared" si="149"/>
        <v>314372078</v>
      </c>
      <c r="AZ59" s="154">
        <f t="shared" si="149"/>
        <v>811678864</v>
      </c>
      <c r="BA59" s="154">
        <f>+BA11+BA18+BA25+BA32+BA39+BA46+BA53</f>
        <v>10044380000</v>
      </c>
      <c r="BB59" s="154">
        <f>+BB11+BB18+BB25+BB32+BB39+BB46+BB53</f>
        <v>10044380000</v>
      </c>
      <c r="BC59" s="154">
        <f>+BC11+BC18+BC25+BC32+BC39+BC46+BC53</f>
        <v>9637165718</v>
      </c>
      <c r="BD59" s="154">
        <f t="shared" si="149"/>
        <v>10044380000</v>
      </c>
      <c r="BE59" s="154">
        <f t="shared" si="149"/>
        <v>9637165718</v>
      </c>
      <c r="BF59" s="830">
        <f t="shared" si="149"/>
        <v>16468441000</v>
      </c>
      <c r="BG59" s="830">
        <f t="shared" si="149"/>
        <v>9170512000</v>
      </c>
      <c r="BH59" s="830">
        <f t="shared" si="149"/>
        <v>8662799908</v>
      </c>
      <c r="BI59" s="830">
        <f>+BI11+BI18+BI25+BI32+BI39+BI46+BI53</f>
        <v>28000000</v>
      </c>
      <c r="BJ59" s="830">
        <f>+BJ11+BJ18+BJ25+BJ32+BJ39+BJ46+BJ53</f>
        <v>0</v>
      </c>
      <c r="BK59" s="830">
        <f t="shared" si="149"/>
        <v>1968874000</v>
      </c>
      <c r="BL59" s="830">
        <f>+BL11+BL18+BL25+BL32+BL39+BL46+BL53</f>
        <v>50000000</v>
      </c>
      <c r="BM59" s="830">
        <f t="shared" si="149"/>
        <v>871146000</v>
      </c>
      <c r="BN59" s="830">
        <f>+BN11+BN18+BN25+BN32+BN39+BN46+BN53</f>
        <v>0</v>
      </c>
      <c r="BO59" s="830">
        <f t="shared" si="149"/>
        <v>20000000</v>
      </c>
      <c r="BP59" s="830">
        <f t="shared" si="149"/>
        <v>274596000</v>
      </c>
      <c r="BQ59" s="830">
        <f t="shared" si="149"/>
        <v>4197269000</v>
      </c>
      <c r="BR59" s="830">
        <f t="shared" si="149"/>
        <v>134020000</v>
      </c>
      <c r="BS59" s="830">
        <f t="shared" si="149"/>
        <v>0</v>
      </c>
      <c r="BT59" s="830">
        <f t="shared" ref="BT59:CU59" si="150">+BT11+BT18+BT25+BT32+BT39+BT46+BT53</f>
        <v>-45866000</v>
      </c>
      <c r="BU59" s="830">
        <f t="shared" si="150"/>
        <v>172640000</v>
      </c>
      <c r="BV59" s="830">
        <f t="shared" si="150"/>
        <v>14028000</v>
      </c>
      <c r="BW59" s="830">
        <f t="shared" si="150"/>
        <v>35000000</v>
      </c>
      <c r="BX59" s="830">
        <f t="shared" si="150"/>
        <v>456347834</v>
      </c>
      <c r="BY59" s="830">
        <f t="shared" si="150"/>
        <v>1382688113</v>
      </c>
      <c r="BZ59" s="830">
        <f t="shared" si="150"/>
        <v>1309394460</v>
      </c>
      <c r="CA59" s="830">
        <f t="shared" si="150"/>
        <v>211140743</v>
      </c>
      <c r="CB59" s="830">
        <f t="shared" si="150"/>
        <v>3776030439</v>
      </c>
      <c r="CC59" s="830">
        <f t="shared" si="150"/>
        <v>-250000000</v>
      </c>
      <c r="CD59" s="830">
        <f t="shared" si="150"/>
        <v>2358468147</v>
      </c>
      <c r="CE59" s="830">
        <f t="shared" si="150"/>
        <v>17807269856</v>
      </c>
      <c r="CF59" s="830">
        <f t="shared" si="150"/>
        <v>17807269856</v>
      </c>
      <c r="CG59" s="830">
        <f t="shared" si="150"/>
        <v>16989818788</v>
      </c>
      <c r="CH59" s="830">
        <f t="shared" si="150"/>
        <v>17807269856</v>
      </c>
      <c r="CI59" s="830">
        <f t="shared" si="150"/>
        <v>16989818788</v>
      </c>
      <c r="CJ59" s="830">
        <f t="shared" si="150"/>
        <v>12385882000</v>
      </c>
      <c r="CK59" s="830">
        <f t="shared" si="150"/>
        <v>0</v>
      </c>
      <c r="CL59" s="830">
        <f t="shared" si="150"/>
        <v>46330000</v>
      </c>
      <c r="CM59" s="830">
        <f t="shared" si="150"/>
        <v>961838695</v>
      </c>
      <c r="CN59" s="830">
        <f t="shared" si="150"/>
        <v>3201729500</v>
      </c>
      <c r="CO59" s="830">
        <f t="shared" si="150"/>
        <v>1058231814</v>
      </c>
      <c r="CP59" s="830">
        <f t="shared" si="150"/>
        <v>4223679543</v>
      </c>
      <c r="CQ59" s="830">
        <f t="shared" si="150"/>
        <v>1018118178</v>
      </c>
      <c r="CR59" s="830">
        <f t="shared" si="150"/>
        <v>702575901</v>
      </c>
      <c r="CS59" s="830">
        <f t="shared" si="150"/>
        <v>1080481814</v>
      </c>
      <c r="CT59" s="841">
        <f t="shared" si="150"/>
        <v>341099195</v>
      </c>
      <c r="CU59" s="830">
        <f t="shared" si="150"/>
        <v>1370738178</v>
      </c>
      <c r="CV59" s="842">
        <f>+CV11+CV18+CV25+CV32+CV39+CV46+CV53</f>
        <v>465384064</v>
      </c>
      <c r="CW59" s="830">
        <f t="shared" ref="CW59:DC59" si="151">+CW11+CW18+CW25+CW32+CW39+CW46+CW53</f>
        <v>1280728480</v>
      </c>
      <c r="CX59" s="842">
        <f t="shared" si="151"/>
        <v>98049780</v>
      </c>
      <c r="CY59" s="830">
        <f t="shared" si="151"/>
        <v>1182015844</v>
      </c>
      <c r="CZ59" s="830">
        <f t="shared" si="151"/>
        <v>38742780</v>
      </c>
      <c r="DA59" s="830">
        <f t="shared" si="151"/>
        <v>1306798480</v>
      </c>
      <c r="DB59" s="830">
        <f t="shared" si="151"/>
        <v>356482989</v>
      </c>
      <c r="DC59" s="830">
        <f t="shared" si="151"/>
        <v>1007834844</v>
      </c>
      <c r="DD59" s="830">
        <f>+DD11+DD18+DD25+DD32+DD39+DD46+DD53</f>
        <v>285433349</v>
      </c>
      <c r="DE59" s="830">
        <f>+DE11+DE18+DE25+DE32+DE39+DE46+DE53</f>
        <v>225722480</v>
      </c>
      <c r="DF59" s="830"/>
      <c r="DG59" s="830">
        <f t="shared" ref="DG59:DH59" si="152">+DG11+DG18+DG25+DG32+DG39+DG46+DG53</f>
        <v>1243373193</v>
      </c>
      <c r="DH59" s="830">
        <f t="shared" si="152"/>
        <v>1029311305</v>
      </c>
      <c r="DI59" s="158">
        <f t="shared" ref="DI59:DY59" si="153">+DI11+DI18+DI25+DI32+DI39+DI46+DI53</f>
        <v>11735882000</v>
      </c>
      <c r="DJ59" s="155">
        <f t="shared" si="153"/>
        <v>11735882000</v>
      </c>
      <c r="DK59" s="155">
        <f t="shared" si="153"/>
        <v>11074276787</v>
      </c>
      <c r="DL59" s="158">
        <f t="shared" si="153"/>
        <v>11735882000</v>
      </c>
      <c r="DM59" s="158">
        <f t="shared" si="153"/>
        <v>11074276787</v>
      </c>
      <c r="DN59" s="158">
        <f>+DN11+DN18+DN25+DN32+DN39+DN46+DN53</f>
        <v>17338784999.809998</v>
      </c>
      <c r="DO59" s="158">
        <f>+DO11+DO18+DO25+DO32+DO39+DO46+DO53</f>
        <v>735106477</v>
      </c>
      <c r="DP59" s="158">
        <f t="shared" si="153"/>
        <v>735106477</v>
      </c>
      <c r="DQ59" s="158">
        <f t="shared" si="153"/>
        <v>3153523477.8099999</v>
      </c>
      <c r="DR59" s="158">
        <f t="shared" ref="DR59" si="154">+DR11+DR18+DR25+DR32+DR39+DR46+DR53</f>
        <v>2288988500</v>
      </c>
      <c r="DS59" s="158">
        <f t="shared" si="153"/>
        <v>2685929493</v>
      </c>
      <c r="DT59" s="158">
        <f t="shared" si="153"/>
        <v>1016981810</v>
      </c>
      <c r="DU59" s="158">
        <f t="shared" si="153"/>
        <v>2749692576</v>
      </c>
      <c r="DV59" s="158">
        <f t="shared" si="153"/>
        <v>389126780</v>
      </c>
      <c r="DW59" s="322">
        <f>+DW11+DW18+DW25+DW32+DW39+DW46+DW53</f>
        <v>2823755578</v>
      </c>
      <c r="DX59" s="322">
        <f t="shared" si="153"/>
        <v>1702232147</v>
      </c>
      <c r="DY59" s="158">
        <f t="shared" si="153"/>
        <v>3286504092</v>
      </c>
      <c r="DZ59" s="830">
        <f t="shared" ref="DZ59:EL59" si="155">+DZ11+DZ18+DZ25+DZ32+DZ39+P46+DZ53</f>
        <v>0</v>
      </c>
      <c r="EA59" s="158">
        <f t="shared" ref="EA59" si="156">+EA11+EA18+EA25+EA32+EA39+EA46+EA53</f>
        <v>1904273306</v>
      </c>
      <c r="EB59" s="842">
        <f t="shared" si="155"/>
        <v>0</v>
      </c>
      <c r="EC59" s="158">
        <f t="shared" ref="EC59" si="157">+EC11+EC18+EC25+EC32+EC39+EC46+EC53</f>
        <v>0</v>
      </c>
      <c r="ED59" s="842">
        <f t="shared" si="155"/>
        <v>0</v>
      </c>
      <c r="EE59" s="158">
        <f t="shared" ref="EE59" si="158">+EE11+EE18+EE25+EE32+EE39+EE46+EE53</f>
        <v>0</v>
      </c>
      <c r="EF59" s="842">
        <f t="shared" si="155"/>
        <v>0</v>
      </c>
      <c r="EG59" s="158">
        <f t="shared" ref="EG59" si="159">+EG11+EG18+EG25+EG32+EG39+EG46+EG53</f>
        <v>0</v>
      </c>
      <c r="EH59" s="842">
        <f t="shared" si="155"/>
        <v>658814131</v>
      </c>
      <c r="EI59" s="158">
        <f t="shared" ref="EI59" si="160">+EI11+EI18+EI25+EI32+EI39+EI46+EI53</f>
        <v>0</v>
      </c>
      <c r="EJ59" s="842">
        <f t="shared" si="155"/>
        <v>658814131</v>
      </c>
      <c r="EK59" s="158">
        <f t="shared" ref="EK59" si="161">+EK11+EK18+EK25+EK32+EK39+EK46+EK53</f>
        <v>0</v>
      </c>
      <c r="EL59" s="830">
        <f t="shared" si="155"/>
        <v>1294148000</v>
      </c>
      <c r="EM59" s="158">
        <f t="shared" ref="EM59:EQ59" si="162">+EM11+EM18+EM25+EM32+EM39+EM46+EM53</f>
        <v>17338784999.809998</v>
      </c>
      <c r="EN59" s="158">
        <f>+EN11+EN18+EN25+EN32+EN39+EN46+EN53</f>
        <v>12148007601.809999</v>
      </c>
      <c r="EO59" s="158">
        <f>+EO11+EO18+EO25+EO32+EO39+EO46+EO53</f>
        <v>6132435714</v>
      </c>
      <c r="EP59" s="158">
        <f t="shared" si="162"/>
        <v>17338784999.809998</v>
      </c>
      <c r="EQ59" s="810">
        <f t="shared" si="162"/>
        <v>6132435714</v>
      </c>
      <c r="ER59" s="417"/>
      <c r="ES59" s="418"/>
      <c r="ET59" s="418"/>
      <c r="EU59" s="418"/>
      <c r="EV59" s="418"/>
      <c r="EW59" s="418"/>
      <c r="EX59" s="418"/>
      <c r="EY59" s="418"/>
      <c r="EZ59" s="418"/>
      <c r="FA59" s="418"/>
    </row>
    <row r="60" spans="1:158" s="71" customFormat="1" ht="24.95" customHeight="1" x14ac:dyDescent="0.25">
      <c r="A60" s="464"/>
      <c r="B60" s="464"/>
      <c r="C60" s="464"/>
      <c r="D60" s="464"/>
      <c r="E60" s="464"/>
      <c r="F60" s="169" t="s">
        <v>45</v>
      </c>
      <c r="G60" s="831">
        <f>+G14+G21+G28+G35+G42+G49+G56</f>
        <v>9760192707.8304195</v>
      </c>
      <c r="H60" s="108">
        <f t="shared" ref="H60:BB60" si="163">+H14+H21+H28+H35+H42+H49+H56</f>
        <v>492875980</v>
      </c>
      <c r="I60" s="108">
        <f t="shared" si="163"/>
        <v>0</v>
      </c>
      <c r="J60" s="108">
        <f t="shared" si="163"/>
        <v>0</v>
      </c>
      <c r="K60" s="108">
        <f t="shared" si="163"/>
        <v>0</v>
      </c>
      <c r="L60" s="108">
        <f t="shared" si="163"/>
        <v>0</v>
      </c>
      <c r="M60" s="108">
        <f t="shared" si="163"/>
        <v>0</v>
      </c>
      <c r="N60" s="108">
        <f t="shared" si="163"/>
        <v>0</v>
      </c>
      <c r="O60" s="108">
        <f t="shared" si="163"/>
        <v>0</v>
      </c>
      <c r="P60" s="108">
        <f t="shared" si="163"/>
        <v>0</v>
      </c>
      <c r="Q60" s="108">
        <f t="shared" si="163"/>
        <v>0</v>
      </c>
      <c r="R60" s="108">
        <f t="shared" si="163"/>
        <v>0</v>
      </c>
      <c r="S60" s="108">
        <f t="shared" si="163"/>
        <v>0</v>
      </c>
      <c r="T60" s="108">
        <f t="shared" si="163"/>
        <v>0</v>
      </c>
      <c r="U60" s="108">
        <f t="shared" si="163"/>
        <v>0</v>
      </c>
      <c r="V60" s="108">
        <f t="shared" si="163"/>
        <v>0</v>
      </c>
      <c r="W60" s="108">
        <f t="shared" si="163"/>
        <v>492875980</v>
      </c>
      <c r="X60" s="108">
        <f t="shared" si="163"/>
        <v>492875980</v>
      </c>
      <c r="Y60" s="108">
        <f t="shared" si="163"/>
        <v>0</v>
      </c>
      <c r="Z60" s="108">
        <f t="shared" si="163"/>
        <v>492875980</v>
      </c>
      <c r="AA60" s="108">
        <f t="shared" si="163"/>
        <v>0</v>
      </c>
      <c r="AB60" s="108">
        <f>+AB14+AB21+AB28+AB35+AB42+AB49+AB56</f>
        <v>1796461446</v>
      </c>
      <c r="AC60" s="108">
        <f>+AC14+AC21+AC28+AC35+AC42+AC49+AC56</f>
        <v>420302557</v>
      </c>
      <c r="AD60" s="108">
        <f t="shared" si="163"/>
        <v>420302557</v>
      </c>
      <c r="AE60" s="108">
        <f t="shared" si="163"/>
        <v>475612458</v>
      </c>
      <c r="AF60" s="108">
        <f t="shared" si="163"/>
        <v>475612458</v>
      </c>
      <c r="AG60" s="108">
        <f t="shared" si="163"/>
        <v>237108188</v>
      </c>
      <c r="AH60" s="108">
        <f t="shared" si="163"/>
        <v>237108188</v>
      </c>
      <c r="AI60" s="108">
        <f t="shared" si="163"/>
        <v>109178008</v>
      </c>
      <c r="AJ60" s="108">
        <f t="shared" si="163"/>
        <v>109178008</v>
      </c>
      <c r="AK60" s="108">
        <f>+AK14+AK21+AK28+AK35+AK42+AK49+AK56</f>
        <v>142791967</v>
      </c>
      <c r="AL60" s="108">
        <f>+AL14+AL21+AL28+AL35+AL42+AL49+AL56</f>
        <v>142791967</v>
      </c>
      <c r="AM60" s="108">
        <f>+AM14+AM21+AM28+AM35+AM42+AM49+AM56</f>
        <v>135933686</v>
      </c>
      <c r="AN60" s="108">
        <f>+AN14+AN21+AN28+AN35+AN42+AN49+AN56</f>
        <v>140092408</v>
      </c>
      <c r="AO60" s="108">
        <f t="shared" si="163"/>
        <v>63971107</v>
      </c>
      <c r="AP60" s="108">
        <f t="shared" si="163"/>
        <v>0</v>
      </c>
      <c r="AQ60" s="108">
        <f>+AQ14+AQ21+AQ28+AQ35+AQ42+AQ49+AQ56</f>
        <v>81086539</v>
      </c>
      <c r="AR60" s="108">
        <f t="shared" si="163"/>
        <v>112211559</v>
      </c>
      <c r="AS60" s="108">
        <f t="shared" si="163"/>
        <v>105781038</v>
      </c>
      <c r="AT60" s="108">
        <f>+AT14+AT21+AT28+AT35+AT42+AT49+AT56</f>
        <v>1564253</v>
      </c>
      <c r="AU60" s="108">
        <f t="shared" si="163"/>
        <v>-8431</v>
      </c>
      <c r="AV60" s="156">
        <f>+AV14+AV21+AV28+AV35+AV42+AV49+AV56</f>
        <v>12817727</v>
      </c>
      <c r="AW60" s="156">
        <f t="shared" si="163"/>
        <v>-1342800</v>
      </c>
      <c r="AX60" s="156">
        <f>+AX14+AX21+AX28+AX35+AX42+AX49+AX56</f>
        <v>34756414</v>
      </c>
      <c r="AY60" s="156">
        <f t="shared" si="163"/>
        <v>0</v>
      </c>
      <c r="AZ60" s="156">
        <f>+AZ14+AZ21+AZ28+AZ35+AZ42+AZ49+AZ56</f>
        <v>14850182.830419362</v>
      </c>
      <c r="BA60" s="156">
        <f t="shared" si="163"/>
        <v>1770414317</v>
      </c>
      <c r="BB60" s="156">
        <f t="shared" si="163"/>
        <v>1770414317</v>
      </c>
      <c r="BC60" s="156">
        <f>+BC14+BC21+BC28+BC35+BC42+BC49+BC56</f>
        <v>1701285721.8304193</v>
      </c>
      <c r="BD60" s="156">
        <f>+BD14+BD21+BD28+BD35+BD42+BD49+BD56</f>
        <v>1770414317</v>
      </c>
      <c r="BE60" s="156">
        <f>+BE14+BE21+BE28+BE35+BE42+BE49+BE56</f>
        <v>1701285721.8304193</v>
      </c>
      <c r="BF60" s="108">
        <f t="shared" ref="BF60:BR60" si="164">+BF14+BF21+BF28+BF35+BF42+BF49+BF56</f>
        <v>2043657525</v>
      </c>
      <c r="BG60" s="108">
        <f t="shared" si="164"/>
        <v>103664081</v>
      </c>
      <c r="BH60" s="108">
        <f t="shared" si="164"/>
        <v>0</v>
      </c>
      <c r="BI60" s="108">
        <f t="shared" si="164"/>
        <v>384363706</v>
      </c>
      <c r="BJ60" s="108">
        <f t="shared" si="164"/>
        <v>275548817</v>
      </c>
      <c r="BK60" s="108">
        <f t="shared" si="164"/>
        <v>319253417</v>
      </c>
      <c r="BL60" s="108">
        <f t="shared" si="164"/>
        <v>0</v>
      </c>
      <c r="BM60" s="108">
        <f t="shared" si="164"/>
        <v>412348492</v>
      </c>
      <c r="BN60" s="108">
        <f t="shared" si="164"/>
        <v>0</v>
      </c>
      <c r="BO60" s="108">
        <f t="shared" si="164"/>
        <v>124201978</v>
      </c>
      <c r="BP60" s="108">
        <f t="shared" si="164"/>
        <v>0</v>
      </c>
      <c r="BQ60" s="108">
        <f t="shared" si="164"/>
        <v>231880399</v>
      </c>
      <c r="BR60" s="108">
        <f t="shared" si="164"/>
        <v>0</v>
      </c>
      <c r="BS60" s="108">
        <f t="shared" ref="BS60:CC60" si="165">+BV14+BS21+BV28+BV35+BS42+BS49+BS56</f>
        <v>18335267</v>
      </c>
      <c r="BT60" s="108">
        <f>+BW14+BT21+BW28+BW35+BT42+BT49+BT56</f>
        <v>225496550</v>
      </c>
      <c r="BU60" s="108">
        <f>+BU14+BU21+BU28+BU35+BU42+BU49+BU56</f>
        <v>42033582</v>
      </c>
      <c r="BV60" s="108">
        <f>+BV14+BV21+BV28+BV35+BV42+BV49+BV56</f>
        <v>-9265466</v>
      </c>
      <c r="BW60" s="108">
        <f>+BZ14+BW21+BW28+BW35+BW42+BW49+BW56</f>
        <v>60424662</v>
      </c>
      <c r="BX60" s="108">
        <f t="shared" si="165"/>
        <v>31251791</v>
      </c>
      <c r="BY60" s="108">
        <f t="shared" si="165"/>
        <v>136466287</v>
      </c>
      <c r="BZ60" s="108">
        <f t="shared" si="165"/>
        <v>-16387605</v>
      </c>
      <c r="CA60" s="108">
        <f t="shared" si="165"/>
        <v>28762268</v>
      </c>
      <c r="CB60" s="108">
        <f>+CB14+CB21+CB28+CB35+CB42+CB49+CB56</f>
        <v>152719221</v>
      </c>
      <c r="CC60" s="108">
        <f t="shared" si="165"/>
        <v>1634738092</v>
      </c>
      <c r="CD60" s="108">
        <f t="shared" ref="CD60:CM60" si="166">+CD14+CD21+CD28+CD35+CD42+CD49+CD56</f>
        <v>-14095800</v>
      </c>
      <c r="CE60" s="108">
        <f t="shared" si="166"/>
        <v>1998507651</v>
      </c>
      <c r="CF60" s="108">
        <f t="shared" si="166"/>
        <v>1998507651</v>
      </c>
      <c r="CG60" s="108">
        <f t="shared" si="166"/>
        <v>1952995740</v>
      </c>
      <c r="CH60" s="108">
        <f t="shared" si="166"/>
        <v>1998507651</v>
      </c>
      <c r="CI60" s="108">
        <f t="shared" si="166"/>
        <v>1952995740</v>
      </c>
      <c r="CJ60" s="108">
        <f t="shared" si="166"/>
        <v>3947497832</v>
      </c>
      <c r="CK60" s="108">
        <f t="shared" si="166"/>
        <v>466599268</v>
      </c>
      <c r="CL60" s="108">
        <f t="shared" si="166"/>
        <v>308171914</v>
      </c>
      <c r="CM60" s="108">
        <f t="shared" si="166"/>
        <v>1179255905</v>
      </c>
      <c r="CN60" s="108">
        <f>+CM14+CM21+CN28+CN35+CN42+CM49+CM56</f>
        <v>1109894898</v>
      </c>
      <c r="CO60" s="108">
        <f>+CO14+CO21+CO28+CO35+CO42+CO49+CO56</f>
        <v>428186779</v>
      </c>
      <c r="CP60" s="108">
        <f>+CP14+CP21+CP28+CP35+CP42+CP49+CP56</f>
        <v>365600732</v>
      </c>
      <c r="CQ60" s="108">
        <f>+CQ14+CR21+CR28+CR35+CR42+CR49+CQ56</f>
        <v>182078358</v>
      </c>
      <c r="CR60" s="108">
        <f>+CR14+CR21+CR28+CR35+CU42+CU49+CR56</f>
        <v>369809144</v>
      </c>
      <c r="CS60" s="108">
        <f>+CS14+CS21+CS28+CS35+CV42+CV49+CS56</f>
        <v>41183179</v>
      </c>
      <c r="CT60" s="172">
        <f>+CT14+CT21+CT28+CT35+CT42+CT49+CT56</f>
        <v>178693726</v>
      </c>
      <c r="CU60" s="108">
        <f t="shared" ref="CU60:CZ60" si="167">+CU14+CU21+CU28+CU35+CX42+CX49+CU56</f>
        <v>82976424</v>
      </c>
      <c r="CV60" s="187">
        <f t="shared" si="167"/>
        <v>99653804</v>
      </c>
      <c r="CW60" s="108">
        <f t="shared" si="167"/>
        <v>496283846</v>
      </c>
      <c r="CX60" s="187">
        <f t="shared" si="167"/>
        <v>63473658</v>
      </c>
      <c r="CY60" s="108">
        <f t="shared" si="167"/>
        <v>12404099</v>
      </c>
      <c r="CZ60" s="108">
        <f t="shared" si="167"/>
        <v>183916357</v>
      </c>
      <c r="DA60" s="108">
        <f>+DA14+DA21+DA28+DA35+DA42+DA49+DA56</f>
        <v>35754941</v>
      </c>
      <c r="DB60" s="108">
        <f>+DB14+DB21+DB28+DB35+DB42+DB49+DB56</f>
        <v>158201322</v>
      </c>
      <c r="DC60" s="108">
        <f>+DC14+DC21+DC28+DC35+DC42+DC49+DC56</f>
        <v>36132431</v>
      </c>
      <c r="DD60" s="108">
        <f>+DD14+DD21+DD28+DD35+DD42+DD49+DD56</f>
        <v>545721692</v>
      </c>
      <c r="DE60" s="108">
        <f>+DE14+DE21+DE28+DE35+DE42+DE49+DE56</f>
        <v>36132432</v>
      </c>
      <c r="DF60" s="108"/>
      <c r="DG60" s="108">
        <f>+DG14+DG21+DG28+DG35+DJ42+DJ49+DG56</f>
        <v>1253080040</v>
      </c>
      <c r="DH60" s="108">
        <f t="shared" ref="DH60:EQ60" si="168">+DH14+DH21+DH28+DH35+DH42+DH49+DH56</f>
        <v>354609535</v>
      </c>
      <c r="DI60" s="108">
        <f t="shared" ref="DI60:DY60" si="169">+DI14+DI21+DI28+DI35+DI42+DI49+DI56</f>
        <v>3871936733</v>
      </c>
      <c r="DJ60" s="108">
        <f t="shared" si="169"/>
        <v>3857676818</v>
      </c>
      <c r="DK60" s="172">
        <f t="shared" si="169"/>
        <v>3772775420</v>
      </c>
      <c r="DL60" s="108">
        <f t="shared" si="169"/>
        <v>3871936732.9999995</v>
      </c>
      <c r="DM60" s="108">
        <f t="shared" si="169"/>
        <v>3772775420</v>
      </c>
      <c r="DN60" s="108">
        <f t="shared" si="169"/>
        <v>2333135826</v>
      </c>
      <c r="DO60" s="172">
        <f t="shared" si="169"/>
        <v>290943241</v>
      </c>
      <c r="DP60" s="172">
        <f t="shared" si="169"/>
        <v>290943241</v>
      </c>
      <c r="DQ60" s="172">
        <f t="shared" si="169"/>
        <v>796441516</v>
      </c>
      <c r="DR60" s="172">
        <f>+DR14+DR21+DR28+DR35+DR42+DR49+DR56</f>
        <v>487918315</v>
      </c>
      <c r="DS60" s="172">
        <f t="shared" si="169"/>
        <v>172378466</v>
      </c>
      <c r="DT60" s="172">
        <f t="shared" si="169"/>
        <v>120229770</v>
      </c>
      <c r="DU60" s="172">
        <f t="shared" si="169"/>
        <v>72627393</v>
      </c>
      <c r="DV60" s="172">
        <f t="shared" si="169"/>
        <v>346999213</v>
      </c>
      <c r="DW60" s="187">
        <f>+DW14+DW21+DW28+DW35+DW42+DW49+DW56</f>
        <v>13935000</v>
      </c>
      <c r="DX60" s="187">
        <f t="shared" si="169"/>
        <v>130675803</v>
      </c>
      <c r="DY60" s="108">
        <f t="shared" si="169"/>
        <v>13935000</v>
      </c>
      <c r="DZ60" s="108">
        <f t="shared" si="168"/>
        <v>0</v>
      </c>
      <c r="EA60" s="108">
        <f t="shared" si="168"/>
        <v>972875210</v>
      </c>
      <c r="EB60" s="187">
        <f t="shared" si="168"/>
        <v>0</v>
      </c>
      <c r="EC60" s="108">
        <f t="shared" si="168"/>
        <v>0</v>
      </c>
      <c r="ED60" s="187">
        <f t="shared" si="168"/>
        <v>0</v>
      </c>
      <c r="EE60" s="108">
        <f t="shared" si="168"/>
        <v>0</v>
      </c>
      <c r="EF60" s="187">
        <f t="shared" si="168"/>
        <v>0</v>
      </c>
      <c r="EG60" s="108">
        <f t="shared" si="168"/>
        <v>0</v>
      </c>
      <c r="EH60" s="187">
        <f t="shared" si="168"/>
        <v>0</v>
      </c>
      <c r="EI60" s="108">
        <f t="shared" si="168"/>
        <v>0</v>
      </c>
      <c r="EJ60" s="187">
        <f t="shared" si="168"/>
        <v>0</v>
      </c>
      <c r="EK60" s="108">
        <f t="shared" si="168"/>
        <v>0</v>
      </c>
      <c r="EL60" s="108">
        <f t="shared" si="168"/>
        <v>0</v>
      </c>
      <c r="EM60" s="108">
        <f t="shared" si="168"/>
        <v>2333135826</v>
      </c>
      <c r="EN60" s="108">
        <f t="shared" si="168"/>
        <v>1346325616</v>
      </c>
      <c r="EO60" s="108">
        <f t="shared" si="168"/>
        <v>1376766342</v>
      </c>
      <c r="EP60" s="108">
        <f>+EP14+EP21+EP28+EP35+EP42+EP49+EP56</f>
        <v>2333135826</v>
      </c>
      <c r="EQ60" s="798">
        <f t="shared" si="168"/>
        <v>1376766342</v>
      </c>
      <c r="ER60" s="419"/>
      <c r="ES60" s="420"/>
      <c r="ET60" s="420"/>
      <c r="EU60" s="420"/>
      <c r="EV60" s="420"/>
      <c r="EW60" s="420"/>
      <c r="EX60" s="420"/>
      <c r="EY60" s="420"/>
      <c r="EZ60" s="420"/>
      <c r="FA60" s="420"/>
    </row>
    <row r="61" spans="1:158" s="71" customFormat="1" ht="24.95" customHeight="1" thickBot="1" x14ac:dyDescent="0.3">
      <c r="A61" s="464"/>
      <c r="B61" s="464"/>
      <c r="C61" s="464"/>
      <c r="D61" s="464"/>
      <c r="E61" s="464"/>
      <c r="F61" s="168" t="s">
        <v>46</v>
      </c>
      <c r="G61" s="832">
        <f>SUM(G59:G60)</f>
        <v>69389163316.640411</v>
      </c>
      <c r="H61" s="833">
        <f t="shared" ref="H61:BS61" si="170">SUM(H59:H60)</f>
        <v>5428330508</v>
      </c>
      <c r="I61" s="833">
        <f t="shared" si="170"/>
        <v>0</v>
      </c>
      <c r="J61" s="833">
        <f t="shared" si="170"/>
        <v>0</v>
      </c>
      <c r="K61" s="833">
        <f t="shared" si="170"/>
        <v>0</v>
      </c>
      <c r="L61" s="833">
        <f t="shared" si="170"/>
        <v>0</v>
      </c>
      <c r="M61" s="833">
        <f t="shared" si="170"/>
        <v>0</v>
      </c>
      <c r="N61" s="833">
        <f t="shared" si="170"/>
        <v>0</v>
      </c>
      <c r="O61" s="833">
        <f t="shared" si="170"/>
        <v>0</v>
      </c>
      <c r="P61" s="833">
        <f t="shared" si="170"/>
        <v>0</v>
      </c>
      <c r="Q61" s="833">
        <f t="shared" si="170"/>
        <v>0</v>
      </c>
      <c r="R61" s="833">
        <f t="shared" si="170"/>
        <v>0</v>
      </c>
      <c r="S61" s="833">
        <f t="shared" si="170"/>
        <v>0</v>
      </c>
      <c r="T61" s="833">
        <f t="shared" si="170"/>
        <v>0</v>
      </c>
      <c r="U61" s="833">
        <f t="shared" si="170"/>
        <v>0</v>
      </c>
      <c r="V61" s="833">
        <f t="shared" si="170"/>
        <v>0</v>
      </c>
      <c r="W61" s="833">
        <f t="shared" si="170"/>
        <v>5428330508</v>
      </c>
      <c r="X61" s="833">
        <f t="shared" si="170"/>
        <v>5428330508</v>
      </c>
      <c r="Y61" s="833">
        <f t="shared" si="170"/>
        <v>4588924316</v>
      </c>
      <c r="Z61" s="833">
        <f t="shared" si="170"/>
        <v>5428330508</v>
      </c>
      <c r="AA61" s="833">
        <f t="shared" si="170"/>
        <v>4588924316</v>
      </c>
      <c r="AB61" s="833">
        <f t="shared" si="170"/>
        <v>11864341446</v>
      </c>
      <c r="AC61" s="833">
        <f t="shared" si="170"/>
        <v>420302557</v>
      </c>
      <c r="AD61" s="833">
        <f t="shared" si="170"/>
        <v>420302557</v>
      </c>
      <c r="AE61" s="833">
        <f t="shared" si="170"/>
        <v>3140881458</v>
      </c>
      <c r="AF61" s="833">
        <f t="shared" si="170"/>
        <v>3140881458</v>
      </c>
      <c r="AG61" s="833">
        <f t="shared" si="170"/>
        <v>3922822338</v>
      </c>
      <c r="AH61" s="833">
        <f t="shared" si="170"/>
        <v>3922822338</v>
      </c>
      <c r="AI61" s="833">
        <f t="shared" si="170"/>
        <v>990618499</v>
      </c>
      <c r="AJ61" s="833">
        <f t="shared" si="170"/>
        <v>581828499</v>
      </c>
      <c r="AK61" s="833">
        <f t="shared" si="170"/>
        <v>181099911</v>
      </c>
      <c r="AL61" s="833">
        <f t="shared" si="170"/>
        <v>181099911</v>
      </c>
      <c r="AM61" s="833">
        <f t="shared" si="170"/>
        <v>737963673.66666663</v>
      </c>
      <c r="AN61" s="833">
        <f>SUM(AN59:AN60)</f>
        <v>843081582</v>
      </c>
      <c r="AO61" s="833">
        <f t="shared" si="170"/>
        <v>63971107</v>
      </c>
      <c r="AP61" s="833">
        <f t="shared" si="170"/>
        <v>24890000</v>
      </c>
      <c r="AQ61" s="833">
        <f t="shared" si="170"/>
        <v>651521090.00000024</v>
      </c>
      <c r="AR61" s="833">
        <f t="shared" si="170"/>
        <v>148975559</v>
      </c>
      <c r="AS61" s="833">
        <f t="shared" si="170"/>
        <v>652715589.00000024</v>
      </c>
      <c r="AT61" s="833">
        <f t="shared" si="170"/>
        <v>82790588</v>
      </c>
      <c r="AU61" s="833">
        <f t="shared" si="170"/>
        <v>425496739.33333331</v>
      </c>
      <c r="AV61" s="833">
        <f>SUM(AV59:AV60)</f>
        <v>346884199</v>
      </c>
      <c r="AW61" s="833">
        <f t="shared" si="170"/>
        <v>313029277</v>
      </c>
      <c r="AX61" s="833">
        <f>SUM(AX59:AX60)</f>
        <v>818365702</v>
      </c>
      <c r="AY61" s="833">
        <f t="shared" si="170"/>
        <v>314372078</v>
      </c>
      <c r="AZ61" s="833">
        <f t="shared" si="170"/>
        <v>826529046.8304193</v>
      </c>
      <c r="BA61" s="833">
        <f t="shared" si="170"/>
        <v>11814794317</v>
      </c>
      <c r="BB61" s="833">
        <f t="shared" si="170"/>
        <v>11814794317</v>
      </c>
      <c r="BC61" s="833">
        <f t="shared" si="170"/>
        <v>11338451439.83042</v>
      </c>
      <c r="BD61" s="833">
        <f t="shared" si="170"/>
        <v>11814794317</v>
      </c>
      <c r="BE61" s="833">
        <f t="shared" si="170"/>
        <v>11338451439.83042</v>
      </c>
      <c r="BF61" s="833">
        <f t="shared" si="170"/>
        <v>18512098525</v>
      </c>
      <c r="BG61" s="833">
        <f t="shared" si="170"/>
        <v>9274176081</v>
      </c>
      <c r="BH61" s="833">
        <f t="shared" si="170"/>
        <v>8662799908</v>
      </c>
      <c r="BI61" s="833">
        <f t="shared" si="170"/>
        <v>412363706</v>
      </c>
      <c r="BJ61" s="833">
        <f>SUM(BJ59:BJ60)</f>
        <v>275548817</v>
      </c>
      <c r="BK61" s="833">
        <f t="shared" si="170"/>
        <v>2288127417</v>
      </c>
      <c r="BL61" s="833">
        <f t="shared" si="170"/>
        <v>50000000</v>
      </c>
      <c r="BM61" s="833">
        <f t="shared" si="170"/>
        <v>1283494492</v>
      </c>
      <c r="BN61" s="833">
        <f t="shared" si="170"/>
        <v>0</v>
      </c>
      <c r="BO61" s="833">
        <f t="shared" si="170"/>
        <v>144201978</v>
      </c>
      <c r="BP61" s="833">
        <f t="shared" si="170"/>
        <v>274596000</v>
      </c>
      <c r="BQ61" s="833">
        <f t="shared" si="170"/>
        <v>4429149399</v>
      </c>
      <c r="BR61" s="833">
        <f t="shared" si="170"/>
        <v>134020000</v>
      </c>
      <c r="BS61" s="833">
        <f t="shared" si="170"/>
        <v>18335267</v>
      </c>
      <c r="BT61" s="833">
        <f t="shared" ref="BT61:ED61" si="171">SUM(BT59:BT60)</f>
        <v>179630550</v>
      </c>
      <c r="BU61" s="833">
        <f t="shared" si="171"/>
        <v>214673582</v>
      </c>
      <c r="BV61" s="833">
        <f>SUM(BV59:BV60)</f>
        <v>4762534</v>
      </c>
      <c r="BW61" s="833">
        <f t="shared" si="171"/>
        <v>95424662</v>
      </c>
      <c r="BX61" s="833">
        <f t="shared" si="171"/>
        <v>487599625</v>
      </c>
      <c r="BY61" s="833">
        <f t="shared" si="171"/>
        <v>1519154400</v>
      </c>
      <c r="BZ61" s="833">
        <f t="shared" si="171"/>
        <v>1293006855</v>
      </c>
      <c r="CA61" s="833">
        <f t="shared" si="171"/>
        <v>239903011</v>
      </c>
      <c r="CB61" s="833">
        <f t="shared" si="171"/>
        <v>3928749660</v>
      </c>
      <c r="CC61" s="833">
        <f t="shared" si="171"/>
        <v>1384738092</v>
      </c>
      <c r="CD61" s="833">
        <f t="shared" si="171"/>
        <v>2344372347</v>
      </c>
      <c r="CE61" s="833">
        <f t="shared" si="171"/>
        <v>19805777507</v>
      </c>
      <c r="CF61" s="833">
        <f t="shared" si="171"/>
        <v>19805777507</v>
      </c>
      <c r="CG61" s="833">
        <f t="shared" si="171"/>
        <v>18942814528</v>
      </c>
      <c r="CH61" s="833">
        <f t="shared" si="171"/>
        <v>19805777507</v>
      </c>
      <c r="CI61" s="833">
        <f t="shared" si="171"/>
        <v>18942814528</v>
      </c>
      <c r="CJ61" s="833">
        <f t="shared" si="171"/>
        <v>16333379832</v>
      </c>
      <c r="CK61" s="833">
        <f t="shared" si="171"/>
        <v>466599268</v>
      </c>
      <c r="CL61" s="833">
        <f t="shared" si="171"/>
        <v>354501914</v>
      </c>
      <c r="CM61" s="833">
        <f>SUM(CM59:CM60)</f>
        <v>2141094600</v>
      </c>
      <c r="CN61" s="833">
        <f t="shared" si="171"/>
        <v>4311624398</v>
      </c>
      <c r="CO61" s="833">
        <f t="shared" si="171"/>
        <v>1486418593</v>
      </c>
      <c r="CP61" s="833">
        <f>SUM(CP59:CP60)</f>
        <v>4589280275</v>
      </c>
      <c r="CQ61" s="833">
        <f>SUM(CQ59:CQ60)</f>
        <v>1200196536</v>
      </c>
      <c r="CR61" s="833">
        <f t="shared" si="171"/>
        <v>1072385045</v>
      </c>
      <c r="CS61" s="833">
        <f t="shared" ref="CS61:CY61" si="172">SUM(CS59:CS60)</f>
        <v>1121664993</v>
      </c>
      <c r="CT61" s="833">
        <f t="shared" si="172"/>
        <v>519792921</v>
      </c>
      <c r="CU61" s="833">
        <f t="shared" si="172"/>
        <v>1453714602</v>
      </c>
      <c r="CV61" s="843">
        <f t="shared" si="172"/>
        <v>565037868</v>
      </c>
      <c r="CW61" s="833">
        <f>SUM(CW59:CW60)</f>
        <v>1777012326</v>
      </c>
      <c r="CX61" s="843">
        <f t="shared" si="172"/>
        <v>161523438</v>
      </c>
      <c r="CY61" s="833">
        <f t="shared" si="172"/>
        <v>1194419943</v>
      </c>
      <c r="CZ61" s="833">
        <f>SUM(CZ59:CZ60)</f>
        <v>222659137</v>
      </c>
      <c r="DA61" s="833">
        <f t="shared" si="171"/>
        <v>1342553421</v>
      </c>
      <c r="DB61" s="833">
        <f>SUM(DB59:DB60)</f>
        <v>514684311</v>
      </c>
      <c r="DC61" s="833">
        <f t="shared" si="171"/>
        <v>1043967275</v>
      </c>
      <c r="DD61" s="833">
        <f>SUM(DD59:DD60)</f>
        <v>831155041</v>
      </c>
      <c r="DE61" s="833">
        <f t="shared" si="171"/>
        <v>261854912</v>
      </c>
      <c r="DF61" s="833"/>
      <c r="DG61" s="833">
        <f>SUM(DG59:DG60)</f>
        <v>2496453233</v>
      </c>
      <c r="DH61" s="833">
        <f t="shared" si="171"/>
        <v>1383920840</v>
      </c>
      <c r="DI61" s="833">
        <f t="shared" si="171"/>
        <v>15607818733</v>
      </c>
      <c r="DJ61" s="833">
        <f t="shared" ref="DJ61:EQ61" si="173">SUM(DJ59:DJ60)</f>
        <v>15593558818</v>
      </c>
      <c r="DK61" s="833">
        <f t="shared" si="173"/>
        <v>14847052207</v>
      </c>
      <c r="DL61" s="833">
        <f t="shared" si="173"/>
        <v>15607818733</v>
      </c>
      <c r="DM61" s="833">
        <f t="shared" si="173"/>
        <v>14847052207</v>
      </c>
      <c r="DN61" s="833">
        <f t="shared" si="173"/>
        <v>19671920825.809998</v>
      </c>
      <c r="DO61" s="833">
        <f t="shared" si="173"/>
        <v>1026049718</v>
      </c>
      <c r="DP61" s="833">
        <f t="shared" si="173"/>
        <v>1026049718</v>
      </c>
      <c r="DQ61" s="833">
        <f t="shared" si="173"/>
        <v>3949964993.8099999</v>
      </c>
      <c r="DR61" s="833">
        <f t="shared" ref="DR61" si="174">SUM(DR59:DR60)</f>
        <v>2776906815</v>
      </c>
      <c r="DS61" s="833">
        <f t="shared" si="173"/>
        <v>2858307959</v>
      </c>
      <c r="DT61" s="833">
        <f t="shared" si="173"/>
        <v>1137211580</v>
      </c>
      <c r="DU61" s="833">
        <f t="shared" si="173"/>
        <v>2822319969</v>
      </c>
      <c r="DV61" s="833">
        <f t="shared" si="173"/>
        <v>736125993</v>
      </c>
      <c r="DW61" s="843">
        <f t="shared" si="173"/>
        <v>2837690578</v>
      </c>
      <c r="DX61" s="843">
        <f t="shared" si="173"/>
        <v>1832907950</v>
      </c>
      <c r="DY61" s="833">
        <f t="shared" si="173"/>
        <v>3300439092</v>
      </c>
      <c r="DZ61" s="833">
        <f t="shared" si="171"/>
        <v>0</v>
      </c>
      <c r="EA61" s="833">
        <f t="shared" si="173"/>
        <v>2877148516</v>
      </c>
      <c r="EB61" s="843">
        <f t="shared" si="171"/>
        <v>0</v>
      </c>
      <c r="EC61" s="833">
        <f t="shared" si="173"/>
        <v>0</v>
      </c>
      <c r="ED61" s="843">
        <f t="shared" si="171"/>
        <v>0</v>
      </c>
      <c r="EE61" s="833">
        <f t="shared" si="173"/>
        <v>0</v>
      </c>
      <c r="EF61" s="843">
        <f t="shared" ref="EF61:EL61" si="175">SUM(EF59:EF60)</f>
        <v>0</v>
      </c>
      <c r="EG61" s="833">
        <f t="shared" si="173"/>
        <v>0</v>
      </c>
      <c r="EH61" s="843">
        <f t="shared" si="175"/>
        <v>658814131</v>
      </c>
      <c r="EI61" s="833">
        <f t="shared" si="173"/>
        <v>0</v>
      </c>
      <c r="EJ61" s="843">
        <f t="shared" si="175"/>
        <v>658814131</v>
      </c>
      <c r="EK61" s="833">
        <f t="shared" si="173"/>
        <v>0</v>
      </c>
      <c r="EL61" s="833">
        <f t="shared" si="175"/>
        <v>1294148000</v>
      </c>
      <c r="EM61" s="833">
        <f t="shared" si="173"/>
        <v>19671920825.809998</v>
      </c>
      <c r="EN61" s="833">
        <f t="shared" si="173"/>
        <v>13494333217.809999</v>
      </c>
      <c r="EO61" s="833">
        <f t="shared" si="173"/>
        <v>7509202056</v>
      </c>
      <c r="EP61" s="833">
        <f t="shared" si="173"/>
        <v>19671920825.809998</v>
      </c>
      <c r="EQ61" s="834">
        <f t="shared" si="173"/>
        <v>7509202056</v>
      </c>
      <c r="ER61" s="419"/>
      <c r="ES61" s="420"/>
      <c r="ET61" s="420"/>
      <c r="EU61" s="420"/>
      <c r="EV61" s="420"/>
      <c r="EW61" s="420"/>
      <c r="EX61" s="420"/>
      <c r="EY61" s="420"/>
      <c r="EZ61" s="420"/>
      <c r="FA61" s="420"/>
    </row>
    <row r="62" spans="1:158" ht="33" customHeight="1" x14ac:dyDescent="0.25">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103"/>
      <c r="BD62" s="99"/>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153">
        <f>+CG12+CG19+CG26+CG33+CG40+CG47+CG54</f>
        <v>13042320956</v>
      </c>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row>
    <row r="63" spans="1:158" ht="33" customHeight="1" x14ac:dyDescent="0.25">
      <c r="F63" s="22" t="s">
        <v>34</v>
      </c>
      <c r="G63" s="20"/>
      <c r="H63" s="20"/>
      <c r="I63" s="21"/>
      <c r="J63" s="38"/>
      <c r="K63" s="21"/>
      <c r="L63" s="21"/>
      <c r="M63" s="21"/>
      <c r="N63" s="21"/>
      <c r="O63" s="21"/>
      <c r="P63" s="21"/>
      <c r="Q63" s="21"/>
      <c r="R63" s="21"/>
      <c r="S63" s="21"/>
      <c r="T63" s="2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25"/>
      <c r="BE63"/>
      <c r="BF63" s="31"/>
      <c r="BW63"/>
      <c r="BX63"/>
      <c r="BY63"/>
      <c r="BZ63"/>
      <c r="CA63"/>
      <c r="CB63"/>
      <c r="CC63"/>
      <c r="CD63"/>
      <c r="CE63"/>
      <c r="CF63"/>
      <c r="CG63"/>
      <c r="CH63"/>
      <c r="CI63"/>
    </row>
    <row r="64" spans="1:158" ht="33" customHeight="1" x14ac:dyDescent="0.25">
      <c r="F64" s="105" t="s">
        <v>35</v>
      </c>
      <c r="G64" s="460" t="s">
        <v>36</v>
      </c>
      <c r="H64" s="460"/>
      <c r="I64" s="460"/>
      <c r="J64" s="460"/>
      <c r="K64" s="460"/>
      <c r="L64" s="460"/>
      <c r="M64" s="460"/>
      <c r="N64" s="382" t="s">
        <v>37</v>
      </c>
      <c r="O64" s="383"/>
      <c r="P64" s="383"/>
      <c r="Q64" s="383"/>
      <c r="R64" s="383"/>
      <c r="S64" s="383"/>
      <c r="T64" s="384"/>
      <c r="U64" s="461"/>
      <c r="V64" s="461"/>
      <c r="W64" s="461"/>
      <c r="X64" s="461"/>
      <c r="Y64" s="461"/>
      <c r="Z64" s="461"/>
      <c r="AA64" s="461"/>
      <c r="AB64" s="461"/>
      <c r="AC64" s="461"/>
      <c r="AD64" s="461"/>
      <c r="AE64" s="461"/>
      <c r="AF64" s="461"/>
      <c r="AG64" s="461"/>
      <c r="AH64" s="461"/>
      <c r="AI64" s="461"/>
      <c r="AJ64" s="461"/>
      <c r="AK64" s="461"/>
      <c r="AL64" s="461"/>
      <c r="AM64" s="461"/>
      <c r="AN64" s="461"/>
      <c r="AO64" s="461"/>
      <c r="AP64" s="461"/>
      <c r="AQ64" s="461"/>
      <c r="AR64" s="461"/>
      <c r="AS64" s="461"/>
      <c r="AT64" s="461"/>
      <c r="AU64" s="461"/>
      <c r="AV64" s="461"/>
      <c r="AW64" s="461"/>
      <c r="AX64" s="461"/>
      <c r="AY64" s="461"/>
      <c r="AZ64" s="461"/>
      <c r="BA64" s="461"/>
      <c r="BB64" s="461"/>
      <c r="BC64" s="461"/>
      <c r="BD64" s="461"/>
      <c r="BE64" s="461"/>
      <c r="EP64" s="119"/>
    </row>
    <row r="65" spans="6:153" ht="33" customHeight="1" x14ac:dyDescent="0.25">
      <c r="F65" s="106">
        <v>13</v>
      </c>
      <c r="G65" s="376" t="s">
        <v>89</v>
      </c>
      <c r="H65" s="376"/>
      <c r="I65" s="376"/>
      <c r="J65" s="376"/>
      <c r="K65" s="376"/>
      <c r="L65" s="376"/>
      <c r="M65" s="376"/>
      <c r="N65" s="376" t="s">
        <v>80</v>
      </c>
      <c r="O65" s="376"/>
      <c r="P65" s="376"/>
      <c r="Q65" s="376"/>
      <c r="R65" s="376"/>
      <c r="S65" s="376"/>
      <c r="T65" s="376"/>
      <c r="U65" s="462"/>
      <c r="V65" s="463"/>
      <c r="W65" s="463"/>
      <c r="X65" s="463"/>
      <c r="Y65" s="463"/>
      <c r="Z65" s="463"/>
      <c r="AA65" s="463"/>
      <c r="AB65" s="463"/>
      <c r="AC65" s="463"/>
      <c r="AD65" s="463"/>
      <c r="AE65" s="463"/>
      <c r="AF65" s="463"/>
      <c r="AG65" s="463"/>
      <c r="AH65" s="463"/>
      <c r="AI65" s="463"/>
      <c r="AJ65" s="463"/>
      <c r="AK65" s="463"/>
      <c r="AL65" s="463"/>
      <c r="AM65" s="463"/>
      <c r="AN65" s="463"/>
      <c r="AO65" s="463"/>
      <c r="AP65" s="463"/>
      <c r="AQ65" s="463"/>
      <c r="AR65" s="463"/>
      <c r="AS65" s="463"/>
      <c r="AT65" s="463"/>
      <c r="AU65" s="463"/>
      <c r="AV65" s="463"/>
      <c r="AW65" s="463"/>
      <c r="AX65" s="463"/>
      <c r="AY65" s="463"/>
      <c r="AZ65" s="463"/>
      <c r="BA65" s="463"/>
      <c r="BB65" s="463"/>
      <c r="BC65" s="463"/>
      <c r="BD65" s="463"/>
      <c r="BE65" s="463"/>
    </row>
    <row r="66" spans="6:153" ht="33" customHeight="1" x14ac:dyDescent="0.25">
      <c r="F66" s="106">
        <v>14</v>
      </c>
      <c r="G66" s="376" t="s">
        <v>247</v>
      </c>
      <c r="H66" s="376"/>
      <c r="I66" s="376"/>
      <c r="J66" s="376"/>
      <c r="K66" s="376"/>
      <c r="L66" s="376"/>
      <c r="M66" s="376"/>
      <c r="N66" s="377" t="s">
        <v>508</v>
      </c>
      <c r="O66" s="377"/>
      <c r="P66" s="377"/>
      <c r="Q66" s="377"/>
      <c r="R66" s="377"/>
      <c r="S66" s="377"/>
      <c r="T66" s="377"/>
      <c r="AA66" s="116"/>
      <c r="BF66" s="40"/>
      <c r="EP66" s="119"/>
      <c r="EV66" s="188"/>
    </row>
    <row r="67" spans="6:153" ht="33" customHeight="1" x14ac:dyDescent="0.25">
      <c r="AH67" s="41"/>
      <c r="AI67" s="41"/>
      <c r="AJ67" s="41"/>
      <c r="AK67" s="41"/>
      <c r="AL67" s="41"/>
      <c r="AM67" s="41"/>
      <c r="AN67" s="41"/>
      <c r="AO67" s="41"/>
      <c r="AP67" s="41"/>
      <c r="AQ67" s="41"/>
      <c r="AR67" s="41"/>
      <c r="AS67" s="41"/>
      <c r="AT67" s="41"/>
      <c r="AU67" s="41"/>
      <c r="AV67" s="30"/>
      <c r="AW67" s="30"/>
      <c r="AX67" s="41"/>
      <c r="BF67" s="43"/>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M67" s="119"/>
      <c r="EW67" s="238"/>
    </row>
    <row r="68" spans="6:153" ht="33" customHeight="1" x14ac:dyDescent="0.25">
      <c r="AW68" s="30"/>
      <c r="BF68" s="45"/>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EV68" s="239"/>
    </row>
    <row r="69" spans="6:153" ht="33" customHeight="1" x14ac:dyDescent="0.25">
      <c r="G69" s="31"/>
      <c r="AW69" s="30"/>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N69" s="44"/>
      <c r="DO69" s="44"/>
      <c r="DP69" s="44"/>
      <c r="DQ69" s="44"/>
      <c r="DR69" s="44"/>
      <c r="DS69" s="44"/>
      <c r="DT69" s="44"/>
      <c r="DU69" s="44"/>
      <c r="DV69" s="44"/>
      <c r="DW69" s="44"/>
      <c r="DX69" s="44"/>
      <c r="DY69" s="44"/>
      <c r="DZ69" s="44"/>
      <c r="EA69" s="44"/>
      <c r="EB69" s="44"/>
      <c r="EC69" s="44"/>
      <c r="ED69" s="44"/>
      <c r="EE69" s="44"/>
      <c r="EF69" s="44"/>
    </row>
    <row r="70" spans="6:153" ht="33" customHeight="1" x14ac:dyDescent="0.25">
      <c r="AW70" s="30"/>
      <c r="BF70" s="46"/>
      <c r="CI70" s="119"/>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EW70" s="257"/>
    </row>
    <row r="71" spans="6:153" ht="33" customHeight="1" x14ac:dyDescent="0.25">
      <c r="G71" s="31"/>
      <c r="Q71" s="31"/>
      <c r="AW71" s="30"/>
    </row>
    <row r="72" spans="6:153" ht="33" customHeight="1" x14ac:dyDescent="0.25">
      <c r="AW72" s="30"/>
      <c r="BF72" s="41"/>
      <c r="CJ72" s="42"/>
      <c r="CK72" s="42"/>
      <c r="CL72" s="42"/>
      <c r="CM72" s="119"/>
      <c r="CN72" s="42"/>
      <c r="CO72" s="42"/>
      <c r="CP72" s="42"/>
      <c r="CQ72" s="42"/>
      <c r="CR72" s="42"/>
      <c r="CS72" s="42"/>
      <c r="CT72" s="42"/>
      <c r="CU72" s="42"/>
      <c r="CV72" s="42"/>
      <c r="CW72" s="42"/>
      <c r="CX72" s="42"/>
      <c r="CY72" s="42"/>
      <c r="CZ72" s="42"/>
      <c r="DA72" s="42"/>
      <c r="DB72" s="42"/>
      <c r="DC72" s="42"/>
      <c r="DD72" s="42"/>
      <c r="DE72" s="42"/>
      <c r="DF72" s="42"/>
      <c r="DG72" s="42"/>
      <c r="DH72" s="42"/>
      <c r="EV72" s="188"/>
    </row>
    <row r="73" spans="6:153" ht="33" customHeight="1" x14ac:dyDescent="0.25">
      <c r="AW73" s="30"/>
    </row>
    <row r="74" spans="6:153" ht="33" customHeight="1" x14ac:dyDescent="0.25">
      <c r="AW74" s="30"/>
      <c r="BF74" s="41"/>
      <c r="CJ74" s="160"/>
      <c r="CK74" s="159"/>
      <c r="CL74" s="41"/>
      <c r="CM74" s="41"/>
      <c r="CN74" s="41"/>
      <c r="CO74" s="41"/>
      <c r="CP74" s="41"/>
      <c r="CQ74" s="41"/>
      <c r="CR74" s="41"/>
      <c r="CS74" s="41"/>
      <c r="CT74" s="41"/>
      <c r="CU74" s="41"/>
      <c r="CV74" s="41"/>
      <c r="CW74" s="41"/>
      <c r="CX74" s="41"/>
      <c r="CY74" s="41"/>
      <c r="CZ74" s="41"/>
      <c r="DA74" s="41"/>
      <c r="DB74" s="41"/>
      <c r="DC74" s="41"/>
      <c r="DD74" s="41"/>
      <c r="DE74" s="41"/>
      <c r="DF74" s="41"/>
      <c r="DG74" s="41"/>
      <c r="DH74" s="41"/>
    </row>
    <row r="75" spans="6:153" ht="33" customHeight="1" x14ac:dyDescent="0.25">
      <c r="AW75" s="30"/>
    </row>
    <row r="76" spans="6:153" ht="33" customHeight="1" x14ac:dyDescent="0.25">
      <c r="AW76" s="30"/>
      <c r="CK76" s="119"/>
    </row>
    <row r="77" spans="6:153" ht="33" customHeight="1" x14ac:dyDescent="0.25">
      <c r="AW77" s="30"/>
    </row>
    <row r="78" spans="6:153" ht="33" customHeight="1" x14ac:dyDescent="0.25">
      <c r="AW78" s="30"/>
    </row>
    <row r="79" spans="6:153" ht="33" customHeight="1" x14ac:dyDescent="0.25">
      <c r="AW79" s="30"/>
    </row>
    <row r="80" spans="6:153" ht="33" customHeight="1" x14ac:dyDescent="0.25">
      <c r="AW80" s="30"/>
    </row>
  </sheetData>
  <sheetProtection formatCells="0" formatColumns="0" formatRows="0" insertHyperlinks="0" sort="0" autoFilter="0" pivotTables="0"/>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dataValidations count="2">
    <dataValidation type="textLength" operator="lessThanOrEqual" showInputMessage="1" showErrorMessage="1" sqref="EW10:EW58" xr:uid="{00000000-0002-0000-0100-000000000000}">
      <formula1>2000</formula1>
    </dataValidation>
    <dataValidation type="textLength" operator="lessThanOrEqual" showInputMessage="1" showErrorMessage="1" sqref="EX10:EY58" xr:uid="{00000000-0002-0000-0100-000001000000}">
      <formula1>500</formula1>
    </dataValidation>
  </dataValidations>
  <printOptions horizontalCentered="1" verticalCentered="1"/>
  <pageMargins left="0" right="0" top="0.74803149606299213" bottom="0" header="0.31496062992125984" footer="0"/>
  <pageSetup scale="20" fitToHeight="0" orientation="landscape" r:id="rId1"/>
  <ignoredErrors>
    <ignoredError sqref="DM13" formula="1"/>
    <ignoredError sqref="DA11:DA12 DA18:DA19 DA25:DA26 DA32:DA33 DA46:DA47 DA53 DA14 DA21 DI2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7"/>
  <sheetViews>
    <sheetView showGridLines="0" zoomScale="59" zoomScaleNormal="59" zoomScalePageLayoutView="75" workbookViewId="0">
      <selection activeCell="E11" sqref="E11:E12"/>
    </sheetView>
  </sheetViews>
  <sheetFormatPr baseColWidth="10" defaultColWidth="9.7109375" defaultRowHeight="24.95" customHeight="1" x14ac:dyDescent="0.25"/>
  <cols>
    <col min="1" max="1" width="9.85546875" style="6" customWidth="1"/>
    <col min="2" max="2" width="21.5703125" style="6" customWidth="1"/>
    <col min="3" max="3" width="43.42578125" style="12" customWidth="1"/>
    <col min="4" max="6" width="10" style="6" customWidth="1"/>
    <col min="7" max="13" width="8.140625" style="6" customWidth="1"/>
    <col min="14" max="18" width="8.140625" style="7" customWidth="1"/>
    <col min="19" max="19" width="11.140625" style="7" customWidth="1"/>
    <col min="20" max="20" width="13.28515625" style="7" customWidth="1"/>
    <col min="21" max="21" width="17.5703125" style="7" customWidth="1"/>
    <col min="22" max="22" width="57" style="33" customWidth="1"/>
    <col min="23" max="24" width="9.7109375" style="8"/>
    <col min="25" max="16384" width="9.7109375" style="6"/>
  </cols>
  <sheetData>
    <row r="1" spans="1:31" s="64" customFormat="1" ht="15" customHeight="1" x14ac:dyDescent="0.25">
      <c r="A1" s="467"/>
      <c r="B1" s="468"/>
      <c r="C1" s="468"/>
      <c r="D1" s="473" t="s">
        <v>38</v>
      </c>
      <c r="E1" s="438"/>
      <c r="F1" s="438"/>
      <c r="G1" s="438"/>
      <c r="H1" s="438"/>
      <c r="I1" s="438"/>
      <c r="J1" s="438"/>
      <c r="K1" s="438"/>
      <c r="L1" s="438"/>
      <c r="M1" s="438"/>
      <c r="N1" s="438"/>
      <c r="O1" s="438"/>
      <c r="P1" s="438"/>
      <c r="Q1" s="438"/>
      <c r="R1" s="438"/>
      <c r="S1" s="438"/>
      <c r="T1" s="438"/>
      <c r="U1" s="438"/>
      <c r="V1" s="439"/>
    </row>
    <row r="2" spans="1:31" s="64" customFormat="1" ht="27" customHeight="1" x14ac:dyDescent="0.25">
      <c r="A2" s="469"/>
      <c r="B2" s="470"/>
      <c r="C2" s="470"/>
      <c r="D2" s="474" t="s">
        <v>245</v>
      </c>
      <c r="E2" s="440"/>
      <c r="F2" s="440"/>
      <c r="G2" s="440"/>
      <c r="H2" s="440"/>
      <c r="I2" s="440"/>
      <c r="J2" s="440"/>
      <c r="K2" s="440"/>
      <c r="L2" s="440"/>
      <c r="M2" s="440"/>
      <c r="N2" s="440"/>
      <c r="O2" s="440"/>
      <c r="P2" s="440"/>
      <c r="Q2" s="440"/>
      <c r="R2" s="440"/>
      <c r="S2" s="440"/>
      <c r="T2" s="440"/>
      <c r="U2" s="440"/>
      <c r="V2" s="441"/>
    </row>
    <row r="3" spans="1:31" s="64" customFormat="1" ht="23.25" customHeight="1" thickBot="1" x14ac:dyDescent="0.3">
      <c r="A3" s="471"/>
      <c r="B3" s="472"/>
      <c r="C3" s="472"/>
      <c r="D3" s="496" t="s">
        <v>39</v>
      </c>
      <c r="E3" s="497"/>
      <c r="F3" s="497"/>
      <c r="G3" s="497"/>
      <c r="H3" s="497"/>
      <c r="I3" s="497"/>
      <c r="J3" s="497"/>
      <c r="K3" s="497"/>
      <c r="L3" s="497"/>
      <c r="M3" s="497"/>
      <c r="N3" s="497"/>
      <c r="O3" s="497"/>
      <c r="P3" s="497"/>
      <c r="Q3" s="497"/>
      <c r="R3" s="497"/>
      <c r="S3" s="497"/>
      <c r="T3" s="497"/>
      <c r="U3" s="498"/>
      <c r="V3" s="32" t="s">
        <v>227</v>
      </c>
    </row>
    <row r="4" spans="1:31" ht="21" customHeight="1" thickBot="1" x14ac:dyDescent="0.3">
      <c r="A4" s="491" t="s">
        <v>0</v>
      </c>
      <c r="B4" s="492"/>
      <c r="C4" s="493"/>
      <c r="D4" s="485" t="s">
        <v>302</v>
      </c>
      <c r="E4" s="486"/>
      <c r="F4" s="486"/>
      <c r="G4" s="486"/>
      <c r="H4" s="486"/>
      <c r="I4" s="486"/>
      <c r="J4" s="486"/>
      <c r="K4" s="486"/>
      <c r="L4" s="486"/>
      <c r="M4" s="486"/>
      <c r="N4" s="486"/>
      <c r="O4" s="486"/>
      <c r="P4" s="486"/>
      <c r="Q4" s="486"/>
      <c r="R4" s="486"/>
      <c r="S4" s="486"/>
      <c r="T4" s="486"/>
      <c r="U4" s="486"/>
      <c r="V4" s="487"/>
      <c r="W4" s="6"/>
      <c r="X4" s="6"/>
    </row>
    <row r="5" spans="1:31" ht="24" customHeight="1" thickBot="1" x14ac:dyDescent="0.3">
      <c r="A5" s="482" t="s">
        <v>2</v>
      </c>
      <c r="B5" s="483"/>
      <c r="C5" s="484"/>
      <c r="D5" s="488" t="s">
        <v>303</v>
      </c>
      <c r="E5" s="489"/>
      <c r="F5" s="489"/>
      <c r="G5" s="489"/>
      <c r="H5" s="489"/>
      <c r="I5" s="489"/>
      <c r="J5" s="489"/>
      <c r="K5" s="489"/>
      <c r="L5" s="489"/>
      <c r="M5" s="489"/>
      <c r="N5" s="489"/>
      <c r="O5" s="489"/>
      <c r="P5" s="489"/>
      <c r="Q5" s="489"/>
      <c r="R5" s="489"/>
      <c r="S5" s="489"/>
      <c r="T5" s="489"/>
      <c r="U5" s="489"/>
      <c r="V5" s="490"/>
      <c r="W5" s="6"/>
      <c r="X5" s="6"/>
    </row>
    <row r="6" spans="1:31" ht="18" customHeight="1" thickBot="1" x14ac:dyDescent="0.3">
      <c r="A6" s="499"/>
      <c r="B6" s="500"/>
      <c r="C6" s="500"/>
      <c r="D6" s="500"/>
      <c r="E6" s="500"/>
      <c r="F6" s="500"/>
      <c r="G6" s="500"/>
      <c r="H6" s="500"/>
      <c r="I6" s="500"/>
      <c r="J6" s="500"/>
      <c r="K6" s="500"/>
      <c r="L6" s="500"/>
      <c r="M6" s="500"/>
      <c r="N6" s="500"/>
      <c r="O6" s="500"/>
      <c r="P6" s="500"/>
      <c r="Q6" s="500"/>
      <c r="R6" s="500"/>
      <c r="S6" s="500"/>
      <c r="T6" s="500"/>
      <c r="U6" s="500"/>
      <c r="V6" s="501"/>
      <c r="W6" s="6"/>
      <c r="X6" s="6"/>
    </row>
    <row r="7" spans="1:31" s="8" customFormat="1" ht="24.95" customHeight="1" x14ac:dyDescent="0.25">
      <c r="A7" s="494" t="s">
        <v>22</v>
      </c>
      <c r="B7" s="475" t="s">
        <v>23</v>
      </c>
      <c r="C7" s="475" t="s">
        <v>68</v>
      </c>
      <c r="D7" s="477" t="s">
        <v>24</v>
      </c>
      <c r="E7" s="478"/>
      <c r="F7" s="479" t="s">
        <v>760</v>
      </c>
      <c r="G7" s="480"/>
      <c r="H7" s="480"/>
      <c r="I7" s="480"/>
      <c r="J7" s="480"/>
      <c r="K7" s="480"/>
      <c r="L7" s="480"/>
      <c r="M7" s="480"/>
      <c r="N7" s="480"/>
      <c r="O7" s="480"/>
      <c r="P7" s="480"/>
      <c r="Q7" s="480"/>
      <c r="R7" s="480"/>
      <c r="S7" s="481"/>
      <c r="T7" s="502" t="s">
        <v>28</v>
      </c>
      <c r="U7" s="503"/>
      <c r="V7" s="504" t="s">
        <v>782</v>
      </c>
    </row>
    <row r="8" spans="1:31" s="8" customFormat="1" ht="52.5" customHeight="1" thickBot="1" x14ac:dyDescent="0.3">
      <c r="A8" s="495"/>
      <c r="B8" s="476"/>
      <c r="C8" s="476"/>
      <c r="D8" s="256" t="s">
        <v>25</v>
      </c>
      <c r="E8" s="327" t="s">
        <v>26</v>
      </c>
      <c r="F8" s="329" t="s">
        <v>27</v>
      </c>
      <c r="G8" s="28" t="s">
        <v>6</v>
      </c>
      <c r="H8" s="28" t="s">
        <v>7</v>
      </c>
      <c r="I8" s="28" t="s">
        <v>8</v>
      </c>
      <c r="J8" s="28" t="s">
        <v>9</v>
      </c>
      <c r="K8" s="28" t="s">
        <v>10</v>
      </c>
      <c r="L8" s="28" t="s">
        <v>11</v>
      </c>
      <c r="M8" s="28" t="s">
        <v>12</v>
      </c>
      <c r="N8" s="28" t="s">
        <v>13</v>
      </c>
      <c r="O8" s="28" t="s">
        <v>14</v>
      </c>
      <c r="P8" s="28" t="s">
        <v>15</v>
      </c>
      <c r="Q8" s="28" t="s">
        <v>16</v>
      </c>
      <c r="R8" s="28" t="s">
        <v>17</v>
      </c>
      <c r="S8" s="326" t="s">
        <v>18</v>
      </c>
      <c r="T8" s="328" t="s">
        <v>29</v>
      </c>
      <c r="U8" s="130" t="s">
        <v>30</v>
      </c>
      <c r="V8" s="505"/>
    </row>
    <row r="9" spans="1:31" ht="24.95" customHeight="1" x14ac:dyDescent="0.25">
      <c r="A9" s="628" t="s">
        <v>292</v>
      </c>
      <c r="B9" s="628" t="s">
        <v>304</v>
      </c>
      <c r="C9" s="629" t="s">
        <v>619</v>
      </c>
      <c r="D9" s="630" t="s">
        <v>724</v>
      </c>
      <c r="E9" s="630"/>
      <c r="F9" s="255" t="s">
        <v>19</v>
      </c>
      <c r="G9" s="620">
        <v>0.1666</v>
      </c>
      <c r="H9" s="620">
        <v>0.1666</v>
      </c>
      <c r="I9" s="620">
        <v>0.1666</v>
      </c>
      <c r="J9" s="620">
        <v>0.1666</v>
      </c>
      <c r="K9" s="621">
        <v>0.1666</v>
      </c>
      <c r="L9" s="620">
        <v>0.16700000000000001</v>
      </c>
      <c r="M9" s="620"/>
      <c r="N9" s="620"/>
      <c r="O9" s="620"/>
      <c r="P9" s="620"/>
      <c r="Q9" s="620"/>
      <c r="R9" s="620"/>
      <c r="S9" s="373">
        <f>SUM(G9:R9)</f>
        <v>1</v>
      </c>
      <c r="T9" s="638">
        <v>0.15</v>
      </c>
      <c r="U9" s="639">
        <v>0.05</v>
      </c>
      <c r="V9" s="629" t="s">
        <v>792</v>
      </c>
    </row>
    <row r="10" spans="1:31" ht="24.95" customHeight="1" x14ac:dyDescent="0.25">
      <c r="A10" s="631"/>
      <c r="B10" s="631"/>
      <c r="C10" s="632"/>
      <c r="D10" s="633"/>
      <c r="E10" s="633"/>
      <c r="F10" s="65" t="s">
        <v>20</v>
      </c>
      <c r="G10" s="622">
        <v>0.1666</v>
      </c>
      <c r="H10" s="622">
        <v>0.1666</v>
      </c>
      <c r="I10" s="622">
        <v>0.1666</v>
      </c>
      <c r="J10" s="622">
        <v>0.1666</v>
      </c>
      <c r="K10" s="623">
        <v>0.1666</v>
      </c>
      <c r="L10" s="624"/>
      <c r="M10" s="624"/>
      <c r="N10" s="624"/>
      <c r="O10" s="624"/>
      <c r="P10" s="624"/>
      <c r="Q10" s="624"/>
      <c r="R10" s="622"/>
      <c r="S10" s="104">
        <f>SUM(G10:R10)</f>
        <v>0.83299999999999996</v>
      </c>
      <c r="T10" s="640"/>
      <c r="U10" s="641"/>
      <c r="V10" s="632"/>
    </row>
    <row r="11" spans="1:31" ht="24.95" customHeight="1" x14ac:dyDescent="0.25">
      <c r="A11" s="631"/>
      <c r="B11" s="631"/>
      <c r="C11" s="632" t="s">
        <v>620</v>
      </c>
      <c r="D11" s="633" t="s">
        <v>724</v>
      </c>
      <c r="E11" s="633"/>
      <c r="F11" s="66" t="s">
        <v>19</v>
      </c>
      <c r="G11" s="624">
        <v>0.1666</v>
      </c>
      <c r="H11" s="624">
        <v>0.1666</v>
      </c>
      <c r="I11" s="624">
        <v>0.1666</v>
      </c>
      <c r="J11" s="624">
        <v>0.1666</v>
      </c>
      <c r="K11" s="623">
        <v>0.1666</v>
      </c>
      <c r="L11" s="624">
        <v>0.16700000000000001</v>
      </c>
      <c r="M11" s="624"/>
      <c r="N11" s="624"/>
      <c r="O11" s="624"/>
      <c r="P11" s="624"/>
      <c r="Q11" s="624"/>
      <c r="R11" s="624"/>
      <c r="S11" s="68">
        <f t="shared" ref="S11:S58" si="0">SUM(G11:R11)</f>
        <v>1</v>
      </c>
      <c r="T11" s="640"/>
      <c r="U11" s="641">
        <v>0.03</v>
      </c>
      <c r="V11" s="642" t="s">
        <v>793</v>
      </c>
    </row>
    <row r="12" spans="1:31" ht="24.95" customHeight="1" x14ac:dyDescent="0.25">
      <c r="A12" s="631"/>
      <c r="B12" s="631"/>
      <c r="C12" s="632"/>
      <c r="D12" s="633"/>
      <c r="E12" s="633"/>
      <c r="F12" s="67" t="s">
        <v>20</v>
      </c>
      <c r="G12" s="622">
        <v>0.1666</v>
      </c>
      <c r="H12" s="622">
        <v>0.1666</v>
      </c>
      <c r="I12" s="622">
        <v>0.1666</v>
      </c>
      <c r="J12" s="622">
        <v>0.1666</v>
      </c>
      <c r="K12" s="623">
        <v>0.1666</v>
      </c>
      <c r="L12" s="624"/>
      <c r="M12" s="624"/>
      <c r="N12" s="624"/>
      <c r="O12" s="624"/>
      <c r="P12" s="624"/>
      <c r="Q12" s="624"/>
      <c r="R12" s="622"/>
      <c r="S12" s="107">
        <f t="shared" si="0"/>
        <v>0.83299999999999996</v>
      </c>
      <c r="T12" s="640"/>
      <c r="U12" s="641"/>
      <c r="V12" s="629"/>
      <c r="Y12" s="8"/>
      <c r="Z12" s="8"/>
      <c r="AA12" s="8"/>
      <c r="AB12" s="8"/>
      <c r="AC12" s="8"/>
      <c r="AD12" s="8"/>
      <c r="AE12" s="8"/>
    </row>
    <row r="13" spans="1:31" ht="24.95" customHeight="1" x14ac:dyDescent="0.25">
      <c r="A13" s="631"/>
      <c r="B13" s="631"/>
      <c r="C13" s="632" t="s">
        <v>744</v>
      </c>
      <c r="D13" s="633" t="s">
        <v>724</v>
      </c>
      <c r="E13" s="633"/>
      <c r="F13" s="66" t="s">
        <v>19</v>
      </c>
      <c r="G13" s="624">
        <v>0.1111111111111111</v>
      </c>
      <c r="H13" s="624">
        <v>0.1111111111111111</v>
      </c>
      <c r="I13" s="624">
        <v>0.22222222222222221</v>
      </c>
      <c r="J13" s="624">
        <v>0.1111111111111111</v>
      </c>
      <c r="K13" s="623">
        <v>0.1111111111111111</v>
      </c>
      <c r="L13" s="624">
        <v>0.33339999999999997</v>
      </c>
      <c r="M13" s="624"/>
      <c r="N13" s="624"/>
      <c r="O13" s="624"/>
      <c r="P13" s="624"/>
      <c r="Q13" s="624"/>
      <c r="R13" s="624"/>
      <c r="S13" s="68">
        <f>SUM(G13:R13)</f>
        <v>1.0000666666666667</v>
      </c>
      <c r="T13" s="640"/>
      <c r="U13" s="641">
        <v>0.03</v>
      </c>
      <c r="V13" s="632" t="s">
        <v>794</v>
      </c>
      <c r="Y13" s="8"/>
      <c r="Z13" s="8"/>
      <c r="AA13" s="8"/>
      <c r="AB13" s="8"/>
      <c r="AC13" s="8"/>
      <c r="AD13" s="8"/>
      <c r="AE13" s="8"/>
    </row>
    <row r="14" spans="1:31" ht="24.95" customHeight="1" x14ac:dyDescent="0.25">
      <c r="A14" s="631"/>
      <c r="B14" s="631"/>
      <c r="C14" s="632"/>
      <c r="D14" s="633"/>
      <c r="E14" s="633"/>
      <c r="F14" s="67" t="s">
        <v>20</v>
      </c>
      <c r="G14" s="622">
        <v>0.1111</v>
      </c>
      <c r="H14" s="622">
        <v>0.1111</v>
      </c>
      <c r="I14" s="622">
        <v>0.22220000000000001</v>
      </c>
      <c r="J14" s="622">
        <v>0.1111</v>
      </c>
      <c r="K14" s="623">
        <v>0.1111111111111111</v>
      </c>
      <c r="L14" s="624"/>
      <c r="M14" s="624"/>
      <c r="N14" s="624"/>
      <c r="O14" s="624"/>
      <c r="P14" s="624"/>
      <c r="Q14" s="624"/>
      <c r="R14" s="622"/>
      <c r="S14" s="107">
        <f t="shared" si="0"/>
        <v>0.66661111111111104</v>
      </c>
      <c r="T14" s="640"/>
      <c r="U14" s="641"/>
      <c r="V14" s="632"/>
      <c r="Y14" s="8"/>
      <c r="Z14" s="8"/>
      <c r="AA14" s="8"/>
      <c r="AB14" s="8"/>
      <c r="AC14" s="8"/>
      <c r="AD14" s="8"/>
      <c r="AE14" s="8"/>
    </row>
    <row r="15" spans="1:31" ht="24.95" customHeight="1" x14ac:dyDescent="0.25">
      <c r="A15" s="631"/>
      <c r="B15" s="631"/>
      <c r="C15" s="632" t="s">
        <v>621</v>
      </c>
      <c r="D15" s="633" t="s">
        <v>724</v>
      </c>
      <c r="E15" s="633"/>
      <c r="F15" s="66" t="s">
        <v>19</v>
      </c>
      <c r="G15" s="624">
        <v>0.1666</v>
      </c>
      <c r="H15" s="624">
        <v>0.1666</v>
      </c>
      <c r="I15" s="624">
        <v>0.1666</v>
      </c>
      <c r="J15" s="624">
        <v>0.1666</v>
      </c>
      <c r="K15" s="621">
        <v>0.1666</v>
      </c>
      <c r="L15" s="620">
        <v>0.16700000000000001</v>
      </c>
      <c r="M15" s="624"/>
      <c r="N15" s="624"/>
      <c r="O15" s="624"/>
      <c r="P15" s="624"/>
      <c r="Q15" s="624"/>
      <c r="R15" s="624"/>
      <c r="S15" s="68">
        <f t="shared" si="0"/>
        <v>1</v>
      </c>
      <c r="T15" s="640"/>
      <c r="U15" s="641">
        <v>0.02</v>
      </c>
      <c r="V15" s="632" t="s">
        <v>795</v>
      </c>
    </row>
    <row r="16" spans="1:31" ht="24.95" customHeight="1" x14ac:dyDescent="0.25">
      <c r="A16" s="631"/>
      <c r="B16" s="631"/>
      <c r="C16" s="632"/>
      <c r="D16" s="633"/>
      <c r="E16" s="633"/>
      <c r="F16" s="67" t="s">
        <v>20</v>
      </c>
      <c r="G16" s="622">
        <v>0.1666</v>
      </c>
      <c r="H16" s="622">
        <v>0.1666</v>
      </c>
      <c r="I16" s="622">
        <v>0.1666</v>
      </c>
      <c r="J16" s="622">
        <v>0.1666</v>
      </c>
      <c r="K16" s="621">
        <v>0.1666</v>
      </c>
      <c r="L16" s="624"/>
      <c r="M16" s="624"/>
      <c r="N16" s="624"/>
      <c r="O16" s="624"/>
      <c r="P16" s="624"/>
      <c r="Q16" s="624"/>
      <c r="R16" s="622"/>
      <c r="S16" s="107">
        <f t="shared" si="0"/>
        <v>0.83299999999999996</v>
      </c>
      <c r="T16" s="640"/>
      <c r="U16" s="641"/>
      <c r="V16" s="632"/>
    </row>
    <row r="17" spans="1:22" ht="24.95" customHeight="1" x14ac:dyDescent="0.25">
      <c r="A17" s="631"/>
      <c r="B17" s="631"/>
      <c r="C17" s="634" t="s">
        <v>622</v>
      </c>
      <c r="D17" s="633" t="s">
        <v>724</v>
      </c>
      <c r="E17" s="633"/>
      <c r="F17" s="66" t="s">
        <v>19</v>
      </c>
      <c r="G17" s="624">
        <v>0.1666</v>
      </c>
      <c r="H17" s="624">
        <v>0.1666</v>
      </c>
      <c r="I17" s="624">
        <v>0.1666</v>
      </c>
      <c r="J17" s="624">
        <v>0.1666</v>
      </c>
      <c r="K17" s="621">
        <v>0.1666</v>
      </c>
      <c r="L17" s="620">
        <v>0.16700000000000001</v>
      </c>
      <c r="M17" s="624"/>
      <c r="N17" s="624"/>
      <c r="O17" s="624"/>
      <c r="P17" s="624"/>
      <c r="Q17" s="624"/>
      <c r="R17" s="624"/>
      <c r="S17" s="68">
        <f t="shared" si="0"/>
        <v>1</v>
      </c>
      <c r="T17" s="640"/>
      <c r="U17" s="641">
        <v>0.02</v>
      </c>
      <c r="V17" s="632" t="s">
        <v>796</v>
      </c>
    </row>
    <row r="18" spans="1:22" ht="24.95" customHeight="1" x14ac:dyDescent="0.25">
      <c r="A18" s="631"/>
      <c r="B18" s="631"/>
      <c r="C18" s="634"/>
      <c r="D18" s="633"/>
      <c r="E18" s="633"/>
      <c r="F18" s="67" t="s">
        <v>20</v>
      </c>
      <c r="G18" s="622">
        <v>0.1666</v>
      </c>
      <c r="H18" s="622">
        <v>0.1666</v>
      </c>
      <c r="I18" s="622">
        <v>0.1666</v>
      </c>
      <c r="J18" s="622">
        <v>0.1666</v>
      </c>
      <c r="K18" s="621">
        <v>0.1666</v>
      </c>
      <c r="L18" s="624"/>
      <c r="M18" s="624"/>
      <c r="N18" s="624"/>
      <c r="O18" s="624"/>
      <c r="P18" s="624"/>
      <c r="Q18" s="624"/>
      <c r="R18" s="622"/>
      <c r="S18" s="107">
        <f t="shared" si="0"/>
        <v>0.83299999999999996</v>
      </c>
      <c r="T18" s="640"/>
      <c r="U18" s="641"/>
      <c r="V18" s="632"/>
    </row>
    <row r="19" spans="1:22" ht="24.95" customHeight="1" x14ac:dyDescent="0.25">
      <c r="A19" s="631" t="s">
        <v>292</v>
      </c>
      <c r="B19" s="631" t="s">
        <v>600</v>
      </c>
      <c r="C19" s="634" t="s">
        <v>725</v>
      </c>
      <c r="D19" s="633" t="s">
        <v>724</v>
      </c>
      <c r="E19" s="633"/>
      <c r="F19" s="66" t="s">
        <v>19</v>
      </c>
      <c r="G19" s="624">
        <v>0.1</v>
      </c>
      <c r="H19" s="624">
        <v>0.1</v>
      </c>
      <c r="I19" s="624">
        <v>0.2</v>
      </c>
      <c r="J19" s="624">
        <v>0.1</v>
      </c>
      <c r="K19" s="623">
        <v>0.3</v>
      </c>
      <c r="L19" s="624">
        <v>0.2</v>
      </c>
      <c r="M19" s="624"/>
      <c r="N19" s="624"/>
      <c r="O19" s="624"/>
      <c r="P19" s="624"/>
      <c r="Q19" s="624"/>
      <c r="R19" s="624"/>
      <c r="S19" s="68">
        <f t="shared" si="0"/>
        <v>1</v>
      </c>
      <c r="T19" s="640">
        <v>0.15</v>
      </c>
      <c r="U19" s="641">
        <v>0.05</v>
      </c>
      <c r="V19" s="643" t="s">
        <v>797</v>
      </c>
    </row>
    <row r="20" spans="1:22" ht="24.95" customHeight="1" x14ac:dyDescent="0.25">
      <c r="A20" s="631"/>
      <c r="B20" s="631"/>
      <c r="C20" s="634"/>
      <c r="D20" s="633"/>
      <c r="E20" s="633"/>
      <c r="F20" s="67" t="s">
        <v>20</v>
      </c>
      <c r="G20" s="622">
        <v>0.1</v>
      </c>
      <c r="H20" s="622">
        <v>0.1</v>
      </c>
      <c r="I20" s="622">
        <v>0.2</v>
      </c>
      <c r="J20" s="622">
        <v>0.1</v>
      </c>
      <c r="K20" s="623">
        <v>0.3</v>
      </c>
      <c r="L20" s="624"/>
      <c r="M20" s="624"/>
      <c r="N20" s="624"/>
      <c r="O20" s="624"/>
      <c r="P20" s="624"/>
      <c r="Q20" s="624"/>
      <c r="R20" s="622"/>
      <c r="S20" s="107">
        <f t="shared" si="0"/>
        <v>0.8</v>
      </c>
      <c r="T20" s="640"/>
      <c r="U20" s="641"/>
      <c r="V20" s="644"/>
    </row>
    <row r="21" spans="1:22" ht="24.95" customHeight="1" x14ac:dyDescent="0.25">
      <c r="A21" s="631"/>
      <c r="B21" s="631"/>
      <c r="C21" s="634" t="s">
        <v>726</v>
      </c>
      <c r="D21" s="633" t="s">
        <v>724</v>
      </c>
      <c r="E21" s="633"/>
      <c r="F21" s="66" t="s">
        <v>19</v>
      </c>
      <c r="G21" s="624">
        <v>0.05</v>
      </c>
      <c r="H21" s="624">
        <v>0.05</v>
      </c>
      <c r="I21" s="624">
        <v>0.2</v>
      </c>
      <c r="J21" s="624">
        <v>0.2</v>
      </c>
      <c r="K21" s="623">
        <v>0.25</v>
      </c>
      <c r="L21" s="624">
        <v>0.25</v>
      </c>
      <c r="M21" s="624"/>
      <c r="N21" s="624"/>
      <c r="O21" s="624"/>
      <c r="P21" s="624"/>
      <c r="Q21" s="624"/>
      <c r="R21" s="624"/>
      <c r="S21" s="68">
        <f t="shared" si="0"/>
        <v>1</v>
      </c>
      <c r="T21" s="640"/>
      <c r="U21" s="641">
        <v>0.05</v>
      </c>
      <c r="V21" s="645" t="s">
        <v>798</v>
      </c>
    </row>
    <row r="22" spans="1:22" ht="24.95" customHeight="1" x14ac:dyDescent="0.25">
      <c r="A22" s="631"/>
      <c r="B22" s="631"/>
      <c r="C22" s="634"/>
      <c r="D22" s="633"/>
      <c r="E22" s="633"/>
      <c r="F22" s="67" t="s">
        <v>20</v>
      </c>
      <c r="G22" s="622">
        <v>0.05</v>
      </c>
      <c r="H22" s="622">
        <v>0.05</v>
      </c>
      <c r="I22" s="622">
        <v>0.2</v>
      </c>
      <c r="J22" s="622">
        <v>0.2</v>
      </c>
      <c r="K22" s="623">
        <v>0.25</v>
      </c>
      <c r="L22" s="624"/>
      <c r="M22" s="624"/>
      <c r="N22" s="624"/>
      <c r="O22" s="624"/>
      <c r="P22" s="624"/>
      <c r="Q22" s="624"/>
      <c r="R22" s="622"/>
      <c r="S22" s="107">
        <f t="shared" si="0"/>
        <v>0.75</v>
      </c>
      <c r="T22" s="640"/>
      <c r="U22" s="641"/>
      <c r="V22" s="646"/>
    </row>
    <row r="23" spans="1:22" ht="24.95" customHeight="1" x14ac:dyDescent="0.25">
      <c r="A23" s="631"/>
      <c r="B23" s="631"/>
      <c r="C23" s="634" t="s">
        <v>766</v>
      </c>
      <c r="D23" s="633" t="s">
        <v>724</v>
      </c>
      <c r="E23" s="633"/>
      <c r="F23" s="66" t="s">
        <v>19</v>
      </c>
      <c r="G23" s="624">
        <v>0.2</v>
      </c>
      <c r="H23" s="624">
        <v>0.3</v>
      </c>
      <c r="I23" s="624">
        <v>0.1</v>
      </c>
      <c r="J23" s="624">
        <v>0.2</v>
      </c>
      <c r="K23" s="623">
        <v>0.1</v>
      </c>
      <c r="L23" s="624">
        <v>0.1</v>
      </c>
      <c r="M23" s="624"/>
      <c r="N23" s="624"/>
      <c r="O23" s="624"/>
      <c r="P23" s="624"/>
      <c r="Q23" s="624"/>
      <c r="R23" s="624"/>
      <c r="S23" s="68">
        <f t="shared" si="0"/>
        <v>1</v>
      </c>
      <c r="T23" s="640"/>
      <c r="U23" s="641">
        <v>0.05</v>
      </c>
      <c r="V23" s="644" t="s">
        <v>799</v>
      </c>
    </row>
    <row r="24" spans="1:22" ht="24.95" customHeight="1" x14ac:dyDescent="0.25">
      <c r="A24" s="631"/>
      <c r="B24" s="631"/>
      <c r="C24" s="634"/>
      <c r="D24" s="633"/>
      <c r="E24" s="633"/>
      <c r="F24" s="67" t="s">
        <v>20</v>
      </c>
      <c r="G24" s="622">
        <v>0.2</v>
      </c>
      <c r="H24" s="622">
        <v>0.3</v>
      </c>
      <c r="I24" s="622">
        <v>0.1</v>
      </c>
      <c r="J24" s="622">
        <v>0.2</v>
      </c>
      <c r="K24" s="623">
        <v>0.1</v>
      </c>
      <c r="L24" s="624"/>
      <c r="M24" s="624"/>
      <c r="N24" s="624"/>
      <c r="O24" s="624"/>
      <c r="P24" s="624"/>
      <c r="Q24" s="624"/>
      <c r="R24" s="622"/>
      <c r="S24" s="107">
        <f t="shared" si="0"/>
        <v>0.9</v>
      </c>
      <c r="T24" s="640"/>
      <c r="U24" s="641"/>
      <c r="V24" s="647"/>
    </row>
    <row r="25" spans="1:22" ht="24.95" customHeight="1" x14ac:dyDescent="0.25">
      <c r="A25" s="631" t="s">
        <v>292</v>
      </c>
      <c r="B25" s="631" t="s">
        <v>324</v>
      </c>
      <c r="C25" s="634" t="s">
        <v>741</v>
      </c>
      <c r="D25" s="633" t="s">
        <v>724</v>
      </c>
      <c r="E25" s="633"/>
      <c r="F25" s="66" t="s">
        <v>19</v>
      </c>
      <c r="G25" s="624">
        <v>8.8999999999999996E-2</v>
      </c>
      <c r="H25" s="624">
        <v>8.8999999999999996E-2</v>
      </c>
      <c r="I25" s="624">
        <v>8.8999999999999996E-2</v>
      </c>
      <c r="J25" s="624">
        <v>8.8999999999999996E-2</v>
      </c>
      <c r="K25" s="623">
        <v>3.3799999999999997E-2</v>
      </c>
      <c r="L25" s="624">
        <v>0.61019999999999996</v>
      </c>
      <c r="M25" s="624"/>
      <c r="N25" s="624"/>
      <c r="O25" s="624"/>
      <c r="P25" s="624"/>
      <c r="Q25" s="624"/>
      <c r="R25" s="624"/>
      <c r="S25" s="68">
        <f t="shared" si="0"/>
        <v>1</v>
      </c>
      <c r="T25" s="640">
        <v>0.15</v>
      </c>
      <c r="U25" s="641">
        <v>4.4999999999999998E-2</v>
      </c>
      <c r="V25" s="644" t="s">
        <v>800</v>
      </c>
    </row>
    <row r="26" spans="1:22" ht="24.95" customHeight="1" x14ac:dyDescent="0.25">
      <c r="A26" s="631"/>
      <c r="B26" s="631"/>
      <c r="C26" s="634"/>
      <c r="D26" s="633"/>
      <c r="E26" s="633"/>
      <c r="F26" s="67" t="s">
        <v>20</v>
      </c>
      <c r="G26" s="622">
        <v>8.8999999999999996E-2</v>
      </c>
      <c r="H26" s="622">
        <v>1.1900000000000001E-2</v>
      </c>
      <c r="I26" s="622">
        <v>6.6299999999999998E-2</v>
      </c>
      <c r="J26" s="622">
        <v>6.4799999999999996E-2</v>
      </c>
      <c r="K26" s="623">
        <v>5.04E-2</v>
      </c>
      <c r="L26" s="624"/>
      <c r="M26" s="624"/>
      <c r="N26" s="624"/>
      <c r="O26" s="624"/>
      <c r="P26" s="624"/>
      <c r="Q26" s="624"/>
      <c r="R26" s="622"/>
      <c r="S26" s="107">
        <f t="shared" si="0"/>
        <v>0.28239999999999998</v>
      </c>
      <c r="T26" s="640"/>
      <c r="U26" s="641"/>
      <c r="V26" s="647"/>
    </row>
    <row r="27" spans="1:22" ht="24.95" customHeight="1" x14ac:dyDescent="0.25">
      <c r="A27" s="631"/>
      <c r="B27" s="631"/>
      <c r="C27" s="634" t="s">
        <v>727</v>
      </c>
      <c r="D27" s="633" t="s">
        <v>724</v>
      </c>
      <c r="E27" s="633"/>
      <c r="F27" s="66" t="s">
        <v>19</v>
      </c>
      <c r="G27" s="624">
        <v>0.17</v>
      </c>
      <c r="H27" s="624">
        <v>0.17</v>
      </c>
      <c r="I27" s="624">
        <v>0.17</v>
      </c>
      <c r="J27" s="624">
        <v>0.17</v>
      </c>
      <c r="K27" s="623">
        <v>0.15</v>
      </c>
      <c r="L27" s="624">
        <v>0.17</v>
      </c>
      <c r="M27" s="624"/>
      <c r="N27" s="624"/>
      <c r="O27" s="624"/>
      <c r="P27" s="624"/>
      <c r="Q27" s="624"/>
      <c r="R27" s="624"/>
      <c r="S27" s="68">
        <f t="shared" si="0"/>
        <v>1</v>
      </c>
      <c r="T27" s="640"/>
      <c r="U27" s="641">
        <v>0.03</v>
      </c>
      <c r="V27" s="632" t="s">
        <v>801</v>
      </c>
    </row>
    <row r="28" spans="1:22" ht="24.95" customHeight="1" x14ac:dyDescent="0.25">
      <c r="A28" s="631"/>
      <c r="B28" s="631"/>
      <c r="C28" s="634"/>
      <c r="D28" s="633"/>
      <c r="E28" s="633"/>
      <c r="F28" s="67" t="s">
        <v>20</v>
      </c>
      <c r="G28" s="622">
        <v>0.17</v>
      </c>
      <c r="H28" s="622">
        <v>0.17</v>
      </c>
      <c r="I28" s="622">
        <v>0.17</v>
      </c>
      <c r="J28" s="622">
        <v>0.17</v>
      </c>
      <c r="K28" s="623">
        <v>0.15</v>
      </c>
      <c r="L28" s="624"/>
      <c r="M28" s="624"/>
      <c r="N28" s="624"/>
      <c r="O28" s="624"/>
      <c r="P28" s="624"/>
      <c r="Q28" s="624"/>
      <c r="R28" s="622"/>
      <c r="S28" s="107">
        <f t="shared" si="0"/>
        <v>0.83000000000000007</v>
      </c>
      <c r="T28" s="640"/>
      <c r="U28" s="641"/>
      <c r="V28" s="632"/>
    </row>
    <row r="29" spans="1:22" ht="51" customHeight="1" x14ac:dyDescent="0.25">
      <c r="A29" s="631"/>
      <c r="B29" s="631"/>
      <c r="C29" s="634" t="s">
        <v>623</v>
      </c>
      <c r="D29" s="633" t="s">
        <v>724</v>
      </c>
      <c r="E29" s="633"/>
      <c r="F29" s="66" t="s">
        <v>19</v>
      </c>
      <c r="G29" s="624">
        <v>6.3399999999999998E-2</v>
      </c>
      <c r="H29" s="624">
        <v>0.25869999999999999</v>
      </c>
      <c r="I29" s="624">
        <v>0.25869999999999999</v>
      </c>
      <c r="J29" s="624">
        <v>0.25869999999999999</v>
      </c>
      <c r="K29" s="623">
        <v>6.3399999999999998E-2</v>
      </c>
      <c r="L29" s="624">
        <v>9.7100000000000006E-2</v>
      </c>
      <c r="M29" s="624"/>
      <c r="N29" s="624"/>
      <c r="O29" s="624"/>
      <c r="P29" s="624"/>
      <c r="Q29" s="624"/>
      <c r="R29" s="624"/>
      <c r="S29" s="68">
        <f t="shared" si="0"/>
        <v>0.99999999999999989</v>
      </c>
      <c r="T29" s="640"/>
      <c r="U29" s="641">
        <v>4.4999999999999998E-2</v>
      </c>
      <c r="V29" s="632" t="s">
        <v>818</v>
      </c>
    </row>
    <row r="30" spans="1:22" ht="43.5" customHeight="1" x14ac:dyDescent="0.25">
      <c r="A30" s="631"/>
      <c r="B30" s="631"/>
      <c r="C30" s="634"/>
      <c r="D30" s="633"/>
      <c r="E30" s="633"/>
      <c r="F30" s="67" t="s">
        <v>20</v>
      </c>
      <c r="G30" s="622">
        <v>6.3399999999999998E-2</v>
      </c>
      <c r="H30" s="622">
        <v>0.30059999999999998</v>
      </c>
      <c r="I30" s="622">
        <v>0.28010000000000002</v>
      </c>
      <c r="J30" s="622">
        <v>0.29430000000000001</v>
      </c>
      <c r="K30" s="622">
        <v>6.1600000000000002E-2</v>
      </c>
      <c r="L30" s="624"/>
      <c r="M30" s="624"/>
      <c r="N30" s="624"/>
      <c r="O30" s="624"/>
      <c r="P30" s="624"/>
      <c r="Q30" s="624"/>
      <c r="R30" s="622"/>
      <c r="S30" s="107">
        <f t="shared" si="0"/>
        <v>1</v>
      </c>
      <c r="T30" s="640"/>
      <c r="U30" s="641"/>
      <c r="V30" s="632"/>
    </row>
    <row r="31" spans="1:22" ht="24.95" customHeight="1" x14ac:dyDescent="0.25">
      <c r="A31" s="631"/>
      <c r="B31" s="631"/>
      <c r="C31" s="634" t="s">
        <v>624</v>
      </c>
      <c r="D31" s="633" t="s">
        <v>724</v>
      </c>
      <c r="E31" s="633"/>
      <c r="F31" s="66" t="s">
        <v>19</v>
      </c>
      <c r="G31" s="624">
        <v>0.1</v>
      </c>
      <c r="H31" s="624">
        <v>0.1</v>
      </c>
      <c r="I31" s="624">
        <v>0.2</v>
      </c>
      <c r="J31" s="624">
        <v>0.2</v>
      </c>
      <c r="K31" s="623">
        <v>0.2</v>
      </c>
      <c r="L31" s="624">
        <v>0.2</v>
      </c>
      <c r="M31" s="624"/>
      <c r="N31" s="624"/>
      <c r="O31" s="624"/>
      <c r="P31" s="624"/>
      <c r="Q31" s="624"/>
      <c r="R31" s="624"/>
      <c r="S31" s="68">
        <f t="shared" si="0"/>
        <v>1</v>
      </c>
      <c r="T31" s="640"/>
      <c r="U31" s="641">
        <v>0.03</v>
      </c>
      <c r="V31" s="648" t="s">
        <v>802</v>
      </c>
    </row>
    <row r="32" spans="1:22" ht="24.95" customHeight="1" x14ac:dyDescent="0.25">
      <c r="A32" s="631"/>
      <c r="B32" s="631"/>
      <c r="C32" s="634"/>
      <c r="D32" s="633"/>
      <c r="E32" s="633"/>
      <c r="F32" s="67" t="s">
        <v>20</v>
      </c>
      <c r="G32" s="622">
        <v>0.1</v>
      </c>
      <c r="H32" s="622">
        <v>6.6699999999999995E-2</v>
      </c>
      <c r="I32" s="622">
        <v>0.1</v>
      </c>
      <c r="J32" s="622">
        <v>0.23330000000000001</v>
      </c>
      <c r="K32" s="623">
        <v>0.23330000000000001</v>
      </c>
      <c r="L32" s="624"/>
      <c r="M32" s="624"/>
      <c r="N32" s="624"/>
      <c r="O32" s="624"/>
      <c r="P32" s="624"/>
      <c r="Q32" s="624"/>
      <c r="R32" s="622"/>
      <c r="S32" s="107">
        <f t="shared" si="0"/>
        <v>0.73330000000000006</v>
      </c>
      <c r="T32" s="640"/>
      <c r="U32" s="641"/>
      <c r="V32" s="649"/>
    </row>
    <row r="33" spans="1:22" ht="24.95" customHeight="1" x14ac:dyDescent="0.25">
      <c r="A33" s="631" t="s">
        <v>305</v>
      </c>
      <c r="B33" s="635" t="s">
        <v>316</v>
      </c>
      <c r="C33" s="634" t="s">
        <v>625</v>
      </c>
      <c r="D33" s="633" t="s">
        <v>724</v>
      </c>
      <c r="E33" s="633"/>
      <c r="F33" s="66" t="s">
        <v>19</v>
      </c>
      <c r="G33" s="624">
        <v>5.6599999999999998E-2</v>
      </c>
      <c r="H33" s="624">
        <v>0.1384</v>
      </c>
      <c r="I33" s="624">
        <v>0.1384</v>
      </c>
      <c r="J33" s="624">
        <v>0.24529999999999999</v>
      </c>
      <c r="K33" s="623">
        <v>0.37109999999999999</v>
      </c>
      <c r="L33" s="624">
        <v>5.0200000000000002E-2</v>
      </c>
      <c r="M33" s="624"/>
      <c r="N33" s="624"/>
      <c r="O33" s="624"/>
      <c r="P33" s="624"/>
      <c r="Q33" s="624"/>
      <c r="R33" s="624"/>
      <c r="S33" s="68">
        <f t="shared" si="0"/>
        <v>1</v>
      </c>
      <c r="T33" s="640">
        <v>0.15</v>
      </c>
      <c r="U33" s="641">
        <v>0.1275</v>
      </c>
      <c r="V33" s="648" t="s">
        <v>803</v>
      </c>
    </row>
    <row r="34" spans="1:22" ht="24.95" customHeight="1" x14ac:dyDescent="0.25">
      <c r="A34" s="631"/>
      <c r="B34" s="635"/>
      <c r="C34" s="634"/>
      <c r="D34" s="633"/>
      <c r="E34" s="633"/>
      <c r="F34" s="67" t="s">
        <v>20</v>
      </c>
      <c r="G34" s="622">
        <v>5.6599999999999998E-2</v>
      </c>
      <c r="H34" s="622">
        <v>7.1999999999999998E-3</v>
      </c>
      <c r="I34" s="622">
        <v>3.5400000000000001E-2</v>
      </c>
      <c r="J34" s="622">
        <v>1.54E-2</v>
      </c>
      <c r="K34" s="623">
        <v>9.4600000000000004E-2</v>
      </c>
      <c r="L34" s="624"/>
      <c r="M34" s="624"/>
      <c r="N34" s="624"/>
      <c r="O34" s="624"/>
      <c r="P34" s="624"/>
      <c r="Q34" s="624"/>
      <c r="R34" s="622"/>
      <c r="S34" s="107">
        <f t="shared" si="0"/>
        <v>0.2092</v>
      </c>
      <c r="T34" s="640"/>
      <c r="U34" s="641"/>
      <c r="V34" s="649"/>
    </row>
    <row r="35" spans="1:22" ht="24.95" customHeight="1" x14ac:dyDescent="0.25">
      <c r="A35" s="631"/>
      <c r="B35" s="635"/>
      <c r="C35" s="634" t="s">
        <v>626</v>
      </c>
      <c r="D35" s="633" t="s">
        <v>724</v>
      </c>
      <c r="E35" s="633"/>
      <c r="F35" s="66" t="s">
        <v>19</v>
      </c>
      <c r="G35" s="624">
        <v>1.0526315789473684E-2</v>
      </c>
      <c r="H35" s="624">
        <v>6.3157894736842107E-2</v>
      </c>
      <c r="I35" s="624">
        <v>0.11578947368421053</v>
      </c>
      <c r="J35" s="624">
        <v>6.3157894736842107E-2</v>
      </c>
      <c r="K35" s="623">
        <v>0.73684210526315785</v>
      </c>
      <c r="L35" s="624">
        <v>1.0526315789473684E-2</v>
      </c>
      <c r="M35" s="624"/>
      <c r="N35" s="624"/>
      <c r="O35" s="624"/>
      <c r="P35" s="624"/>
      <c r="Q35" s="624"/>
      <c r="R35" s="624"/>
      <c r="S35" s="68">
        <f t="shared" si="0"/>
        <v>1</v>
      </c>
      <c r="T35" s="640"/>
      <c r="U35" s="641">
        <v>2.2499999999999999E-2</v>
      </c>
      <c r="V35" s="650" t="s">
        <v>804</v>
      </c>
    </row>
    <row r="36" spans="1:22" ht="24.95" customHeight="1" x14ac:dyDescent="0.25">
      <c r="A36" s="631"/>
      <c r="B36" s="635"/>
      <c r="C36" s="634"/>
      <c r="D36" s="633"/>
      <c r="E36" s="633"/>
      <c r="F36" s="67" t="s">
        <v>20</v>
      </c>
      <c r="G36" s="622">
        <v>1.0500000000000001E-2</v>
      </c>
      <c r="H36" s="622">
        <v>0.1056</v>
      </c>
      <c r="I36" s="622">
        <v>0.01</v>
      </c>
      <c r="J36" s="622">
        <v>1.4999999999999999E-2</v>
      </c>
      <c r="K36" s="623">
        <v>5.0000000000000001E-3</v>
      </c>
      <c r="L36" s="624"/>
      <c r="M36" s="624"/>
      <c r="N36" s="624"/>
      <c r="O36" s="624"/>
      <c r="P36" s="624"/>
      <c r="Q36" s="624"/>
      <c r="R36" s="622"/>
      <c r="S36" s="107">
        <f t="shared" si="0"/>
        <v>0.14610000000000001</v>
      </c>
      <c r="T36" s="640"/>
      <c r="U36" s="641"/>
      <c r="V36" s="651"/>
    </row>
    <row r="37" spans="1:22" ht="24.95" customHeight="1" x14ac:dyDescent="0.25">
      <c r="A37" s="636" t="s">
        <v>306</v>
      </c>
      <c r="B37" s="636" t="s">
        <v>307</v>
      </c>
      <c r="C37" s="634" t="s">
        <v>627</v>
      </c>
      <c r="D37" s="633" t="s">
        <v>724</v>
      </c>
      <c r="E37" s="633"/>
      <c r="F37" s="66" t="s">
        <v>19</v>
      </c>
      <c r="G37" s="624">
        <v>0.1666</v>
      </c>
      <c r="H37" s="624">
        <v>0.1666</v>
      </c>
      <c r="I37" s="624">
        <v>0.1666</v>
      </c>
      <c r="J37" s="624">
        <v>0.1666</v>
      </c>
      <c r="K37" s="623">
        <v>0.1666</v>
      </c>
      <c r="L37" s="624">
        <v>0.16700000000000001</v>
      </c>
      <c r="M37" s="624"/>
      <c r="N37" s="624"/>
      <c r="O37" s="624"/>
      <c r="P37" s="624"/>
      <c r="Q37" s="624"/>
      <c r="R37" s="624"/>
      <c r="S37" s="68">
        <f t="shared" si="0"/>
        <v>1</v>
      </c>
      <c r="T37" s="652">
        <v>0.15</v>
      </c>
      <c r="U37" s="641">
        <v>0.08</v>
      </c>
      <c r="V37" s="632" t="s">
        <v>805</v>
      </c>
    </row>
    <row r="38" spans="1:22" ht="24.95" customHeight="1" x14ac:dyDescent="0.25">
      <c r="A38" s="637"/>
      <c r="B38" s="637"/>
      <c r="C38" s="634"/>
      <c r="D38" s="633"/>
      <c r="E38" s="633"/>
      <c r="F38" s="67" t="s">
        <v>20</v>
      </c>
      <c r="G38" s="622">
        <v>0.1666</v>
      </c>
      <c r="H38" s="622">
        <v>0.1666</v>
      </c>
      <c r="I38" s="622">
        <v>0.1666</v>
      </c>
      <c r="J38" s="622">
        <v>0.1666</v>
      </c>
      <c r="K38" s="623">
        <v>0.1666</v>
      </c>
      <c r="L38" s="624"/>
      <c r="M38" s="624"/>
      <c r="N38" s="624"/>
      <c r="O38" s="624"/>
      <c r="P38" s="624"/>
      <c r="Q38" s="624"/>
      <c r="R38" s="622"/>
      <c r="S38" s="107">
        <f t="shared" si="0"/>
        <v>0.83299999999999996</v>
      </c>
      <c r="T38" s="653"/>
      <c r="U38" s="641"/>
      <c r="V38" s="654"/>
    </row>
    <row r="39" spans="1:22" ht="24.95" customHeight="1" x14ac:dyDescent="0.25">
      <c r="A39" s="637"/>
      <c r="B39" s="637"/>
      <c r="C39" s="634" t="s">
        <v>731</v>
      </c>
      <c r="D39" s="633" t="s">
        <v>724</v>
      </c>
      <c r="E39" s="633"/>
      <c r="F39" s="66" t="s">
        <v>19</v>
      </c>
      <c r="G39" s="624">
        <v>0.1666</v>
      </c>
      <c r="H39" s="624">
        <v>0.1666</v>
      </c>
      <c r="I39" s="624">
        <v>0.1666</v>
      </c>
      <c r="J39" s="624">
        <v>0.1666</v>
      </c>
      <c r="K39" s="623">
        <v>0.1666</v>
      </c>
      <c r="L39" s="624">
        <v>0.16700000000000001</v>
      </c>
      <c r="M39" s="624"/>
      <c r="N39" s="624"/>
      <c r="O39" s="624"/>
      <c r="P39" s="624"/>
      <c r="Q39" s="624"/>
      <c r="R39" s="624"/>
      <c r="S39" s="68">
        <f t="shared" si="0"/>
        <v>1</v>
      </c>
      <c r="T39" s="653"/>
      <c r="U39" s="641">
        <v>7.0000000000000007E-2</v>
      </c>
      <c r="V39" s="632" t="s">
        <v>806</v>
      </c>
    </row>
    <row r="40" spans="1:22" ht="24.95" customHeight="1" x14ac:dyDescent="0.25">
      <c r="A40" s="637"/>
      <c r="B40" s="637"/>
      <c r="C40" s="634"/>
      <c r="D40" s="633"/>
      <c r="E40" s="633"/>
      <c r="F40" s="67" t="s">
        <v>20</v>
      </c>
      <c r="G40" s="622">
        <v>0.1666</v>
      </c>
      <c r="H40" s="622">
        <v>0.1666</v>
      </c>
      <c r="I40" s="622">
        <v>0.1666</v>
      </c>
      <c r="J40" s="625">
        <v>0.1666</v>
      </c>
      <c r="K40" s="623">
        <v>0.1666</v>
      </c>
      <c r="L40" s="624"/>
      <c r="M40" s="624"/>
      <c r="N40" s="624"/>
      <c r="O40" s="624"/>
      <c r="P40" s="624"/>
      <c r="Q40" s="624"/>
      <c r="R40" s="622"/>
      <c r="S40" s="107">
        <f t="shared" si="0"/>
        <v>0.83299999999999996</v>
      </c>
      <c r="T40" s="653"/>
      <c r="U40" s="641"/>
      <c r="V40" s="632"/>
    </row>
    <row r="41" spans="1:22" ht="24.95" customHeight="1" x14ac:dyDescent="0.25">
      <c r="A41" s="631" t="s">
        <v>295</v>
      </c>
      <c r="B41" s="631" t="s">
        <v>781</v>
      </c>
      <c r="C41" s="634" t="s">
        <v>732</v>
      </c>
      <c r="D41" s="633" t="s">
        <v>724</v>
      </c>
      <c r="E41" s="633"/>
      <c r="F41" s="66" t="s">
        <v>19</v>
      </c>
      <c r="G41" s="620">
        <v>0.1666</v>
      </c>
      <c r="H41" s="620">
        <v>0.1666</v>
      </c>
      <c r="I41" s="620">
        <v>0.1666</v>
      </c>
      <c r="J41" s="620">
        <v>0.1666</v>
      </c>
      <c r="K41" s="621">
        <v>0.1666</v>
      </c>
      <c r="L41" s="620">
        <v>0.16700000000000001</v>
      </c>
      <c r="M41" s="624"/>
      <c r="N41" s="624"/>
      <c r="O41" s="624"/>
      <c r="P41" s="624"/>
      <c r="Q41" s="624"/>
      <c r="R41" s="624"/>
      <c r="S41" s="68">
        <f t="shared" si="0"/>
        <v>1</v>
      </c>
      <c r="T41" s="640">
        <v>0.15</v>
      </c>
      <c r="U41" s="641">
        <v>4.4999999999999998E-2</v>
      </c>
      <c r="V41" s="632" t="s">
        <v>807</v>
      </c>
    </row>
    <row r="42" spans="1:22" ht="24.95" customHeight="1" x14ac:dyDescent="0.25">
      <c r="A42" s="631"/>
      <c r="B42" s="631"/>
      <c r="C42" s="634"/>
      <c r="D42" s="633"/>
      <c r="E42" s="633"/>
      <c r="F42" s="67" t="s">
        <v>20</v>
      </c>
      <c r="G42" s="622">
        <v>0.16600000000000001</v>
      </c>
      <c r="H42" s="622">
        <v>0.1666</v>
      </c>
      <c r="I42" s="622">
        <v>0.1666</v>
      </c>
      <c r="J42" s="622">
        <v>0.1666</v>
      </c>
      <c r="K42" s="623">
        <v>0.1666</v>
      </c>
      <c r="L42" s="624"/>
      <c r="M42" s="624"/>
      <c r="N42" s="624"/>
      <c r="O42" s="624"/>
      <c r="P42" s="624"/>
      <c r="Q42" s="624"/>
      <c r="R42" s="622"/>
      <c r="S42" s="107">
        <f t="shared" si="0"/>
        <v>0.83239999999999992</v>
      </c>
      <c r="T42" s="640"/>
      <c r="U42" s="641"/>
      <c r="V42" s="632"/>
    </row>
    <row r="43" spans="1:22" ht="24.95" customHeight="1" x14ac:dyDescent="0.25">
      <c r="A43" s="631"/>
      <c r="B43" s="631"/>
      <c r="C43" s="634" t="s">
        <v>733</v>
      </c>
      <c r="D43" s="633" t="s">
        <v>724</v>
      </c>
      <c r="E43" s="633"/>
      <c r="F43" s="66" t="s">
        <v>19</v>
      </c>
      <c r="G43" s="624">
        <v>0.20830000000000001</v>
      </c>
      <c r="H43" s="624">
        <v>0.20830000000000001</v>
      </c>
      <c r="I43" s="624">
        <v>0.20830000000000001</v>
      </c>
      <c r="J43" s="624">
        <v>0.20830000000000001</v>
      </c>
      <c r="K43" s="623">
        <v>0</v>
      </c>
      <c r="L43" s="624">
        <v>0.1668</v>
      </c>
      <c r="M43" s="624"/>
      <c r="N43" s="624"/>
      <c r="O43" s="624"/>
      <c r="P43" s="624"/>
      <c r="Q43" s="624"/>
      <c r="R43" s="624"/>
      <c r="S43" s="68">
        <f>SUM(G43:R43)</f>
        <v>1</v>
      </c>
      <c r="T43" s="640"/>
      <c r="U43" s="641">
        <v>0.03</v>
      </c>
      <c r="V43" s="632" t="s">
        <v>808</v>
      </c>
    </row>
    <row r="44" spans="1:22" ht="24.95" customHeight="1" x14ac:dyDescent="0.25">
      <c r="A44" s="631"/>
      <c r="B44" s="631"/>
      <c r="C44" s="634"/>
      <c r="D44" s="633"/>
      <c r="E44" s="633"/>
      <c r="F44" s="67" t="s">
        <v>20</v>
      </c>
      <c r="G44" s="622">
        <v>0.20830000000000001</v>
      </c>
      <c r="H44" s="622">
        <v>0.20830000000000001</v>
      </c>
      <c r="I44" s="622">
        <v>0.20830000000000001</v>
      </c>
      <c r="J44" s="622">
        <v>0.20830000000000001</v>
      </c>
      <c r="K44" s="623">
        <v>0</v>
      </c>
      <c r="L44" s="624"/>
      <c r="M44" s="624"/>
      <c r="N44" s="624"/>
      <c r="O44" s="624"/>
      <c r="P44" s="624"/>
      <c r="Q44" s="624"/>
      <c r="R44" s="622"/>
      <c r="S44" s="104">
        <f t="shared" si="0"/>
        <v>0.83320000000000005</v>
      </c>
      <c r="T44" s="640"/>
      <c r="U44" s="641"/>
      <c r="V44" s="632"/>
    </row>
    <row r="45" spans="1:22" ht="24.95" customHeight="1" x14ac:dyDescent="0.25">
      <c r="A45" s="631"/>
      <c r="B45" s="631"/>
      <c r="C45" s="634" t="s">
        <v>734</v>
      </c>
      <c r="D45" s="633" t="s">
        <v>724</v>
      </c>
      <c r="E45" s="633"/>
      <c r="F45" s="66" t="s">
        <v>19</v>
      </c>
      <c r="G45" s="620">
        <v>0.1666</v>
      </c>
      <c r="H45" s="620">
        <v>0.1666</v>
      </c>
      <c r="I45" s="620">
        <v>0.1666</v>
      </c>
      <c r="J45" s="620">
        <v>0.1666</v>
      </c>
      <c r="K45" s="621">
        <v>0.1666</v>
      </c>
      <c r="L45" s="620">
        <v>0.16700000000000001</v>
      </c>
      <c r="M45" s="624"/>
      <c r="N45" s="624"/>
      <c r="O45" s="624"/>
      <c r="P45" s="624"/>
      <c r="Q45" s="624"/>
      <c r="R45" s="624"/>
      <c r="S45" s="68">
        <f t="shared" si="0"/>
        <v>1</v>
      </c>
      <c r="T45" s="640"/>
      <c r="U45" s="641">
        <v>0.03</v>
      </c>
      <c r="V45" s="632" t="s">
        <v>809</v>
      </c>
    </row>
    <row r="46" spans="1:22" ht="24.95" customHeight="1" x14ac:dyDescent="0.25">
      <c r="A46" s="631"/>
      <c r="B46" s="631"/>
      <c r="C46" s="634"/>
      <c r="D46" s="633"/>
      <c r="E46" s="633"/>
      <c r="F46" s="67" t="s">
        <v>20</v>
      </c>
      <c r="G46" s="622">
        <v>0.1666</v>
      </c>
      <c r="H46" s="622">
        <v>0.1666</v>
      </c>
      <c r="I46" s="622">
        <v>0.1666</v>
      </c>
      <c r="J46" s="622">
        <v>0.1666</v>
      </c>
      <c r="K46" s="623">
        <v>0.1666</v>
      </c>
      <c r="L46" s="624"/>
      <c r="M46" s="624"/>
      <c r="N46" s="624"/>
      <c r="O46" s="624"/>
      <c r="P46" s="624"/>
      <c r="Q46" s="624"/>
      <c r="R46" s="622"/>
      <c r="S46" s="104">
        <f t="shared" si="0"/>
        <v>0.83299999999999996</v>
      </c>
      <c r="T46" s="640"/>
      <c r="U46" s="641"/>
      <c r="V46" s="632"/>
    </row>
    <row r="47" spans="1:22" ht="24.95" customHeight="1" x14ac:dyDescent="0.25">
      <c r="A47" s="631"/>
      <c r="B47" s="631"/>
      <c r="C47" s="634" t="s">
        <v>735</v>
      </c>
      <c r="D47" s="633" t="s">
        <v>724</v>
      </c>
      <c r="E47" s="633"/>
      <c r="F47" s="66" t="s">
        <v>19</v>
      </c>
      <c r="G47" s="620">
        <v>0.1666</v>
      </c>
      <c r="H47" s="620">
        <v>0.1666</v>
      </c>
      <c r="I47" s="620">
        <v>0.1666</v>
      </c>
      <c r="J47" s="620">
        <v>0.1666</v>
      </c>
      <c r="K47" s="621">
        <v>0.1666</v>
      </c>
      <c r="L47" s="620">
        <v>0.16700000000000001</v>
      </c>
      <c r="M47" s="624"/>
      <c r="N47" s="624"/>
      <c r="O47" s="624"/>
      <c r="P47" s="624"/>
      <c r="Q47" s="624"/>
      <c r="R47" s="624"/>
      <c r="S47" s="68">
        <f t="shared" si="0"/>
        <v>1</v>
      </c>
      <c r="T47" s="640"/>
      <c r="U47" s="641">
        <v>1.4999999999999999E-2</v>
      </c>
      <c r="V47" s="632" t="s">
        <v>810</v>
      </c>
    </row>
    <row r="48" spans="1:22" ht="24.95" customHeight="1" x14ac:dyDescent="0.25">
      <c r="A48" s="631"/>
      <c r="B48" s="631"/>
      <c r="C48" s="634"/>
      <c r="D48" s="633"/>
      <c r="E48" s="633"/>
      <c r="F48" s="67" t="s">
        <v>20</v>
      </c>
      <c r="G48" s="622">
        <v>0.1666</v>
      </c>
      <c r="H48" s="622">
        <v>0.1666</v>
      </c>
      <c r="I48" s="622">
        <v>0.1666</v>
      </c>
      <c r="J48" s="622">
        <v>0.1666</v>
      </c>
      <c r="K48" s="623">
        <v>0.1666</v>
      </c>
      <c r="L48" s="624"/>
      <c r="M48" s="624"/>
      <c r="N48" s="624"/>
      <c r="O48" s="624"/>
      <c r="P48" s="624"/>
      <c r="Q48" s="624"/>
      <c r="R48" s="622"/>
      <c r="S48" s="104">
        <f t="shared" si="0"/>
        <v>0.83299999999999996</v>
      </c>
      <c r="T48" s="640"/>
      <c r="U48" s="641"/>
      <c r="V48" s="632"/>
    </row>
    <row r="49" spans="1:22" ht="24.95" customHeight="1" x14ac:dyDescent="0.25">
      <c r="A49" s="631"/>
      <c r="B49" s="631"/>
      <c r="C49" s="634" t="s">
        <v>736</v>
      </c>
      <c r="D49" s="633" t="s">
        <v>724</v>
      </c>
      <c r="E49" s="633"/>
      <c r="F49" s="66" t="s">
        <v>19</v>
      </c>
      <c r="G49" s="624">
        <v>1.9599999999999999E-2</v>
      </c>
      <c r="H49" s="624">
        <v>0.13730000000000001</v>
      </c>
      <c r="I49" s="624">
        <v>0.13730000000000001</v>
      </c>
      <c r="J49" s="624">
        <v>0.23530000000000001</v>
      </c>
      <c r="K49" s="623">
        <v>0.23530000000000001</v>
      </c>
      <c r="L49" s="624">
        <v>0.23519999999999999</v>
      </c>
      <c r="M49" s="624"/>
      <c r="N49" s="624"/>
      <c r="O49" s="624"/>
      <c r="P49" s="624"/>
      <c r="Q49" s="624"/>
      <c r="R49" s="624"/>
      <c r="S49" s="68">
        <f>SUM(G49:R49)</f>
        <v>1.0000000000000002</v>
      </c>
      <c r="T49" s="640"/>
      <c r="U49" s="641">
        <v>0.03</v>
      </c>
      <c r="V49" s="632" t="s">
        <v>811</v>
      </c>
    </row>
    <row r="50" spans="1:22" ht="24.95" customHeight="1" x14ac:dyDescent="0.25">
      <c r="A50" s="631"/>
      <c r="B50" s="631"/>
      <c r="C50" s="634"/>
      <c r="D50" s="633"/>
      <c r="E50" s="633"/>
      <c r="F50" s="67" t="s">
        <v>20</v>
      </c>
      <c r="G50" s="622">
        <v>1.9599999999999999E-2</v>
      </c>
      <c r="H50" s="622">
        <v>0.13719999999999999</v>
      </c>
      <c r="I50" s="622">
        <v>0.35289999999999999</v>
      </c>
      <c r="J50" s="622">
        <v>1.9800000000000002E-2</v>
      </c>
      <c r="K50" s="623">
        <v>0.23530000000000001</v>
      </c>
      <c r="L50" s="624"/>
      <c r="M50" s="624"/>
      <c r="N50" s="624"/>
      <c r="O50" s="624"/>
      <c r="P50" s="624"/>
      <c r="Q50" s="624"/>
      <c r="R50" s="622"/>
      <c r="S50" s="104">
        <f t="shared" si="0"/>
        <v>0.76480000000000015</v>
      </c>
      <c r="T50" s="640"/>
      <c r="U50" s="641"/>
      <c r="V50" s="632"/>
    </row>
    <row r="51" spans="1:22" ht="24.95" customHeight="1" x14ac:dyDescent="0.25">
      <c r="A51" s="631" t="s">
        <v>295</v>
      </c>
      <c r="B51" s="631" t="s">
        <v>308</v>
      </c>
      <c r="C51" s="634" t="s">
        <v>737</v>
      </c>
      <c r="D51" s="633" t="s">
        <v>724</v>
      </c>
      <c r="E51" s="633"/>
      <c r="F51" s="66" t="s">
        <v>19</v>
      </c>
      <c r="G51" s="620">
        <v>0.1</v>
      </c>
      <c r="H51" s="620">
        <v>0.2</v>
      </c>
      <c r="I51" s="620">
        <v>0.2</v>
      </c>
      <c r="J51" s="620">
        <v>0.2</v>
      </c>
      <c r="K51" s="621">
        <v>0.3</v>
      </c>
      <c r="L51" s="620">
        <v>0</v>
      </c>
      <c r="M51" s="624"/>
      <c r="N51" s="624"/>
      <c r="O51" s="624"/>
      <c r="P51" s="624"/>
      <c r="Q51" s="624"/>
      <c r="R51" s="624"/>
      <c r="S51" s="68">
        <f t="shared" si="0"/>
        <v>1</v>
      </c>
      <c r="T51" s="640">
        <v>0.1</v>
      </c>
      <c r="U51" s="641">
        <v>3.7499999999999999E-2</v>
      </c>
      <c r="V51" s="655" t="s">
        <v>812</v>
      </c>
    </row>
    <row r="52" spans="1:22" ht="24.95" customHeight="1" x14ac:dyDescent="0.25">
      <c r="A52" s="631"/>
      <c r="B52" s="631"/>
      <c r="C52" s="634"/>
      <c r="D52" s="633"/>
      <c r="E52" s="633"/>
      <c r="F52" s="67" t="s">
        <v>20</v>
      </c>
      <c r="G52" s="622">
        <v>0.1</v>
      </c>
      <c r="H52" s="622">
        <v>0.2</v>
      </c>
      <c r="I52" s="622">
        <v>0.2</v>
      </c>
      <c r="J52" s="622">
        <v>0.2</v>
      </c>
      <c r="K52" s="623">
        <v>0.3</v>
      </c>
      <c r="L52" s="624"/>
      <c r="M52" s="624"/>
      <c r="N52" s="624"/>
      <c r="O52" s="624"/>
      <c r="P52" s="624"/>
      <c r="Q52" s="624"/>
      <c r="R52" s="622"/>
      <c r="S52" s="107">
        <f t="shared" si="0"/>
        <v>1</v>
      </c>
      <c r="T52" s="640"/>
      <c r="U52" s="641"/>
      <c r="V52" s="655"/>
    </row>
    <row r="53" spans="1:22" ht="24.95" customHeight="1" x14ac:dyDescent="0.25">
      <c r="A53" s="631"/>
      <c r="B53" s="631"/>
      <c r="C53" s="634" t="s">
        <v>738</v>
      </c>
      <c r="D53" s="633" t="s">
        <v>724</v>
      </c>
      <c r="E53" s="633"/>
      <c r="F53" s="66" t="s">
        <v>19</v>
      </c>
      <c r="G53" s="620">
        <v>0.1</v>
      </c>
      <c r="H53" s="620">
        <v>0.22</v>
      </c>
      <c r="I53" s="620">
        <v>0.22</v>
      </c>
      <c r="J53" s="620">
        <v>0.22</v>
      </c>
      <c r="K53" s="621">
        <v>0.24</v>
      </c>
      <c r="L53" s="620">
        <v>0</v>
      </c>
      <c r="M53" s="624"/>
      <c r="N53" s="624"/>
      <c r="O53" s="624"/>
      <c r="P53" s="624"/>
      <c r="Q53" s="624"/>
      <c r="R53" s="624"/>
      <c r="S53" s="68">
        <f t="shared" si="0"/>
        <v>1</v>
      </c>
      <c r="T53" s="640"/>
      <c r="U53" s="641">
        <v>1.2500000000000001E-2</v>
      </c>
      <c r="V53" s="655" t="s">
        <v>813</v>
      </c>
    </row>
    <row r="54" spans="1:22" ht="24.95" customHeight="1" x14ac:dyDescent="0.25">
      <c r="A54" s="631"/>
      <c r="B54" s="631"/>
      <c r="C54" s="634"/>
      <c r="D54" s="633"/>
      <c r="E54" s="633"/>
      <c r="F54" s="67" t="s">
        <v>20</v>
      </c>
      <c r="G54" s="622">
        <v>0.1</v>
      </c>
      <c r="H54" s="622">
        <v>0.22</v>
      </c>
      <c r="I54" s="622">
        <v>0.22</v>
      </c>
      <c r="J54" s="622">
        <v>0.22</v>
      </c>
      <c r="K54" s="623">
        <v>0.24</v>
      </c>
      <c r="L54" s="624"/>
      <c r="M54" s="624"/>
      <c r="N54" s="624"/>
      <c r="O54" s="624"/>
      <c r="P54" s="624"/>
      <c r="Q54" s="624"/>
      <c r="R54" s="622"/>
      <c r="S54" s="104">
        <f t="shared" si="0"/>
        <v>1</v>
      </c>
      <c r="T54" s="640"/>
      <c r="U54" s="641"/>
      <c r="V54" s="655"/>
    </row>
    <row r="55" spans="1:22" ht="24.95" customHeight="1" x14ac:dyDescent="0.25">
      <c r="A55" s="631"/>
      <c r="B55" s="631"/>
      <c r="C55" s="634" t="s">
        <v>739</v>
      </c>
      <c r="D55" s="633" t="s">
        <v>724</v>
      </c>
      <c r="E55" s="633"/>
      <c r="F55" s="66" t="s">
        <v>19</v>
      </c>
      <c r="G55" s="620">
        <v>0.1</v>
      </c>
      <c r="H55" s="620">
        <v>0.22</v>
      </c>
      <c r="I55" s="620">
        <v>0.22</v>
      </c>
      <c r="J55" s="620">
        <v>0.22</v>
      </c>
      <c r="K55" s="621">
        <v>0.24</v>
      </c>
      <c r="L55" s="620">
        <v>0</v>
      </c>
      <c r="M55" s="624"/>
      <c r="N55" s="624"/>
      <c r="O55" s="624"/>
      <c r="P55" s="624"/>
      <c r="Q55" s="624"/>
      <c r="R55" s="624"/>
      <c r="S55" s="68">
        <f t="shared" si="0"/>
        <v>1</v>
      </c>
      <c r="T55" s="640"/>
      <c r="U55" s="641">
        <v>3.7499999999999999E-2</v>
      </c>
      <c r="V55" s="655" t="s">
        <v>814</v>
      </c>
    </row>
    <row r="56" spans="1:22" ht="24.95" customHeight="1" x14ac:dyDescent="0.25">
      <c r="A56" s="631"/>
      <c r="B56" s="631"/>
      <c r="C56" s="634"/>
      <c r="D56" s="633"/>
      <c r="E56" s="633"/>
      <c r="F56" s="67" t="s">
        <v>20</v>
      </c>
      <c r="G56" s="622">
        <v>0.1</v>
      </c>
      <c r="H56" s="622">
        <v>0.22</v>
      </c>
      <c r="I56" s="622">
        <v>0.22</v>
      </c>
      <c r="J56" s="622">
        <v>0.22</v>
      </c>
      <c r="K56" s="623">
        <v>0.24</v>
      </c>
      <c r="L56" s="624"/>
      <c r="M56" s="624"/>
      <c r="N56" s="624"/>
      <c r="O56" s="624"/>
      <c r="P56" s="624"/>
      <c r="Q56" s="624"/>
      <c r="R56" s="622"/>
      <c r="S56" s="104">
        <f t="shared" si="0"/>
        <v>1</v>
      </c>
      <c r="T56" s="640"/>
      <c r="U56" s="641"/>
      <c r="V56" s="655"/>
    </row>
    <row r="57" spans="1:22" ht="24.95" customHeight="1" x14ac:dyDescent="0.25">
      <c r="A57" s="631"/>
      <c r="B57" s="631"/>
      <c r="C57" s="634" t="s">
        <v>740</v>
      </c>
      <c r="D57" s="633" t="s">
        <v>724</v>
      </c>
      <c r="E57" s="633"/>
      <c r="F57" s="66" t="s">
        <v>19</v>
      </c>
      <c r="G57" s="620">
        <v>0</v>
      </c>
      <c r="H57" s="620">
        <v>0.25</v>
      </c>
      <c r="I57" s="620">
        <v>0.25</v>
      </c>
      <c r="J57" s="620">
        <v>0.25</v>
      </c>
      <c r="K57" s="621">
        <v>0.25</v>
      </c>
      <c r="L57" s="620">
        <v>0</v>
      </c>
      <c r="M57" s="626"/>
      <c r="N57" s="626"/>
      <c r="O57" s="626"/>
      <c r="P57" s="626"/>
      <c r="Q57" s="626"/>
      <c r="R57" s="627"/>
      <c r="S57" s="68">
        <f>SUM(G57:R57)</f>
        <v>1</v>
      </c>
      <c r="T57" s="640"/>
      <c r="U57" s="641">
        <v>1.2500000000000001E-2</v>
      </c>
      <c r="V57" s="656" t="s">
        <v>815</v>
      </c>
    </row>
    <row r="58" spans="1:22" ht="24.95" customHeight="1" x14ac:dyDescent="0.25">
      <c r="A58" s="631"/>
      <c r="B58" s="631"/>
      <c r="C58" s="634"/>
      <c r="D58" s="633"/>
      <c r="E58" s="633"/>
      <c r="F58" s="67" t="s">
        <v>20</v>
      </c>
      <c r="G58" s="622">
        <v>0</v>
      </c>
      <c r="H58" s="622">
        <v>0</v>
      </c>
      <c r="I58" s="622">
        <v>0.25</v>
      </c>
      <c r="J58" s="622">
        <v>0.25</v>
      </c>
      <c r="K58" s="623">
        <v>0.25</v>
      </c>
      <c r="L58" s="624"/>
      <c r="M58" s="624"/>
      <c r="N58" s="624"/>
      <c r="O58" s="624"/>
      <c r="P58" s="624"/>
      <c r="Q58" s="624"/>
      <c r="R58" s="622"/>
      <c r="S58" s="104">
        <f t="shared" si="0"/>
        <v>0.75</v>
      </c>
      <c r="T58" s="640"/>
      <c r="U58" s="641"/>
      <c r="V58" s="657"/>
    </row>
    <row r="59" spans="1:22" ht="24.95" customHeight="1" x14ac:dyDescent="0.25">
      <c r="A59" s="466" t="s">
        <v>654</v>
      </c>
      <c r="B59" s="466"/>
      <c r="C59" s="466"/>
      <c r="D59" s="466"/>
      <c r="E59" s="466"/>
      <c r="F59" s="466"/>
      <c r="G59" s="466"/>
      <c r="H59" s="466"/>
      <c r="I59" s="466"/>
      <c r="J59" s="466"/>
      <c r="K59" s="466"/>
      <c r="L59" s="466"/>
      <c r="M59" s="466"/>
      <c r="N59" s="466"/>
      <c r="O59" s="466"/>
      <c r="P59" s="466"/>
      <c r="Q59" s="466"/>
      <c r="R59" s="466"/>
      <c r="S59" s="466"/>
      <c r="T59" s="69">
        <f>SUM(T9:T58)</f>
        <v>1</v>
      </c>
      <c r="U59" s="69">
        <f>SUM(U9:U58)</f>
        <v>0.99999999999999978</v>
      </c>
      <c r="V59" s="70"/>
    </row>
    <row r="60" spans="1:22" ht="24.95" customHeight="1" x14ac:dyDescent="0.25">
      <c r="A60" s="8"/>
      <c r="B60" s="8"/>
      <c r="C60" s="11"/>
      <c r="D60" s="8"/>
      <c r="E60" s="8"/>
      <c r="F60" s="8"/>
      <c r="G60" s="8"/>
      <c r="H60" s="8"/>
      <c r="I60" s="8"/>
      <c r="J60" s="8"/>
      <c r="K60" s="8"/>
      <c r="L60" s="8"/>
      <c r="M60" s="8"/>
      <c r="N60" s="9"/>
      <c r="O60" s="9"/>
      <c r="P60" s="9"/>
      <c r="Q60" s="9"/>
      <c r="R60" s="9"/>
      <c r="S60" s="9"/>
      <c r="T60" s="9"/>
      <c r="U60" s="23"/>
    </row>
    <row r="61" spans="1:22" ht="24.95" customHeight="1" x14ac:dyDescent="0.25">
      <c r="A61" s="8"/>
      <c r="B61" s="22"/>
      <c r="C61" s="20"/>
      <c r="D61" s="20"/>
      <c r="E61" s="21"/>
      <c r="F61" s="38"/>
      <c r="G61" s="21"/>
      <c r="H61" s="21"/>
      <c r="I61" s="21"/>
      <c r="J61" s="21"/>
      <c r="K61" s="21"/>
      <c r="L61" s="21"/>
      <c r="M61" s="21"/>
      <c r="N61" s="21"/>
      <c r="O61" s="21"/>
      <c r="P61" s="21"/>
      <c r="Q61" s="9"/>
      <c r="R61" s="9"/>
      <c r="S61" s="9"/>
      <c r="T61" s="9"/>
      <c r="U61" s="9"/>
    </row>
    <row r="62" spans="1:22" ht="24.95" customHeight="1" x14ac:dyDescent="0.25">
      <c r="B62" s="105" t="s">
        <v>35</v>
      </c>
      <c r="C62" s="379" t="s">
        <v>36</v>
      </c>
      <c r="D62" s="380"/>
      <c r="E62" s="380"/>
      <c r="F62" s="380"/>
      <c r="G62" s="380"/>
      <c r="H62" s="380"/>
      <c r="I62" s="381"/>
      <c r="J62" s="382" t="s">
        <v>37</v>
      </c>
      <c r="K62" s="383"/>
      <c r="L62" s="383"/>
      <c r="M62" s="383"/>
      <c r="N62" s="383"/>
      <c r="O62" s="383"/>
      <c r="P62" s="384"/>
      <c r="Q62" s="9"/>
      <c r="R62" s="9"/>
      <c r="S62" s="9"/>
      <c r="T62" s="9"/>
      <c r="U62" s="9"/>
    </row>
    <row r="63" spans="1:22" ht="24.95" customHeight="1" x14ac:dyDescent="0.25">
      <c r="A63" s="8"/>
      <c r="B63" s="106">
        <v>13</v>
      </c>
      <c r="C63" s="376" t="s">
        <v>89</v>
      </c>
      <c r="D63" s="376"/>
      <c r="E63" s="376"/>
      <c r="F63" s="376"/>
      <c r="G63" s="376"/>
      <c r="H63" s="376"/>
      <c r="I63" s="376"/>
      <c r="J63" s="376" t="s">
        <v>80</v>
      </c>
      <c r="K63" s="376"/>
      <c r="L63" s="376"/>
      <c r="M63" s="376"/>
      <c r="N63" s="376"/>
      <c r="O63" s="376"/>
      <c r="P63" s="376"/>
      <c r="Q63" s="9"/>
      <c r="R63" s="9"/>
      <c r="S63" s="9"/>
      <c r="T63" s="9"/>
      <c r="U63" s="9"/>
    </row>
    <row r="64" spans="1:22" ht="24.95" customHeight="1" x14ac:dyDescent="0.25">
      <c r="A64" s="8"/>
      <c r="B64" s="106">
        <v>14</v>
      </c>
      <c r="C64" s="376" t="s">
        <v>247</v>
      </c>
      <c r="D64" s="376"/>
      <c r="E64" s="376"/>
      <c r="F64" s="376"/>
      <c r="G64" s="376"/>
      <c r="H64" s="376"/>
      <c r="I64" s="376"/>
      <c r="J64" s="377" t="s">
        <v>508</v>
      </c>
      <c r="K64" s="377"/>
      <c r="L64" s="377"/>
      <c r="M64" s="377"/>
      <c r="N64" s="377"/>
      <c r="O64" s="377"/>
      <c r="P64" s="377"/>
      <c r="Q64" s="9"/>
      <c r="R64" s="9"/>
      <c r="S64" s="9"/>
      <c r="T64" s="9"/>
      <c r="U64" s="9"/>
    </row>
    <row r="65" spans="1:21" ht="24.95" customHeight="1" x14ac:dyDescent="0.25">
      <c r="A65" s="8"/>
      <c r="B65" s="8"/>
      <c r="C65" s="11"/>
      <c r="D65" s="8"/>
      <c r="E65" s="8"/>
      <c r="F65" s="8"/>
      <c r="G65" s="8"/>
      <c r="H65" s="8"/>
      <c r="I65" s="8"/>
      <c r="J65" s="8"/>
      <c r="K65" s="8"/>
      <c r="L65" s="8"/>
      <c r="M65" s="8"/>
      <c r="N65" s="9"/>
      <c r="O65" s="9"/>
      <c r="P65" s="9"/>
      <c r="Q65" s="9"/>
      <c r="R65" s="9"/>
      <c r="S65" s="9"/>
      <c r="T65" s="9"/>
      <c r="U65" s="9"/>
    </row>
    <row r="66" spans="1:21" ht="24.95" customHeight="1" x14ac:dyDescent="0.25">
      <c r="A66" s="8"/>
      <c r="B66" s="8"/>
      <c r="C66" s="11"/>
      <c r="D66" s="8"/>
      <c r="E66" s="8"/>
      <c r="F66" s="8"/>
      <c r="G66" s="8"/>
      <c r="H66" s="8"/>
      <c r="I66" s="8"/>
      <c r="J66" s="8"/>
      <c r="K66" s="8"/>
      <c r="L66" s="8"/>
      <c r="M66" s="8"/>
      <c r="N66" s="9"/>
      <c r="O66" s="9"/>
      <c r="P66" s="9"/>
      <c r="Q66" s="9"/>
      <c r="R66" s="9"/>
      <c r="S66" s="9"/>
      <c r="T66" s="9"/>
      <c r="U66" s="9"/>
    </row>
    <row r="67" spans="1:21" ht="24.95" customHeight="1" x14ac:dyDescent="0.25">
      <c r="A67" s="8"/>
      <c r="B67" s="8"/>
      <c r="C67" s="11"/>
      <c r="D67" s="8"/>
      <c r="E67" s="8"/>
      <c r="F67" s="8"/>
      <c r="G67" s="8"/>
      <c r="H67" s="8"/>
      <c r="I67" s="8"/>
      <c r="J67" s="8"/>
      <c r="K67" s="8"/>
      <c r="L67" s="8"/>
      <c r="M67" s="8"/>
      <c r="N67" s="9"/>
      <c r="O67" s="9"/>
      <c r="P67" s="9"/>
      <c r="Q67" s="9"/>
      <c r="R67" s="9"/>
      <c r="S67" s="9"/>
      <c r="T67" s="9"/>
      <c r="U67" s="9"/>
    </row>
    <row r="68" spans="1:21" ht="24.95" customHeight="1" x14ac:dyDescent="0.25">
      <c r="A68" s="8"/>
      <c r="B68" s="8"/>
      <c r="C68" s="11"/>
      <c r="D68" s="8"/>
      <c r="E68" s="8"/>
      <c r="F68" s="8"/>
      <c r="G68" s="8"/>
      <c r="H68" s="8"/>
      <c r="I68" s="8"/>
      <c r="J68" s="8"/>
      <c r="K68" s="8"/>
      <c r="L68" s="8"/>
      <c r="M68" s="8"/>
      <c r="N68" s="9"/>
      <c r="O68" s="9"/>
      <c r="P68" s="9"/>
      <c r="Q68" s="9"/>
      <c r="R68" s="9"/>
      <c r="S68" s="9"/>
      <c r="T68" s="9"/>
      <c r="U68" s="9"/>
    </row>
    <row r="69" spans="1:21" ht="24.95" customHeight="1" x14ac:dyDescent="0.25">
      <c r="A69" s="8"/>
      <c r="B69" s="8"/>
      <c r="C69" s="11"/>
      <c r="D69" s="8"/>
      <c r="E69" s="8"/>
      <c r="F69" s="8"/>
      <c r="G69" s="8"/>
      <c r="H69" s="8"/>
      <c r="I69" s="8"/>
      <c r="J69" s="8"/>
      <c r="K69" s="8"/>
      <c r="L69" s="8"/>
      <c r="M69" s="8"/>
      <c r="N69" s="9"/>
      <c r="O69" s="9"/>
      <c r="P69" s="9"/>
      <c r="Q69" s="9"/>
      <c r="R69" s="9"/>
      <c r="S69" s="9"/>
      <c r="T69" s="9"/>
      <c r="U69" s="9"/>
    </row>
    <row r="70" spans="1:21" ht="24.95" customHeight="1" x14ac:dyDescent="0.25">
      <c r="A70" s="8"/>
      <c r="B70" s="8"/>
      <c r="C70" s="11"/>
      <c r="D70" s="8"/>
      <c r="E70" s="8"/>
      <c r="F70" s="8"/>
      <c r="G70" s="8"/>
      <c r="H70" s="8"/>
      <c r="I70" s="8"/>
      <c r="J70" s="8"/>
      <c r="K70" s="8"/>
      <c r="L70" s="8"/>
      <c r="M70" s="8"/>
      <c r="N70" s="9"/>
      <c r="O70" s="9"/>
      <c r="P70" s="9"/>
      <c r="Q70" s="9"/>
      <c r="R70" s="9"/>
      <c r="S70" s="9"/>
      <c r="T70" s="9"/>
      <c r="U70" s="9"/>
    </row>
    <row r="71" spans="1:21" ht="24.95" customHeight="1" x14ac:dyDescent="0.25">
      <c r="A71" s="8"/>
      <c r="B71" s="8"/>
      <c r="C71" s="11"/>
      <c r="D71" s="8"/>
      <c r="E71" s="8"/>
      <c r="F71" s="8"/>
      <c r="G71" s="8"/>
      <c r="H71" s="8"/>
      <c r="I71" s="8"/>
      <c r="J71" s="8"/>
      <c r="K71" s="8"/>
      <c r="L71" s="8"/>
      <c r="M71" s="8"/>
      <c r="N71" s="9"/>
      <c r="O71" s="9"/>
      <c r="P71" s="9"/>
      <c r="Q71" s="9"/>
      <c r="R71" s="9"/>
      <c r="S71" s="9"/>
      <c r="T71" s="9"/>
      <c r="U71" s="9"/>
    </row>
    <row r="72" spans="1:21" ht="24.95" customHeight="1" x14ac:dyDescent="0.25">
      <c r="A72" s="8"/>
      <c r="B72" s="8"/>
      <c r="C72" s="11"/>
      <c r="D72" s="8"/>
      <c r="E72" s="8"/>
      <c r="F72" s="8"/>
      <c r="G72" s="8"/>
      <c r="H72" s="8"/>
      <c r="I72" s="8"/>
      <c r="J72" s="8"/>
      <c r="K72" s="8"/>
      <c r="L72" s="8"/>
      <c r="M72" s="8"/>
      <c r="N72" s="9"/>
      <c r="O72" s="9"/>
      <c r="P72" s="9"/>
      <c r="Q72" s="9"/>
      <c r="R72" s="9"/>
      <c r="S72" s="9"/>
      <c r="T72" s="9"/>
      <c r="U72" s="9"/>
    </row>
    <row r="73" spans="1:21" ht="24.95" customHeight="1" x14ac:dyDescent="0.25">
      <c r="A73" s="8"/>
      <c r="B73" s="8"/>
      <c r="C73" s="11"/>
      <c r="D73" s="8"/>
      <c r="E73" s="8"/>
      <c r="F73" s="8"/>
      <c r="G73" s="8"/>
      <c r="H73" s="8"/>
      <c r="I73" s="8"/>
      <c r="J73" s="8"/>
      <c r="K73" s="8"/>
      <c r="L73" s="8"/>
      <c r="M73" s="8"/>
      <c r="N73" s="9"/>
      <c r="O73" s="9"/>
      <c r="P73" s="9"/>
      <c r="Q73" s="9"/>
      <c r="R73" s="9"/>
      <c r="S73" s="9"/>
      <c r="T73" s="9"/>
      <c r="U73" s="9"/>
    </row>
    <row r="74" spans="1:21" ht="24.95" customHeight="1" x14ac:dyDescent="0.25">
      <c r="A74" s="8"/>
      <c r="B74" s="8"/>
      <c r="C74" s="11"/>
      <c r="D74" s="8"/>
      <c r="E74" s="8"/>
      <c r="F74" s="8"/>
      <c r="G74" s="8"/>
      <c r="H74" s="8"/>
      <c r="I74" s="8"/>
      <c r="J74" s="8"/>
      <c r="K74" s="8"/>
      <c r="L74" s="8"/>
      <c r="M74" s="8"/>
      <c r="N74" s="9"/>
      <c r="O74" s="9"/>
      <c r="P74" s="9"/>
      <c r="Q74" s="9"/>
      <c r="R74" s="9"/>
      <c r="S74" s="9"/>
      <c r="T74" s="9"/>
      <c r="U74" s="9"/>
    </row>
    <row r="75" spans="1:21" ht="24.95" customHeight="1" x14ac:dyDescent="0.25">
      <c r="A75" s="8"/>
      <c r="B75" s="8"/>
      <c r="C75" s="11"/>
      <c r="D75" s="8"/>
      <c r="E75" s="8"/>
      <c r="F75" s="8"/>
      <c r="G75" s="8"/>
      <c r="H75" s="8"/>
      <c r="I75" s="8"/>
      <c r="J75" s="8"/>
      <c r="K75" s="8"/>
      <c r="L75" s="8"/>
      <c r="M75" s="8"/>
      <c r="N75" s="9"/>
      <c r="O75" s="9"/>
      <c r="P75" s="9"/>
      <c r="Q75" s="9"/>
      <c r="R75" s="9"/>
      <c r="S75" s="9"/>
      <c r="T75" s="9"/>
      <c r="U75" s="9"/>
    </row>
    <row r="76" spans="1:21" ht="24.95" customHeight="1" x14ac:dyDescent="0.25">
      <c r="A76" s="8"/>
      <c r="B76" s="8"/>
      <c r="C76" s="11"/>
      <c r="D76" s="8"/>
      <c r="E76" s="8"/>
      <c r="F76" s="8"/>
      <c r="G76" s="8"/>
      <c r="H76" s="8"/>
      <c r="I76" s="8"/>
      <c r="J76" s="8"/>
      <c r="K76" s="8"/>
      <c r="L76" s="8"/>
      <c r="M76" s="8"/>
      <c r="N76" s="9"/>
      <c r="O76" s="9"/>
      <c r="P76" s="9"/>
      <c r="Q76" s="9"/>
      <c r="R76" s="9"/>
      <c r="S76" s="9"/>
      <c r="T76" s="9"/>
      <c r="U76" s="9"/>
    </row>
    <row r="77" spans="1:21" ht="24.95" customHeight="1" x14ac:dyDescent="0.25">
      <c r="A77" s="8"/>
      <c r="B77" s="8"/>
      <c r="C77" s="11"/>
      <c r="D77" s="8"/>
      <c r="E77" s="8"/>
      <c r="F77" s="8"/>
      <c r="G77" s="8"/>
      <c r="H77" s="8"/>
      <c r="I77" s="8"/>
      <c r="J77" s="8"/>
      <c r="K77" s="8"/>
      <c r="L77" s="8"/>
      <c r="M77" s="8"/>
      <c r="N77" s="9"/>
      <c r="O77" s="9"/>
      <c r="P77" s="9"/>
      <c r="Q77" s="9"/>
      <c r="R77" s="9"/>
      <c r="S77" s="9"/>
      <c r="T77" s="9"/>
      <c r="U77" s="9"/>
    </row>
    <row r="78" spans="1:21" ht="24.95" customHeight="1" x14ac:dyDescent="0.25">
      <c r="A78" s="8"/>
      <c r="B78" s="8"/>
      <c r="C78" s="11"/>
      <c r="D78" s="8"/>
      <c r="E78" s="8"/>
      <c r="F78" s="8"/>
      <c r="G78" s="8"/>
      <c r="H78" s="8"/>
      <c r="I78" s="8"/>
      <c r="J78" s="8"/>
      <c r="K78" s="8"/>
      <c r="L78" s="8"/>
      <c r="M78" s="8"/>
      <c r="N78" s="9"/>
      <c r="O78" s="9"/>
      <c r="P78" s="9"/>
      <c r="Q78" s="9"/>
      <c r="R78" s="9"/>
      <c r="S78" s="9"/>
      <c r="T78" s="9"/>
      <c r="U78" s="9"/>
    </row>
    <row r="79" spans="1:21" ht="24.95" customHeight="1" x14ac:dyDescent="0.25">
      <c r="A79" s="8"/>
      <c r="B79" s="8"/>
      <c r="C79" s="11"/>
      <c r="D79" s="8"/>
      <c r="E79" s="8"/>
      <c r="F79" s="8"/>
      <c r="G79" s="8"/>
      <c r="H79" s="8"/>
      <c r="I79" s="8"/>
      <c r="J79" s="8"/>
      <c r="K79" s="8"/>
      <c r="L79" s="8"/>
      <c r="M79" s="8"/>
      <c r="N79" s="9"/>
      <c r="O79" s="9"/>
      <c r="P79" s="9"/>
      <c r="Q79" s="9"/>
      <c r="R79" s="9"/>
      <c r="S79" s="9"/>
      <c r="T79" s="9"/>
      <c r="U79" s="9"/>
    </row>
    <row r="80" spans="1:21" ht="24.95" customHeight="1" x14ac:dyDescent="0.25">
      <c r="A80" s="8"/>
      <c r="B80" s="8"/>
      <c r="C80" s="11"/>
      <c r="D80" s="8"/>
      <c r="E80" s="8"/>
      <c r="F80" s="8"/>
      <c r="G80" s="8"/>
      <c r="H80" s="8"/>
      <c r="I80" s="8"/>
      <c r="J80" s="8"/>
      <c r="K80" s="8"/>
      <c r="L80" s="8"/>
      <c r="M80" s="8"/>
      <c r="N80" s="9"/>
      <c r="O80" s="9"/>
      <c r="P80" s="9"/>
      <c r="Q80" s="9"/>
      <c r="R80" s="9"/>
      <c r="S80" s="9"/>
      <c r="T80" s="9"/>
      <c r="U80" s="9"/>
    </row>
    <row r="81" spans="1:21" ht="24.95" customHeight="1" x14ac:dyDescent="0.25">
      <c r="A81" s="8"/>
      <c r="B81" s="8"/>
      <c r="C81" s="11"/>
      <c r="D81" s="8"/>
      <c r="E81" s="8"/>
      <c r="F81" s="8"/>
      <c r="G81" s="8"/>
      <c r="H81" s="8"/>
      <c r="I81" s="8"/>
      <c r="J81" s="8"/>
      <c r="K81" s="8"/>
      <c r="L81" s="8"/>
      <c r="M81" s="8"/>
      <c r="N81" s="9"/>
      <c r="O81" s="9"/>
      <c r="P81" s="9"/>
      <c r="Q81" s="9"/>
      <c r="R81" s="9"/>
      <c r="S81" s="9"/>
      <c r="T81" s="9"/>
      <c r="U81" s="9"/>
    </row>
    <row r="82" spans="1:21" ht="24.95" customHeight="1" x14ac:dyDescent="0.25">
      <c r="A82" s="8"/>
      <c r="B82" s="8"/>
      <c r="C82" s="11"/>
      <c r="D82" s="8"/>
      <c r="E82" s="8"/>
      <c r="F82" s="8"/>
      <c r="G82" s="8"/>
      <c r="H82" s="8"/>
      <c r="I82" s="8"/>
      <c r="J82" s="8"/>
      <c r="K82" s="8"/>
      <c r="L82" s="8"/>
      <c r="M82" s="8"/>
      <c r="N82" s="9"/>
      <c r="O82" s="9"/>
      <c r="P82" s="9"/>
      <c r="Q82" s="9"/>
      <c r="R82" s="9"/>
      <c r="S82" s="9"/>
      <c r="T82" s="9"/>
      <c r="U82" s="9"/>
    </row>
    <row r="83" spans="1:21" ht="24.95" customHeight="1" x14ac:dyDescent="0.25">
      <c r="A83" s="8"/>
      <c r="B83" s="8"/>
      <c r="C83" s="11"/>
      <c r="D83" s="8"/>
      <c r="E83" s="8"/>
      <c r="F83" s="8"/>
      <c r="G83" s="8"/>
      <c r="H83" s="8"/>
      <c r="I83" s="8"/>
      <c r="J83" s="8"/>
      <c r="K83" s="8"/>
      <c r="L83" s="8"/>
      <c r="M83" s="8"/>
      <c r="N83" s="9"/>
      <c r="O83" s="9"/>
      <c r="P83" s="9"/>
      <c r="Q83" s="9"/>
      <c r="R83" s="9"/>
      <c r="S83" s="9"/>
      <c r="T83" s="9"/>
      <c r="U83" s="9"/>
    </row>
    <row r="84" spans="1:21" ht="24.95" customHeight="1" x14ac:dyDescent="0.25">
      <c r="A84" s="8"/>
      <c r="B84" s="8"/>
      <c r="C84" s="11"/>
      <c r="D84" s="8"/>
      <c r="E84" s="8"/>
      <c r="F84" s="8"/>
      <c r="G84" s="8"/>
      <c r="H84" s="8"/>
      <c r="I84" s="8"/>
      <c r="J84" s="8"/>
      <c r="K84" s="8"/>
      <c r="L84" s="8"/>
      <c r="M84" s="8"/>
      <c r="N84" s="9"/>
      <c r="O84" s="9"/>
      <c r="P84" s="9"/>
      <c r="Q84" s="9"/>
      <c r="R84" s="9"/>
      <c r="S84" s="9"/>
      <c r="T84" s="9"/>
      <c r="U84" s="9"/>
    </row>
    <row r="85" spans="1:21" ht="24.95" customHeight="1" x14ac:dyDescent="0.25">
      <c r="A85" s="8"/>
      <c r="B85" s="8"/>
      <c r="C85" s="11"/>
      <c r="D85" s="8"/>
      <c r="E85" s="8"/>
      <c r="F85" s="8"/>
      <c r="G85" s="8"/>
      <c r="H85" s="8"/>
      <c r="I85" s="8"/>
      <c r="J85" s="8"/>
      <c r="K85" s="8"/>
      <c r="L85" s="8"/>
      <c r="M85" s="8"/>
      <c r="N85" s="9"/>
      <c r="O85" s="9"/>
      <c r="P85" s="9"/>
      <c r="Q85" s="9"/>
      <c r="R85" s="9"/>
      <c r="S85" s="9"/>
      <c r="T85" s="9"/>
      <c r="U85" s="9"/>
    </row>
    <row r="86" spans="1:21" ht="24.95" customHeight="1" x14ac:dyDescent="0.25">
      <c r="A86" s="8"/>
      <c r="B86" s="8"/>
      <c r="C86" s="11"/>
      <c r="D86" s="8"/>
      <c r="E86" s="8"/>
      <c r="F86" s="8"/>
      <c r="G86" s="8"/>
      <c r="H86" s="8"/>
      <c r="I86" s="8"/>
      <c r="J86" s="8"/>
      <c r="K86" s="8"/>
      <c r="L86" s="8"/>
      <c r="M86" s="8"/>
      <c r="N86" s="9"/>
      <c r="O86" s="9"/>
      <c r="P86" s="9"/>
      <c r="Q86" s="9"/>
      <c r="R86" s="9"/>
      <c r="S86" s="9"/>
      <c r="T86" s="9"/>
      <c r="U86" s="9"/>
    </row>
    <row r="87" spans="1:21" ht="24.95" customHeight="1" x14ac:dyDescent="0.25">
      <c r="A87" s="8"/>
      <c r="B87" s="8"/>
      <c r="C87" s="11"/>
      <c r="D87" s="8"/>
      <c r="E87" s="8"/>
      <c r="F87" s="8"/>
      <c r="G87" s="8"/>
      <c r="H87" s="8"/>
      <c r="I87" s="8"/>
      <c r="J87" s="8"/>
      <c r="K87" s="8"/>
      <c r="L87" s="8"/>
      <c r="M87" s="8"/>
      <c r="N87" s="9"/>
      <c r="O87" s="9"/>
      <c r="P87" s="9"/>
      <c r="Q87" s="9"/>
      <c r="R87" s="9"/>
      <c r="S87" s="9"/>
      <c r="T87" s="9"/>
      <c r="U87" s="9"/>
    </row>
    <row r="88" spans="1:21" ht="24.95" customHeight="1" x14ac:dyDescent="0.25">
      <c r="A88" s="8"/>
      <c r="B88" s="8"/>
      <c r="C88" s="11"/>
      <c r="D88" s="8"/>
      <c r="E88" s="8"/>
      <c r="F88" s="8"/>
      <c r="G88" s="8"/>
      <c r="H88" s="8"/>
      <c r="I88" s="8"/>
      <c r="J88" s="8"/>
      <c r="K88" s="8"/>
      <c r="L88" s="8"/>
      <c r="M88" s="8"/>
      <c r="N88" s="9"/>
      <c r="O88" s="9"/>
      <c r="P88" s="9"/>
      <c r="Q88" s="9"/>
      <c r="R88" s="9"/>
      <c r="S88" s="9"/>
      <c r="T88" s="9"/>
      <c r="U88" s="9"/>
    </row>
    <row r="89" spans="1:21" ht="24.95" customHeight="1" x14ac:dyDescent="0.25">
      <c r="A89" s="8"/>
      <c r="B89" s="8"/>
      <c r="C89" s="11"/>
      <c r="D89" s="8"/>
      <c r="E89" s="8"/>
      <c r="F89" s="8"/>
      <c r="G89" s="8"/>
      <c r="H89" s="8"/>
      <c r="I89" s="8"/>
      <c r="J89" s="8"/>
      <c r="K89" s="8"/>
      <c r="L89" s="8"/>
      <c r="M89" s="8"/>
      <c r="N89" s="9"/>
      <c r="O89" s="9"/>
      <c r="P89" s="9"/>
      <c r="Q89" s="9"/>
      <c r="R89" s="9"/>
      <c r="S89" s="9"/>
      <c r="T89" s="9"/>
      <c r="U89" s="9"/>
    </row>
    <row r="90" spans="1:21" ht="24.95" customHeight="1" x14ac:dyDescent="0.25">
      <c r="A90" s="8"/>
      <c r="B90" s="8"/>
      <c r="C90" s="11"/>
      <c r="D90" s="8"/>
      <c r="E90" s="8"/>
      <c r="F90" s="8"/>
      <c r="G90" s="8"/>
      <c r="H90" s="8"/>
      <c r="I90" s="8"/>
      <c r="J90" s="8"/>
      <c r="K90" s="8"/>
      <c r="L90" s="8"/>
      <c r="M90" s="8"/>
      <c r="N90" s="9"/>
      <c r="O90" s="9"/>
      <c r="P90" s="9"/>
      <c r="Q90" s="9"/>
      <c r="R90" s="9"/>
      <c r="S90" s="9"/>
      <c r="T90" s="9"/>
      <c r="U90" s="9"/>
    </row>
    <row r="91" spans="1:21" ht="24.95" customHeight="1" x14ac:dyDescent="0.25">
      <c r="A91" s="8"/>
      <c r="B91" s="8"/>
      <c r="C91" s="11"/>
      <c r="D91" s="8"/>
      <c r="E91" s="8"/>
      <c r="F91" s="8"/>
      <c r="G91" s="8"/>
      <c r="H91" s="8"/>
      <c r="I91" s="8"/>
      <c r="J91" s="8"/>
      <c r="K91" s="8"/>
      <c r="L91" s="8"/>
      <c r="M91" s="8"/>
      <c r="N91" s="9"/>
      <c r="O91" s="9"/>
      <c r="P91" s="9"/>
      <c r="Q91" s="9"/>
      <c r="R91" s="9"/>
      <c r="S91" s="9"/>
      <c r="T91" s="9"/>
      <c r="U91" s="9"/>
    </row>
    <row r="92" spans="1:21" ht="24.95" customHeight="1" x14ac:dyDescent="0.25">
      <c r="A92" s="8"/>
      <c r="B92" s="8"/>
      <c r="C92" s="11"/>
      <c r="D92" s="8"/>
      <c r="E92" s="8"/>
      <c r="F92" s="8"/>
      <c r="G92" s="8"/>
      <c r="H92" s="8"/>
      <c r="I92" s="8"/>
      <c r="J92" s="8"/>
      <c r="K92" s="8"/>
      <c r="L92" s="8"/>
      <c r="M92" s="8"/>
      <c r="N92" s="9"/>
      <c r="O92" s="9"/>
      <c r="P92" s="9"/>
      <c r="Q92" s="9"/>
      <c r="R92" s="9"/>
      <c r="S92" s="9"/>
      <c r="T92" s="9"/>
      <c r="U92" s="9"/>
    </row>
    <row r="93" spans="1:21" ht="24.95" customHeight="1" x14ac:dyDescent="0.25">
      <c r="A93" s="8"/>
      <c r="B93" s="8"/>
      <c r="C93" s="11"/>
      <c r="D93" s="8"/>
      <c r="E93" s="8"/>
      <c r="F93" s="8"/>
      <c r="G93" s="8"/>
      <c r="H93" s="8"/>
      <c r="I93" s="8"/>
      <c r="J93" s="8"/>
      <c r="K93" s="8"/>
      <c r="L93" s="8"/>
      <c r="M93" s="8"/>
      <c r="N93" s="9"/>
      <c r="O93" s="9"/>
      <c r="P93" s="9"/>
      <c r="Q93" s="9"/>
      <c r="R93" s="9"/>
      <c r="S93" s="9"/>
      <c r="T93" s="9"/>
      <c r="U93" s="9"/>
    </row>
    <row r="94" spans="1:21" ht="24.95" customHeight="1" x14ac:dyDescent="0.25">
      <c r="A94" s="8"/>
      <c r="B94" s="8"/>
      <c r="C94" s="11"/>
      <c r="D94" s="8"/>
      <c r="E94" s="8"/>
      <c r="F94" s="8"/>
      <c r="G94" s="8"/>
      <c r="H94" s="8"/>
      <c r="I94" s="8"/>
      <c r="J94" s="8"/>
      <c r="K94" s="8"/>
      <c r="L94" s="8"/>
      <c r="M94" s="8"/>
      <c r="N94" s="9"/>
      <c r="O94" s="9"/>
      <c r="P94" s="9"/>
      <c r="Q94" s="9"/>
      <c r="R94" s="9"/>
      <c r="S94" s="9"/>
      <c r="T94" s="9"/>
      <c r="U94" s="9"/>
    </row>
    <row r="95" spans="1:21" ht="24.95" customHeight="1" x14ac:dyDescent="0.25">
      <c r="A95" s="8"/>
      <c r="B95" s="8"/>
      <c r="C95" s="11"/>
      <c r="D95" s="8"/>
      <c r="E95" s="8"/>
      <c r="F95" s="8"/>
      <c r="G95" s="8"/>
      <c r="H95" s="8"/>
      <c r="I95" s="8"/>
      <c r="J95" s="8"/>
      <c r="K95" s="8"/>
      <c r="L95" s="8"/>
      <c r="M95" s="8"/>
      <c r="N95" s="9"/>
      <c r="O95" s="9"/>
      <c r="P95" s="9"/>
      <c r="Q95" s="9"/>
      <c r="R95" s="9"/>
      <c r="S95" s="9"/>
      <c r="T95" s="9"/>
      <c r="U95" s="9"/>
    </row>
    <row r="96" spans="1:21" ht="24.95" customHeight="1" x14ac:dyDescent="0.25">
      <c r="A96" s="8"/>
      <c r="B96" s="8"/>
      <c r="C96" s="11"/>
      <c r="D96" s="8"/>
      <c r="E96" s="8"/>
      <c r="F96" s="8"/>
      <c r="G96" s="8"/>
      <c r="H96" s="8"/>
      <c r="I96" s="8"/>
      <c r="J96" s="8"/>
      <c r="K96" s="8"/>
      <c r="L96" s="8"/>
      <c r="M96" s="8"/>
      <c r="N96" s="9"/>
      <c r="O96" s="9"/>
      <c r="P96" s="9"/>
      <c r="Q96" s="9"/>
      <c r="R96" s="9"/>
      <c r="S96" s="9"/>
      <c r="T96" s="9"/>
      <c r="U96" s="9"/>
    </row>
    <row r="97" spans="1:21" ht="24.95" customHeight="1" x14ac:dyDescent="0.25">
      <c r="A97" s="8"/>
      <c r="B97" s="8"/>
      <c r="C97" s="11"/>
      <c r="D97" s="8"/>
      <c r="E97" s="8"/>
      <c r="F97" s="8"/>
      <c r="G97" s="8"/>
      <c r="H97" s="8"/>
      <c r="I97" s="8"/>
      <c r="J97" s="8"/>
      <c r="K97" s="8"/>
      <c r="L97" s="8"/>
      <c r="M97" s="8"/>
      <c r="N97" s="9"/>
      <c r="O97" s="9"/>
      <c r="P97" s="9"/>
      <c r="Q97" s="9"/>
      <c r="R97" s="9"/>
      <c r="S97" s="9"/>
      <c r="T97" s="9"/>
      <c r="U97" s="9"/>
    </row>
    <row r="98" spans="1:21" ht="24.95" customHeight="1" x14ac:dyDescent="0.25">
      <c r="A98" s="8"/>
      <c r="B98" s="8"/>
      <c r="C98" s="11"/>
      <c r="D98" s="8"/>
      <c r="E98" s="8"/>
      <c r="F98" s="8"/>
      <c r="G98" s="8"/>
      <c r="H98" s="8"/>
      <c r="I98" s="8"/>
      <c r="J98" s="8"/>
      <c r="K98" s="8"/>
      <c r="L98" s="8"/>
      <c r="M98" s="8"/>
      <c r="N98" s="9"/>
      <c r="O98" s="9"/>
      <c r="P98" s="9"/>
      <c r="Q98" s="9"/>
      <c r="R98" s="9"/>
      <c r="S98" s="9"/>
      <c r="T98" s="9"/>
      <c r="U98" s="9"/>
    </row>
    <row r="99" spans="1:21" ht="24.95" customHeight="1" x14ac:dyDescent="0.25">
      <c r="A99" s="8"/>
      <c r="B99" s="8"/>
      <c r="C99" s="11"/>
      <c r="D99" s="8"/>
      <c r="E99" s="8"/>
      <c r="F99" s="8"/>
      <c r="G99" s="8"/>
      <c r="H99" s="8"/>
      <c r="I99" s="8"/>
      <c r="J99" s="8"/>
      <c r="K99" s="8"/>
      <c r="L99" s="8"/>
      <c r="M99" s="8"/>
      <c r="N99" s="9"/>
      <c r="O99" s="9"/>
      <c r="P99" s="9"/>
      <c r="Q99" s="9"/>
      <c r="R99" s="9"/>
      <c r="S99" s="9"/>
      <c r="T99" s="9"/>
      <c r="U99" s="9"/>
    </row>
    <row r="100" spans="1:21" ht="24.95" customHeight="1" x14ac:dyDescent="0.25">
      <c r="A100" s="8"/>
      <c r="B100" s="8"/>
      <c r="C100" s="11"/>
      <c r="D100" s="8"/>
      <c r="E100" s="8"/>
      <c r="F100" s="8"/>
      <c r="G100" s="8"/>
      <c r="H100" s="8"/>
      <c r="I100" s="8"/>
      <c r="J100" s="8"/>
      <c r="K100" s="8"/>
      <c r="L100" s="8"/>
      <c r="M100" s="8"/>
      <c r="N100" s="9"/>
      <c r="O100" s="9"/>
      <c r="P100" s="9"/>
      <c r="Q100" s="9"/>
      <c r="R100" s="9"/>
      <c r="S100" s="9"/>
      <c r="T100" s="9"/>
      <c r="U100" s="9"/>
    </row>
    <row r="101" spans="1:21" ht="24.95" customHeight="1" x14ac:dyDescent="0.25">
      <c r="A101" s="8"/>
      <c r="B101" s="8"/>
      <c r="C101" s="11"/>
      <c r="D101" s="8"/>
      <c r="E101" s="8"/>
      <c r="F101" s="8"/>
      <c r="G101" s="8"/>
      <c r="H101" s="8"/>
      <c r="I101" s="8"/>
      <c r="J101" s="8"/>
      <c r="K101" s="8"/>
      <c r="L101" s="8"/>
      <c r="M101" s="8"/>
      <c r="N101" s="9"/>
      <c r="O101" s="9"/>
      <c r="P101" s="9"/>
      <c r="Q101" s="9"/>
      <c r="R101" s="9"/>
      <c r="S101" s="9"/>
      <c r="T101" s="9"/>
      <c r="U101" s="9"/>
    </row>
    <row r="102" spans="1:21" ht="24.95" customHeight="1" x14ac:dyDescent="0.25">
      <c r="A102" s="8"/>
      <c r="B102" s="8"/>
      <c r="C102" s="11"/>
      <c r="D102" s="8"/>
      <c r="E102" s="8"/>
      <c r="F102" s="8"/>
      <c r="G102" s="8"/>
      <c r="H102" s="8"/>
      <c r="I102" s="8"/>
      <c r="J102" s="8"/>
      <c r="K102" s="8"/>
      <c r="L102" s="8"/>
      <c r="M102" s="8"/>
      <c r="N102" s="9"/>
      <c r="O102" s="9"/>
      <c r="P102" s="9"/>
      <c r="Q102" s="9"/>
      <c r="R102" s="9"/>
      <c r="S102" s="9"/>
      <c r="T102" s="9"/>
      <c r="U102" s="9"/>
    </row>
    <row r="103" spans="1:21" ht="24.95" customHeight="1" x14ac:dyDescent="0.25">
      <c r="A103" s="8"/>
      <c r="B103" s="8"/>
      <c r="C103" s="11"/>
      <c r="D103" s="8"/>
      <c r="E103" s="8"/>
      <c r="F103" s="8"/>
      <c r="G103" s="8"/>
      <c r="H103" s="8"/>
      <c r="I103" s="8"/>
      <c r="J103" s="8"/>
      <c r="K103" s="8"/>
      <c r="L103" s="8"/>
      <c r="M103" s="8"/>
      <c r="N103" s="9"/>
      <c r="O103" s="9"/>
      <c r="P103" s="9"/>
      <c r="Q103" s="9"/>
      <c r="R103" s="9"/>
      <c r="S103" s="9"/>
      <c r="T103" s="9"/>
      <c r="U103" s="9"/>
    </row>
    <row r="104" spans="1:21" ht="24.95" customHeight="1" x14ac:dyDescent="0.25">
      <c r="A104" s="8"/>
      <c r="B104" s="8"/>
      <c r="C104" s="11"/>
      <c r="D104" s="8"/>
      <c r="E104" s="8"/>
      <c r="F104" s="8"/>
      <c r="G104" s="8"/>
      <c r="H104" s="8"/>
      <c r="I104" s="8"/>
      <c r="J104" s="8"/>
      <c r="K104" s="8"/>
      <c r="L104" s="8"/>
      <c r="M104" s="8"/>
      <c r="N104" s="9"/>
      <c r="O104" s="9"/>
      <c r="P104" s="9"/>
      <c r="Q104" s="9"/>
      <c r="R104" s="9"/>
      <c r="S104" s="9"/>
      <c r="T104" s="9"/>
      <c r="U104" s="9"/>
    </row>
    <row r="105" spans="1:21" ht="24.95" customHeight="1" x14ac:dyDescent="0.25">
      <c r="A105" s="8"/>
      <c r="B105" s="8"/>
      <c r="C105" s="11"/>
      <c r="D105" s="8"/>
      <c r="E105" s="8"/>
      <c r="F105" s="8"/>
      <c r="G105" s="8"/>
      <c r="H105" s="8"/>
      <c r="I105" s="8"/>
      <c r="J105" s="8"/>
      <c r="K105" s="8"/>
      <c r="L105" s="8"/>
      <c r="M105" s="8"/>
      <c r="N105" s="9"/>
      <c r="O105" s="9"/>
      <c r="P105" s="9"/>
      <c r="Q105" s="9"/>
      <c r="R105" s="9"/>
      <c r="S105" s="9"/>
      <c r="T105" s="9"/>
      <c r="U105" s="9"/>
    </row>
    <row r="106" spans="1:21" ht="24.95" customHeight="1" x14ac:dyDescent="0.25">
      <c r="A106" s="8"/>
      <c r="B106" s="8"/>
      <c r="C106" s="11"/>
      <c r="D106" s="8"/>
      <c r="E106" s="8"/>
      <c r="F106" s="8"/>
      <c r="G106" s="8"/>
      <c r="H106" s="8"/>
      <c r="I106" s="8"/>
      <c r="J106" s="8"/>
      <c r="K106" s="8"/>
      <c r="L106" s="8"/>
      <c r="M106" s="8"/>
      <c r="N106" s="9"/>
      <c r="O106" s="9"/>
      <c r="P106" s="9"/>
      <c r="Q106" s="9"/>
      <c r="R106" s="9"/>
      <c r="S106" s="9"/>
      <c r="T106" s="9"/>
      <c r="U106" s="9"/>
    </row>
    <row r="107" spans="1:21" ht="24.95" customHeight="1" x14ac:dyDescent="0.25">
      <c r="A107" s="8"/>
      <c r="B107" s="8"/>
      <c r="C107" s="11"/>
      <c r="D107" s="8"/>
      <c r="E107" s="8"/>
      <c r="F107" s="8"/>
      <c r="G107" s="8"/>
      <c r="H107" s="8"/>
      <c r="I107" s="8"/>
      <c r="J107" s="8"/>
      <c r="K107" s="8"/>
      <c r="L107" s="8"/>
      <c r="M107" s="8"/>
      <c r="N107" s="9"/>
      <c r="O107" s="9"/>
      <c r="P107" s="9"/>
      <c r="Q107" s="9"/>
      <c r="R107" s="9"/>
      <c r="S107" s="9"/>
      <c r="T107" s="9"/>
      <c r="U107" s="9"/>
    </row>
    <row r="108" spans="1:21" ht="24.95" customHeight="1" x14ac:dyDescent="0.25">
      <c r="A108" s="8"/>
      <c r="B108" s="8"/>
      <c r="C108" s="11"/>
      <c r="D108" s="8"/>
      <c r="E108" s="8"/>
      <c r="F108" s="8"/>
      <c r="G108" s="8"/>
      <c r="H108" s="8"/>
      <c r="I108" s="8"/>
      <c r="J108" s="8"/>
      <c r="K108" s="8"/>
      <c r="L108" s="8"/>
      <c r="M108" s="8"/>
      <c r="N108" s="9"/>
      <c r="O108" s="9"/>
      <c r="P108" s="9"/>
      <c r="Q108" s="9"/>
      <c r="R108" s="9"/>
      <c r="S108" s="9"/>
      <c r="T108" s="9"/>
      <c r="U108" s="9"/>
    </row>
    <row r="109" spans="1:21" ht="24.95" customHeight="1" x14ac:dyDescent="0.25">
      <c r="A109" s="8"/>
      <c r="B109" s="8"/>
      <c r="C109" s="11"/>
      <c r="D109" s="8"/>
      <c r="E109" s="8"/>
      <c r="F109" s="8"/>
      <c r="G109" s="8"/>
      <c r="H109" s="8"/>
      <c r="I109" s="8"/>
      <c r="J109" s="8"/>
      <c r="K109" s="8"/>
      <c r="L109" s="8"/>
      <c r="M109" s="8"/>
      <c r="N109" s="9"/>
      <c r="O109" s="9"/>
      <c r="P109" s="9"/>
      <c r="Q109" s="9"/>
      <c r="R109" s="9"/>
      <c r="S109" s="9"/>
      <c r="T109" s="9"/>
      <c r="U109" s="9"/>
    </row>
    <row r="110" spans="1:21" ht="24.95" customHeight="1" x14ac:dyDescent="0.25">
      <c r="A110" s="8"/>
      <c r="B110" s="8"/>
      <c r="C110" s="11"/>
      <c r="D110" s="8"/>
      <c r="E110" s="8"/>
      <c r="F110" s="8"/>
      <c r="G110" s="8"/>
      <c r="H110" s="8"/>
      <c r="I110" s="8"/>
      <c r="J110" s="8"/>
      <c r="K110" s="8"/>
      <c r="L110" s="8"/>
      <c r="M110" s="8"/>
      <c r="N110" s="9"/>
      <c r="O110" s="9"/>
      <c r="P110" s="9"/>
      <c r="Q110" s="9"/>
      <c r="R110" s="9"/>
      <c r="S110" s="9"/>
      <c r="T110" s="9"/>
      <c r="U110" s="9"/>
    </row>
    <row r="111" spans="1:21" ht="24.95" customHeight="1" x14ac:dyDescent="0.25">
      <c r="A111" s="8"/>
      <c r="B111" s="8"/>
      <c r="C111" s="11"/>
      <c r="D111" s="8"/>
      <c r="E111" s="8"/>
      <c r="F111" s="8"/>
      <c r="G111" s="8"/>
      <c r="H111" s="8"/>
      <c r="I111" s="8"/>
      <c r="J111" s="8"/>
      <c r="K111" s="8"/>
      <c r="L111" s="8"/>
      <c r="M111" s="8"/>
      <c r="N111" s="9"/>
      <c r="O111" s="9"/>
      <c r="P111" s="9"/>
      <c r="Q111" s="9"/>
      <c r="R111" s="9"/>
      <c r="S111" s="9"/>
      <c r="T111" s="9"/>
      <c r="U111" s="9"/>
    </row>
    <row r="112" spans="1:21" ht="24.95" customHeight="1" x14ac:dyDescent="0.25">
      <c r="A112" s="8"/>
      <c r="B112" s="8"/>
      <c r="C112" s="11"/>
      <c r="D112" s="8"/>
      <c r="E112" s="8"/>
      <c r="F112" s="8"/>
      <c r="G112" s="8"/>
      <c r="H112" s="8"/>
      <c r="I112" s="8"/>
      <c r="J112" s="8"/>
      <c r="K112" s="8"/>
      <c r="L112" s="8"/>
      <c r="M112" s="8"/>
      <c r="N112" s="9"/>
      <c r="O112" s="9"/>
      <c r="P112" s="9"/>
      <c r="Q112" s="9"/>
      <c r="R112" s="9"/>
      <c r="S112" s="9"/>
      <c r="T112" s="9"/>
      <c r="U112" s="9"/>
    </row>
    <row r="113" spans="1:21" ht="24.95" customHeight="1" x14ac:dyDescent="0.25">
      <c r="A113" s="8"/>
      <c r="B113" s="8"/>
      <c r="C113" s="11"/>
      <c r="D113" s="8"/>
      <c r="E113" s="8"/>
      <c r="F113" s="8"/>
      <c r="G113" s="8"/>
      <c r="H113" s="8"/>
      <c r="I113" s="8"/>
      <c r="J113" s="8"/>
      <c r="K113" s="8"/>
      <c r="L113" s="8"/>
      <c r="M113" s="8"/>
      <c r="N113" s="9"/>
      <c r="O113" s="9"/>
      <c r="P113" s="9"/>
      <c r="Q113" s="9"/>
      <c r="R113" s="9"/>
      <c r="S113" s="9"/>
      <c r="T113" s="9"/>
      <c r="U113" s="9"/>
    </row>
    <row r="114" spans="1:21" ht="24.95" customHeight="1" x14ac:dyDescent="0.25">
      <c r="C114" s="11"/>
      <c r="D114" s="8"/>
      <c r="E114" s="8"/>
      <c r="F114" s="8"/>
      <c r="G114" s="8"/>
      <c r="H114" s="8"/>
      <c r="I114" s="8"/>
      <c r="J114" s="8"/>
      <c r="K114" s="8"/>
      <c r="L114" s="8"/>
      <c r="M114" s="8"/>
      <c r="N114" s="9"/>
    </row>
    <row r="115" spans="1:21" ht="24.95" customHeight="1" x14ac:dyDescent="0.25">
      <c r="C115" s="11"/>
      <c r="D115" s="8"/>
      <c r="E115" s="8"/>
      <c r="F115" s="8"/>
      <c r="G115" s="8"/>
      <c r="H115" s="8"/>
      <c r="I115" s="8"/>
      <c r="J115" s="8"/>
      <c r="K115" s="8"/>
      <c r="L115" s="8"/>
      <c r="M115" s="8"/>
      <c r="N115" s="9"/>
    </row>
    <row r="116" spans="1:21" ht="24.95" customHeight="1" x14ac:dyDescent="0.25">
      <c r="C116" s="11"/>
      <c r="D116" s="8"/>
      <c r="E116" s="8"/>
      <c r="F116" s="8"/>
      <c r="G116" s="8"/>
      <c r="H116" s="8"/>
      <c r="I116" s="8"/>
      <c r="J116" s="8"/>
      <c r="K116" s="8"/>
      <c r="L116" s="8"/>
      <c r="M116" s="8"/>
      <c r="N116" s="9"/>
    </row>
    <row r="117" spans="1:21" ht="24.95" customHeight="1" x14ac:dyDescent="0.25">
      <c r="C117" s="11"/>
      <c r="D117" s="8"/>
      <c r="E117" s="8"/>
      <c r="F117" s="8"/>
      <c r="G117" s="8"/>
      <c r="H117" s="8"/>
      <c r="I117" s="8"/>
      <c r="J117" s="8"/>
      <c r="K117" s="8"/>
      <c r="L117" s="8"/>
      <c r="M117" s="8"/>
      <c r="N117" s="9"/>
    </row>
  </sheetData>
  <sheetProtection formatCells="0" formatColumns="0" formatRows="0" insertHyperlinks="0" sort="0" autoFilter="0" pivotTables="0"/>
  <mergeCells count="169">
    <mergeCell ref="V17:V18"/>
    <mergeCell ref="T19:T24"/>
    <mergeCell ref="D29:D30"/>
    <mergeCell ref="D31:D32"/>
    <mergeCell ref="U25:U26"/>
    <mergeCell ref="V19:V20"/>
    <mergeCell ref="U31:U32"/>
    <mergeCell ref="U33:U34"/>
    <mergeCell ref="V27:V28"/>
    <mergeCell ref="V29:V30"/>
    <mergeCell ref="V25:V26"/>
    <mergeCell ref="U27:U28"/>
    <mergeCell ref="V31:V32"/>
    <mergeCell ref="V33:V34"/>
    <mergeCell ref="U29:U30"/>
    <mergeCell ref="E25:E26"/>
    <mergeCell ref="E27:E28"/>
    <mergeCell ref="D33:D34"/>
    <mergeCell ref="C63:I63"/>
    <mergeCell ref="J63:P63"/>
    <mergeCell ref="C64:I64"/>
    <mergeCell ref="J64:P64"/>
    <mergeCell ref="E11:E12"/>
    <mergeCell ref="E13:E14"/>
    <mergeCell ref="E15:E16"/>
    <mergeCell ref="E17:E18"/>
    <mergeCell ref="C62:I62"/>
    <mergeCell ref="J62:P62"/>
    <mergeCell ref="C29:C30"/>
    <mergeCell ref="D35:D36"/>
    <mergeCell ref="C13:C14"/>
    <mergeCell ref="D13:D14"/>
    <mergeCell ref="E47:E48"/>
    <mergeCell ref="E57:E58"/>
    <mergeCell ref="D21:D22"/>
    <mergeCell ref="E31:E32"/>
    <mergeCell ref="E33:E34"/>
    <mergeCell ref="C25:C26"/>
    <mergeCell ref="C27:C2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B19:B24"/>
    <mergeCell ref="C19:C20"/>
    <mergeCell ref="D9:D10"/>
    <mergeCell ref="E9:E10"/>
    <mergeCell ref="C21:C22"/>
    <mergeCell ref="B9:B18"/>
    <mergeCell ref="E19:E20"/>
    <mergeCell ref="C9:C10"/>
    <mergeCell ref="U9:U10"/>
    <mergeCell ref="U17:U18"/>
    <mergeCell ref="T9:T18"/>
    <mergeCell ref="U15:U16"/>
    <mergeCell ref="U11:U12"/>
    <mergeCell ref="U13:U14"/>
    <mergeCell ref="C17:C18"/>
    <mergeCell ref="D17:D18"/>
    <mergeCell ref="C23:C24"/>
    <mergeCell ref="D11:D12"/>
    <mergeCell ref="D15:D16"/>
    <mergeCell ref="V35:V36"/>
    <mergeCell ref="E37:E38"/>
    <mergeCell ref="V37:V38"/>
    <mergeCell ref="A25:A32"/>
    <mergeCell ref="B25:B32"/>
    <mergeCell ref="T25:T32"/>
    <mergeCell ref="A33:A36"/>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U37:U38"/>
    <mergeCell ref="D37:D38"/>
    <mergeCell ref="C35:C36"/>
    <mergeCell ref="C37:C38"/>
    <mergeCell ref="U35:U36"/>
    <mergeCell ref="C31:C32"/>
    <mergeCell ref="C33:C34"/>
    <mergeCell ref="E29:E30"/>
    <mergeCell ref="D25:D26"/>
    <mergeCell ref="D27:D28"/>
    <mergeCell ref="E35:E36"/>
    <mergeCell ref="U45:U46"/>
    <mergeCell ref="V45:V46"/>
    <mergeCell ref="C47:C48"/>
    <mergeCell ref="D47:D48"/>
    <mergeCell ref="U47:U48"/>
    <mergeCell ref="V47:V48"/>
    <mergeCell ref="C49:C50"/>
    <mergeCell ref="C39:C40"/>
    <mergeCell ref="D39:D40"/>
    <mergeCell ref="E39:E40"/>
    <mergeCell ref="U39:U40"/>
    <mergeCell ref="V39:V40"/>
    <mergeCell ref="V53:V54"/>
    <mergeCell ref="C55:C56"/>
    <mergeCell ref="D55:D56"/>
    <mergeCell ref="E55:E56"/>
    <mergeCell ref="U55:U56"/>
    <mergeCell ref="V55:V56"/>
    <mergeCell ref="C57:C58"/>
    <mergeCell ref="D57:D58"/>
    <mergeCell ref="A41:A50"/>
    <mergeCell ref="B41:B50"/>
    <mergeCell ref="C41:C42"/>
    <mergeCell ref="D41:D42"/>
    <mergeCell ref="E41:E42"/>
    <mergeCell ref="T41:T50"/>
    <mergeCell ref="U41:U42"/>
    <mergeCell ref="V41:V42"/>
    <mergeCell ref="C43:C44"/>
    <mergeCell ref="D43:D44"/>
    <mergeCell ref="E43:E44"/>
    <mergeCell ref="U43:U44"/>
    <mergeCell ref="V43:V44"/>
    <mergeCell ref="C45:C46"/>
    <mergeCell ref="D45:D46"/>
    <mergeCell ref="E45:E46"/>
    <mergeCell ref="B33:B36"/>
    <mergeCell ref="T33:T36"/>
    <mergeCell ref="A37:A40"/>
    <mergeCell ref="B37:B40"/>
    <mergeCell ref="T37:T40"/>
    <mergeCell ref="U57:U58"/>
    <mergeCell ref="V57:V58"/>
    <mergeCell ref="A59:S59"/>
    <mergeCell ref="D49:D50"/>
    <mergeCell ref="E49:E50"/>
    <mergeCell ref="U49:U50"/>
    <mergeCell ref="V49:V50"/>
    <mergeCell ref="A51:A58"/>
    <mergeCell ref="B51:B58"/>
    <mergeCell ref="C51:C52"/>
    <mergeCell ref="D51:D52"/>
    <mergeCell ref="E51:E52"/>
    <mergeCell ref="T51:T58"/>
    <mergeCell ref="U51:U52"/>
    <mergeCell ref="V51:V52"/>
    <mergeCell ref="C53:C54"/>
    <mergeCell ref="D53:D54"/>
    <mergeCell ref="E53:E54"/>
    <mergeCell ref="U53:U54"/>
  </mergeCells>
  <dataValidations count="1">
    <dataValidation type="textLength" operator="lessThanOrEqual" showInputMessage="1" showErrorMessage="1" sqref="V9:V58"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73ED8-6F40-441C-8352-F8C63FD3B961}">
  <dimension ref="A1:AY59"/>
  <sheetViews>
    <sheetView zoomScale="51" zoomScaleNormal="51" workbookViewId="0">
      <selection activeCell="C10" sqref="C10:C15"/>
    </sheetView>
  </sheetViews>
  <sheetFormatPr baseColWidth="10" defaultRowHeight="15" x14ac:dyDescent="0.25"/>
  <cols>
    <col min="2" max="2" width="19" customWidth="1"/>
    <col min="3" max="3" width="33.85546875" customWidth="1"/>
    <col min="4" max="4" width="15.85546875" customWidth="1"/>
    <col min="5" max="11" width="26.85546875" customWidth="1"/>
    <col min="20" max="24" width="25.140625" customWidth="1"/>
    <col min="25" max="25" width="18.7109375" customWidth="1"/>
    <col min="33" max="51" width="17" customWidth="1"/>
  </cols>
  <sheetData>
    <row r="1" spans="1:51" ht="28.5" x14ac:dyDescent="0.25">
      <c r="A1" s="531"/>
      <c r="B1" s="532"/>
      <c r="C1" s="532"/>
      <c r="D1" s="532"/>
      <c r="E1" s="535" t="s">
        <v>38</v>
      </c>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7"/>
    </row>
    <row r="2" spans="1:51" ht="28.5" thickBot="1" x14ac:dyDescent="0.3">
      <c r="A2" s="533"/>
      <c r="B2" s="534"/>
      <c r="C2" s="534"/>
      <c r="D2" s="534"/>
      <c r="E2" s="538" t="s">
        <v>663</v>
      </c>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9"/>
      <c r="AQ2" s="539"/>
      <c r="AR2" s="539"/>
      <c r="AS2" s="539"/>
      <c r="AT2" s="539"/>
      <c r="AU2" s="539"/>
      <c r="AV2" s="539"/>
      <c r="AW2" s="539"/>
      <c r="AX2" s="539"/>
      <c r="AY2" s="540"/>
    </row>
    <row r="3" spans="1:51" ht="16.5" thickBot="1" x14ac:dyDescent="0.3">
      <c r="A3" s="533"/>
      <c r="B3" s="534"/>
      <c r="C3" s="534"/>
      <c r="D3" s="534"/>
      <c r="E3" s="541" t="s">
        <v>39</v>
      </c>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3"/>
      <c r="AG3" s="544" t="s">
        <v>246</v>
      </c>
      <c r="AH3" s="545"/>
      <c r="AI3" s="545"/>
      <c r="AJ3" s="545"/>
      <c r="AK3" s="545"/>
      <c r="AL3" s="545"/>
      <c r="AM3" s="545"/>
      <c r="AN3" s="545"/>
      <c r="AO3" s="545"/>
      <c r="AP3" s="545"/>
      <c r="AQ3" s="545"/>
      <c r="AR3" s="545"/>
      <c r="AS3" s="545"/>
      <c r="AT3" s="545"/>
      <c r="AU3" s="545"/>
      <c r="AV3" s="545"/>
      <c r="AW3" s="545"/>
      <c r="AX3" s="545"/>
      <c r="AY3" s="546"/>
    </row>
    <row r="4" spans="1:51" ht="18.75" thickBot="1" x14ac:dyDescent="0.3">
      <c r="A4" s="547" t="s">
        <v>0</v>
      </c>
      <c r="B4" s="548"/>
      <c r="C4" s="548"/>
      <c r="D4" s="548"/>
      <c r="E4" s="549" t="s">
        <v>664</v>
      </c>
      <c r="F4" s="550"/>
      <c r="G4" s="550"/>
      <c r="H4" s="550"/>
      <c r="I4" s="550"/>
      <c r="J4" s="550"/>
      <c r="K4" s="550"/>
      <c r="L4" s="550"/>
      <c r="M4" s="550"/>
      <c r="N4" s="550"/>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2"/>
    </row>
    <row r="5" spans="1:51" ht="18.75" thickBot="1" x14ac:dyDescent="0.3">
      <c r="A5" s="553" t="s">
        <v>2</v>
      </c>
      <c r="B5" s="554"/>
      <c r="C5" s="554"/>
      <c r="D5" s="554"/>
      <c r="E5" s="555" t="s">
        <v>665</v>
      </c>
      <c r="F5" s="556"/>
      <c r="G5" s="556"/>
      <c r="H5" s="556"/>
      <c r="I5" s="556"/>
      <c r="J5" s="556"/>
      <c r="K5" s="556"/>
      <c r="L5" s="556"/>
      <c r="M5" s="556"/>
      <c r="N5" s="556"/>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8"/>
    </row>
    <row r="6" spans="1:51" ht="18.75" thickBot="1" x14ac:dyDescent="0.3">
      <c r="A6" s="519" t="s">
        <v>666</v>
      </c>
      <c r="B6" s="520"/>
      <c r="C6" s="520"/>
      <c r="D6" s="520"/>
      <c r="E6" s="521" t="s">
        <v>822</v>
      </c>
      <c r="F6" s="522"/>
      <c r="G6" s="522"/>
      <c r="H6" s="522"/>
      <c r="I6" s="522"/>
      <c r="J6" s="522"/>
      <c r="K6" s="522"/>
      <c r="L6" s="522"/>
      <c r="M6" s="522"/>
      <c r="N6" s="522"/>
      <c r="O6" s="522"/>
      <c r="P6" s="522"/>
      <c r="Q6" s="522"/>
      <c r="R6" s="522"/>
      <c r="S6" s="522"/>
      <c r="T6" s="522"/>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4"/>
    </row>
    <row r="7" spans="1:51" ht="18" x14ac:dyDescent="0.25">
      <c r="A7" s="525"/>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7"/>
    </row>
    <row r="8" spans="1:51" x14ac:dyDescent="0.25">
      <c r="A8" s="528" t="s">
        <v>90</v>
      </c>
      <c r="B8" s="529"/>
      <c r="C8" s="529"/>
      <c r="D8" s="529"/>
      <c r="E8" s="529"/>
      <c r="F8" s="530"/>
      <c r="G8" s="422" t="s">
        <v>96</v>
      </c>
      <c r="H8" s="422"/>
      <c r="I8" s="422"/>
      <c r="J8" s="422"/>
      <c r="K8" s="422"/>
      <c r="L8" s="422"/>
      <c r="M8" s="422"/>
      <c r="N8" s="422"/>
      <c r="O8" s="422"/>
      <c r="P8" s="422"/>
      <c r="Q8" s="422"/>
      <c r="R8" s="422"/>
      <c r="S8" s="422"/>
      <c r="T8" s="422" t="s">
        <v>97</v>
      </c>
      <c r="U8" s="422"/>
      <c r="V8" s="422"/>
      <c r="W8" s="422"/>
      <c r="X8" s="422"/>
      <c r="Y8" s="422"/>
      <c r="Z8" s="422"/>
      <c r="AA8" s="422"/>
      <c r="AB8" s="422"/>
      <c r="AC8" s="422"/>
      <c r="AD8" s="422"/>
      <c r="AE8" s="422"/>
      <c r="AF8" s="422"/>
      <c r="AG8" s="433" t="s">
        <v>98</v>
      </c>
      <c r="AH8" s="433"/>
      <c r="AI8" s="433"/>
      <c r="AJ8" s="433"/>
      <c r="AK8" s="433"/>
      <c r="AL8" s="433" t="s">
        <v>104</v>
      </c>
      <c r="AM8" s="433"/>
      <c r="AN8" s="939"/>
      <c r="AO8" s="433" t="s">
        <v>67</v>
      </c>
      <c r="AP8" s="433"/>
      <c r="AQ8" s="433"/>
      <c r="AR8" s="433"/>
      <c r="AS8" s="433"/>
      <c r="AT8" s="433"/>
      <c r="AU8" s="433"/>
      <c r="AV8" s="433"/>
      <c r="AW8" s="433"/>
      <c r="AX8" s="433"/>
      <c r="AY8" s="433" t="s">
        <v>118</v>
      </c>
    </row>
    <row r="9" spans="1:51" ht="81.75" customHeight="1" x14ac:dyDescent="0.25">
      <c r="A9" s="939" t="s">
        <v>91</v>
      </c>
      <c r="B9" s="939" t="s">
        <v>92</v>
      </c>
      <c r="C9" s="905" t="s">
        <v>93</v>
      </c>
      <c r="D9" s="939" t="s">
        <v>94</v>
      </c>
      <c r="E9" s="939" t="s">
        <v>777</v>
      </c>
      <c r="F9" s="939" t="s">
        <v>95</v>
      </c>
      <c r="G9" s="906" t="s">
        <v>6</v>
      </c>
      <c r="H9" s="906" t="s">
        <v>7</v>
      </c>
      <c r="I9" s="906" t="s">
        <v>8</v>
      </c>
      <c r="J9" s="906" t="s">
        <v>9</v>
      </c>
      <c r="K9" s="906" t="s">
        <v>10</v>
      </c>
      <c r="L9" s="906" t="s">
        <v>11</v>
      </c>
      <c r="M9" s="906" t="s">
        <v>12</v>
      </c>
      <c r="N9" s="906" t="s">
        <v>13</v>
      </c>
      <c r="O9" s="906" t="s">
        <v>14</v>
      </c>
      <c r="P9" s="906" t="s">
        <v>15</v>
      </c>
      <c r="Q9" s="906" t="s">
        <v>16</v>
      </c>
      <c r="R9" s="906" t="s">
        <v>17</v>
      </c>
      <c r="S9" s="939" t="s">
        <v>65</v>
      </c>
      <c r="T9" s="906" t="s">
        <v>6</v>
      </c>
      <c r="U9" s="906" t="s">
        <v>7</v>
      </c>
      <c r="V9" s="906" t="s">
        <v>8</v>
      </c>
      <c r="W9" s="906" t="s">
        <v>9</v>
      </c>
      <c r="X9" s="906" t="s">
        <v>10</v>
      </c>
      <c r="Y9" s="906" t="s">
        <v>11</v>
      </c>
      <c r="Z9" s="906" t="s">
        <v>12</v>
      </c>
      <c r="AA9" s="906" t="s">
        <v>13</v>
      </c>
      <c r="AB9" s="906" t="s">
        <v>14</v>
      </c>
      <c r="AC9" s="906" t="s">
        <v>15</v>
      </c>
      <c r="AD9" s="907" t="s">
        <v>16</v>
      </c>
      <c r="AE9" s="907" t="s">
        <v>17</v>
      </c>
      <c r="AF9" s="939" t="s">
        <v>66</v>
      </c>
      <c r="AG9" s="939" t="s">
        <v>99</v>
      </c>
      <c r="AH9" s="939" t="s">
        <v>100</v>
      </c>
      <c r="AI9" s="939" t="s">
        <v>101</v>
      </c>
      <c r="AJ9" s="939" t="s">
        <v>102</v>
      </c>
      <c r="AK9" s="939" t="s">
        <v>103</v>
      </c>
      <c r="AL9" s="939" t="s">
        <v>105</v>
      </c>
      <c r="AM9" s="939" t="s">
        <v>106</v>
      </c>
      <c r="AN9" s="939" t="s">
        <v>107</v>
      </c>
      <c r="AO9" s="939" t="s">
        <v>108</v>
      </c>
      <c r="AP9" s="939" t="s">
        <v>109</v>
      </c>
      <c r="AQ9" s="939" t="s">
        <v>110</v>
      </c>
      <c r="AR9" s="939" t="s">
        <v>111</v>
      </c>
      <c r="AS9" s="939" t="s">
        <v>112</v>
      </c>
      <c r="AT9" s="939" t="s">
        <v>113</v>
      </c>
      <c r="AU9" s="939" t="s">
        <v>114</v>
      </c>
      <c r="AV9" s="939" t="s">
        <v>115</v>
      </c>
      <c r="AW9" s="939" t="s">
        <v>116</v>
      </c>
      <c r="AX9" s="939" t="s">
        <v>117</v>
      </c>
      <c r="AY9" s="433"/>
    </row>
    <row r="10" spans="1:51" ht="22.5" x14ac:dyDescent="0.25">
      <c r="A10" s="511">
        <v>1</v>
      </c>
      <c r="B10" s="459" t="s">
        <v>304</v>
      </c>
      <c r="C10" s="518" t="s">
        <v>309</v>
      </c>
      <c r="D10" s="932" t="s">
        <v>40</v>
      </c>
      <c r="E10" s="897">
        <v>1</v>
      </c>
      <c r="F10" s="897">
        <v>1</v>
      </c>
      <c r="G10" s="897">
        <v>1</v>
      </c>
      <c r="H10" s="897">
        <v>1</v>
      </c>
      <c r="I10" s="897">
        <v>1</v>
      </c>
      <c r="J10" s="910">
        <v>1</v>
      </c>
      <c r="K10" s="910">
        <v>1</v>
      </c>
      <c r="L10" s="897"/>
      <c r="M10" s="913"/>
      <c r="N10" s="913"/>
      <c r="O10" s="913"/>
      <c r="P10" s="913"/>
      <c r="Q10" s="913"/>
      <c r="R10" s="913"/>
      <c r="S10" s="914"/>
      <c r="T10" s="897">
        <v>1</v>
      </c>
      <c r="U10" s="897">
        <v>1</v>
      </c>
      <c r="V10" s="897">
        <v>1</v>
      </c>
      <c r="W10" s="910">
        <v>1</v>
      </c>
      <c r="X10" s="910">
        <v>1</v>
      </c>
      <c r="Y10" s="912"/>
      <c r="Z10" s="913"/>
      <c r="AA10" s="913"/>
      <c r="AB10" s="913"/>
      <c r="AC10" s="913"/>
      <c r="AD10" s="913"/>
      <c r="AE10" s="913"/>
      <c r="AF10" s="914"/>
      <c r="AG10" s="884" t="s">
        <v>310</v>
      </c>
      <c r="AH10" s="884" t="s">
        <v>311</v>
      </c>
      <c r="AI10" s="884" t="s">
        <v>311</v>
      </c>
      <c r="AJ10" s="884" t="s">
        <v>312</v>
      </c>
      <c r="AK10" s="884" t="s">
        <v>313</v>
      </c>
      <c r="AL10" s="884" t="s">
        <v>311</v>
      </c>
      <c r="AM10" s="884" t="s">
        <v>311</v>
      </c>
      <c r="AN10" s="884" t="s">
        <v>311</v>
      </c>
      <c r="AO10" s="883">
        <v>3751549</v>
      </c>
      <c r="AP10" s="882">
        <v>4082618</v>
      </c>
      <c r="AQ10" s="884" t="s">
        <v>311</v>
      </c>
      <c r="AR10" s="884" t="s">
        <v>311</v>
      </c>
      <c r="AS10" s="884" t="s">
        <v>311</v>
      </c>
      <c r="AT10" s="884" t="s">
        <v>311</v>
      </c>
      <c r="AU10" s="884" t="s">
        <v>311</v>
      </c>
      <c r="AV10" s="884" t="s">
        <v>311</v>
      </c>
      <c r="AW10" s="884" t="s">
        <v>311</v>
      </c>
      <c r="AX10" s="811">
        <v>7834167</v>
      </c>
      <c r="AY10" s="786"/>
    </row>
    <row r="11" spans="1:51" ht="33.75" x14ac:dyDescent="0.25">
      <c r="A11" s="507"/>
      <c r="B11" s="458"/>
      <c r="C11" s="508"/>
      <c r="D11" s="933" t="s">
        <v>3</v>
      </c>
      <c r="E11" s="941">
        <v>3581994000</v>
      </c>
      <c r="F11" s="941">
        <v>3581994000</v>
      </c>
      <c r="G11" s="941">
        <v>3583294000</v>
      </c>
      <c r="H11" s="941">
        <v>3583294000</v>
      </c>
      <c r="I11" s="941">
        <v>3583294000</v>
      </c>
      <c r="J11" s="917">
        <v>3571994000</v>
      </c>
      <c r="K11" s="917">
        <v>3581994000</v>
      </c>
      <c r="L11" s="941"/>
      <c r="M11" s="916"/>
      <c r="N11" s="916"/>
      <c r="O11" s="916"/>
      <c r="P11" s="916"/>
      <c r="Q11" s="916"/>
      <c r="R11" s="916"/>
      <c r="S11" s="917"/>
      <c r="T11" s="941">
        <v>203290632</v>
      </c>
      <c r="U11" s="941">
        <v>530066632</v>
      </c>
      <c r="V11" s="941">
        <v>717898632</v>
      </c>
      <c r="W11" s="917">
        <v>719872072</v>
      </c>
      <c r="X11" s="917">
        <v>1024542365</v>
      </c>
      <c r="Y11" s="915"/>
      <c r="Z11" s="916"/>
      <c r="AA11" s="916"/>
      <c r="AB11" s="916"/>
      <c r="AC11" s="916"/>
      <c r="AD11" s="916"/>
      <c r="AE11" s="916"/>
      <c r="AF11" s="917"/>
      <c r="AG11" s="712"/>
      <c r="AH11" s="712"/>
      <c r="AI11" s="712"/>
      <c r="AJ11" s="712"/>
      <c r="AK11" s="712"/>
      <c r="AL11" s="712"/>
      <c r="AM11" s="712"/>
      <c r="AN11" s="712"/>
      <c r="AO11" s="675"/>
      <c r="AP11" s="881"/>
      <c r="AQ11" s="712"/>
      <c r="AR11" s="712"/>
      <c r="AS11" s="712"/>
      <c r="AT11" s="712"/>
      <c r="AU11" s="712"/>
      <c r="AV11" s="712"/>
      <c r="AW11" s="712"/>
      <c r="AX11" s="676"/>
      <c r="AY11" s="880"/>
    </row>
    <row r="12" spans="1:51" ht="33.75" x14ac:dyDescent="0.25">
      <c r="A12" s="507"/>
      <c r="B12" s="458"/>
      <c r="C12" s="508"/>
      <c r="D12" s="934" t="s">
        <v>41</v>
      </c>
      <c r="E12" s="897">
        <v>0</v>
      </c>
      <c r="F12" s="897">
        <v>0</v>
      </c>
      <c r="G12" s="897">
        <v>0</v>
      </c>
      <c r="H12" s="897">
        <v>0</v>
      </c>
      <c r="I12" s="897">
        <v>0</v>
      </c>
      <c r="J12" s="910">
        <v>0</v>
      </c>
      <c r="K12" s="910">
        <v>0</v>
      </c>
      <c r="L12" s="897"/>
      <c r="M12" s="913"/>
      <c r="N12" s="913"/>
      <c r="O12" s="913"/>
      <c r="P12" s="913"/>
      <c r="Q12" s="913"/>
      <c r="R12" s="913"/>
      <c r="S12" s="910"/>
      <c r="T12" s="897">
        <v>0</v>
      </c>
      <c r="U12" s="897">
        <v>0</v>
      </c>
      <c r="V12" s="897">
        <v>0</v>
      </c>
      <c r="W12" s="910">
        <v>0</v>
      </c>
      <c r="X12" s="910">
        <v>0</v>
      </c>
      <c r="Y12" s="912"/>
      <c r="Z12" s="913"/>
      <c r="AA12" s="913"/>
      <c r="AB12" s="913"/>
      <c r="AC12" s="913"/>
      <c r="AD12" s="913"/>
      <c r="AE12" s="913"/>
      <c r="AF12" s="910"/>
      <c r="AG12" s="712"/>
      <c r="AH12" s="712"/>
      <c r="AI12" s="712"/>
      <c r="AJ12" s="712"/>
      <c r="AK12" s="712"/>
      <c r="AL12" s="712"/>
      <c r="AM12" s="712"/>
      <c r="AN12" s="712"/>
      <c r="AO12" s="675"/>
      <c r="AP12" s="881"/>
      <c r="AQ12" s="712"/>
      <c r="AR12" s="712"/>
      <c r="AS12" s="712"/>
      <c r="AT12" s="712"/>
      <c r="AU12" s="712"/>
      <c r="AV12" s="712"/>
      <c r="AW12" s="712"/>
      <c r="AX12" s="676"/>
      <c r="AY12" s="880"/>
    </row>
    <row r="13" spans="1:51" ht="33.75" x14ac:dyDescent="0.25">
      <c r="A13" s="507"/>
      <c r="B13" s="458"/>
      <c r="C13" s="508"/>
      <c r="D13" s="933" t="s">
        <v>4</v>
      </c>
      <c r="E13" s="941">
        <v>659426690</v>
      </c>
      <c r="F13" s="941">
        <v>659426690</v>
      </c>
      <c r="G13" s="941">
        <v>659426690</v>
      </c>
      <c r="H13" s="941">
        <v>659426690</v>
      </c>
      <c r="I13" s="941">
        <v>659426690</v>
      </c>
      <c r="J13" s="917">
        <v>659426690</v>
      </c>
      <c r="K13" s="917">
        <v>659426690</v>
      </c>
      <c r="L13" s="941"/>
      <c r="M13" s="916"/>
      <c r="N13" s="916"/>
      <c r="O13" s="916"/>
      <c r="P13" s="916"/>
      <c r="Q13" s="916"/>
      <c r="R13" s="916"/>
      <c r="S13" s="917"/>
      <c r="T13" s="941">
        <v>23268741</v>
      </c>
      <c r="U13" s="941">
        <v>69544280</v>
      </c>
      <c r="V13" s="941">
        <v>97199290</v>
      </c>
      <c r="W13" s="917">
        <v>120760990</v>
      </c>
      <c r="X13" s="917">
        <v>142630198</v>
      </c>
      <c r="Y13" s="915"/>
      <c r="Z13" s="916"/>
      <c r="AA13" s="916"/>
      <c r="AB13" s="916"/>
      <c r="AC13" s="916"/>
      <c r="AD13" s="916"/>
      <c r="AE13" s="916"/>
      <c r="AF13" s="917"/>
      <c r="AG13" s="712"/>
      <c r="AH13" s="712"/>
      <c r="AI13" s="712"/>
      <c r="AJ13" s="712"/>
      <c r="AK13" s="712"/>
      <c r="AL13" s="712"/>
      <c r="AM13" s="712"/>
      <c r="AN13" s="712"/>
      <c r="AO13" s="675"/>
      <c r="AP13" s="881"/>
      <c r="AQ13" s="712"/>
      <c r="AR13" s="712"/>
      <c r="AS13" s="712"/>
      <c r="AT13" s="712"/>
      <c r="AU13" s="712"/>
      <c r="AV13" s="712"/>
      <c r="AW13" s="712"/>
      <c r="AX13" s="676"/>
      <c r="AY13" s="880"/>
    </row>
    <row r="14" spans="1:51" ht="33.75" x14ac:dyDescent="0.25">
      <c r="A14" s="507"/>
      <c r="B14" s="458"/>
      <c r="C14" s="508"/>
      <c r="D14" s="934" t="s">
        <v>42</v>
      </c>
      <c r="E14" s="897">
        <v>1</v>
      </c>
      <c r="F14" s="897">
        <v>1</v>
      </c>
      <c r="G14" s="897">
        <v>1</v>
      </c>
      <c r="H14" s="897">
        <v>1</v>
      </c>
      <c r="I14" s="897">
        <v>1</v>
      </c>
      <c r="J14" s="910">
        <v>1</v>
      </c>
      <c r="K14" s="910">
        <v>1</v>
      </c>
      <c r="L14" s="897"/>
      <c r="M14" s="919"/>
      <c r="N14" s="919"/>
      <c r="O14" s="919"/>
      <c r="P14" s="919"/>
      <c r="Q14" s="919"/>
      <c r="R14" s="919"/>
      <c r="S14" s="919"/>
      <c r="T14" s="897">
        <v>1</v>
      </c>
      <c r="U14" s="897">
        <v>1</v>
      </c>
      <c r="V14" s="897">
        <v>1</v>
      </c>
      <c r="W14" s="910">
        <v>1</v>
      </c>
      <c r="X14" s="910">
        <v>1</v>
      </c>
      <c r="Y14" s="918"/>
      <c r="Z14" s="919"/>
      <c r="AA14" s="919"/>
      <c r="AB14" s="919"/>
      <c r="AC14" s="919"/>
      <c r="AD14" s="919"/>
      <c r="AE14" s="919"/>
      <c r="AF14" s="910"/>
      <c r="AG14" s="712"/>
      <c r="AH14" s="712"/>
      <c r="AI14" s="712"/>
      <c r="AJ14" s="712"/>
      <c r="AK14" s="712"/>
      <c r="AL14" s="712"/>
      <c r="AM14" s="712"/>
      <c r="AN14" s="712"/>
      <c r="AO14" s="675"/>
      <c r="AP14" s="881"/>
      <c r="AQ14" s="712"/>
      <c r="AR14" s="712"/>
      <c r="AS14" s="712"/>
      <c r="AT14" s="712"/>
      <c r="AU14" s="712"/>
      <c r="AV14" s="712"/>
      <c r="AW14" s="712"/>
      <c r="AX14" s="676"/>
      <c r="AY14" s="880"/>
    </row>
    <row r="15" spans="1:51" ht="45" x14ac:dyDescent="0.25">
      <c r="A15" s="507"/>
      <c r="B15" s="458"/>
      <c r="C15" s="508"/>
      <c r="D15" s="933" t="s">
        <v>44</v>
      </c>
      <c r="E15" s="941">
        <v>4241420690</v>
      </c>
      <c r="F15" s="941">
        <v>4241420690</v>
      </c>
      <c r="G15" s="941">
        <v>4242720690</v>
      </c>
      <c r="H15" s="941">
        <v>4242720690</v>
      </c>
      <c r="I15" s="941">
        <v>4242720690</v>
      </c>
      <c r="J15" s="917">
        <v>4231420690</v>
      </c>
      <c r="K15" s="917">
        <v>4241420690</v>
      </c>
      <c r="L15" s="941"/>
      <c r="M15" s="921"/>
      <c r="N15" s="921"/>
      <c r="O15" s="921"/>
      <c r="P15" s="921"/>
      <c r="Q15" s="921"/>
      <c r="R15" s="921"/>
      <c r="S15" s="921"/>
      <c r="T15" s="941">
        <v>226559373</v>
      </c>
      <c r="U15" s="941">
        <v>599610912</v>
      </c>
      <c r="V15" s="941">
        <v>815097922</v>
      </c>
      <c r="W15" s="917">
        <v>840633062</v>
      </c>
      <c r="X15" s="917">
        <v>1167172563</v>
      </c>
      <c r="Y15" s="920"/>
      <c r="Z15" s="921"/>
      <c r="AA15" s="921"/>
      <c r="AB15" s="921"/>
      <c r="AC15" s="921"/>
      <c r="AD15" s="921"/>
      <c r="AE15" s="921"/>
      <c r="AF15" s="917"/>
      <c r="AG15" s="712"/>
      <c r="AH15" s="712"/>
      <c r="AI15" s="712"/>
      <c r="AJ15" s="712"/>
      <c r="AK15" s="712"/>
      <c r="AL15" s="712"/>
      <c r="AM15" s="712"/>
      <c r="AN15" s="712"/>
      <c r="AO15" s="675"/>
      <c r="AP15" s="881"/>
      <c r="AQ15" s="712"/>
      <c r="AR15" s="712"/>
      <c r="AS15" s="712"/>
      <c r="AT15" s="712"/>
      <c r="AU15" s="712"/>
      <c r="AV15" s="712"/>
      <c r="AW15" s="712"/>
      <c r="AX15" s="676"/>
      <c r="AY15" s="880"/>
    </row>
    <row r="16" spans="1:51" ht="22.5" x14ac:dyDescent="0.25">
      <c r="A16" s="507">
        <v>2</v>
      </c>
      <c r="B16" s="458" t="s">
        <v>594</v>
      </c>
      <c r="C16" s="517" t="s">
        <v>455</v>
      </c>
      <c r="D16" s="935" t="s">
        <v>40</v>
      </c>
      <c r="E16" s="942">
        <v>4</v>
      </c>
      <c r="F16" s="942">
        <v>4</v>
      </c>
      <c r="G16" s="942">
        <v>4</v>
      </c>
      <c r="H16" s="942">
        <v>4</v>
      </c>
      <c r="I16" s="942">
        <v>4</v>
      </c>
      <c r="J16" s="944">
        <v>4</v>
      </c>
      <c r="K16" s="944">
        <v>4</v>
      </c>
      <c r="L16" s="942"/>
      <c r="M16" s="738"/>
      <c r="N16" s="738"/>
      <c r="O16" s="738"/>
      <c r="P16" s="738"/>
      <c r="Q16" s="738"/>
      <c r="R16" s="738"/>
      <c r="S16" s="738"/>
      <c r="T16" s="942">
        <v>0.45</v>
      </c>
      <c r="U16" s="942">
        <v>1</v>
      </c>
      <c r="V16" s="942">
        <v>2.3000000000000003</v>
      </c>
      <c r="W16" s="944">
        <v>3.25</v>
      </c>
      <c r="X16" s="944">
        <v>3.25</v>
      </c>
      <c r="Y16" s="922"/>
      <c r="Z16" s="738"/>
      <c r="AA16" s="738"/>
      <c r="AB16" s="738"/>
      <c r="AC16" s="738"/>
      <c r="AD16" s="738"/>
      <c r="AE16" s="738"/>
      <c r="AF16" s="738"/>
      <c r="AG16" s="712" t="s">
        <v>310</v>
      </c>
      <c r="AH16" s="712" t="s">
        <v>311</v>
      </c>
      <c r="AI16" s="712" t="s">
        <v>311</v>
      </c>
      <c r="AJ16" s="712" t="s">
        <v>456</v>
      </c>
      <c r="AK16" s="712" t="s">
        <v>313</v>
      </c>
      <c r="AL16" s="712" t="s">
        <v>311</v>
      </c>
      <c r="AM16" s="712" t="s">
        <v>311</v>
      </c>
      <c r="AN16" s="712" t="s">
        <v>311</v>
      </c>
      <c r="AO16" s="675">
        <v>3751549</v>
      </c>
      <c r="AP16" s="881">
        <v>4082618</v>
      </c>
      <c r="AQ16" s="712" t="s">
        <v>311</v>
      </c>
      <c r="AR16" s="712" t="s">
        <v>311</v>
      </c>
      <c r="AS16" s="712" t="s">
        <v>311</v>
      </c>
      <c r="AT16" s="712" t="s">
        <v>311</v>
      </c>
      <c r="AU16" s="712" t="s">
        <v>311</v>
      </c>
      <c r="AV16" s="712" t="s">
        <v>311</v>
      </c>
      <c r="AW16" s="712" t="s">
        <v>311</v>
      </c>
      <c r="AX16" s="676">
        <v>7834167</v>
      </c>
      <c r="AY16" s="880"/>
    </row>
    <row r="17" spans="1:51" ht="33.75" x14ac:dyDescent="0.25">
      <c r="A17" s="507"/>
      <c r="B17" s="458"/>
      <c r="C17" s="517"/>
      <c r="D17" s="933" t="s">
        <v>3</v>
      </c>
      <c r="E17" s="941">
        <v>4289610000</v>
      </c>
      <c r="F17" s="941">
        <v>4289610000</v>
      </c>
      <c r="G17" s="941">
        <v>4278310000</v>
      </c>
      <c r="H17" s="941">
        <v>4278310000</v>
      </c>
      <c r="I17" s="941">
        <v>4278310000</v>
      </c>
      <c r="J17" s="917">
        <v>4289610000</v>
      </c>
      <c r="K17" s="917">
        <v>4289610000</v>
      </c>
      <c r="L17" s="941"/>
      <c r="M17" s="923"/>
      <c r="N17" s="923"/>
      <c r="O17" s="923"/>
      <c r="P17" s="923"/>
      <c r="Q17" s="923"/>
      <c r="R17" s="923"/>
      <c r="S17" s="917"/>
      <c r="T17" s="941">
        <v>41290000</v>
      </c>
      <c r="U17" s="941">
        <v>451754500</v>
      </c>
      <c r="V17" s="941">
        <v>588716500</v>
      </c>
      <c r="W17" s="917">
        <v>633605840</v>
      </c>
      <c r="X17" s="917">
        <v>1021047400</v>
      </c>
      <c r="Y17" s="915"/>
      <c r="Z17" s="923"/>
      <c r="AA17" s="923"/>
      <c r="AB17" s="923"/>
      <c r="AC17" s="923"/>
      <c r="AD17" s="923"/>
      <c r="AE17" s="923"/>
      <c r="AF17" s="917"/>
      <c r="AG17" s="712"/>
      <c r="AH17" s="712"/>
      <c r="AI17" s="712"/>
      <c r="AJ17" s="712"/>
      <c r="AK17" s="712"/>
      <c r="AL17" s="712"/>
      <c r="AM17" s="712"/>
      <c r="AN17" s="712"/>
      <c r="AO17" s="675"/>
      <c r="AP17" s="881"/>
      <c r="AQ17" s="712"/>
      <c r="AR17" s="712"/>
      <c r="AS17" s="712"/>
      <c r="AT17" s="712"/>
      <c r="AU17" s="712"/>
      <c r="AV17" s="712"/>
      <c r="AW17" s="712"/>
      <c r="AX17" s="676"/>
      <c r="AY17" s="880"/>
    </row>
    <row r="18" spans="1:51" ht="33.75" x14ac:dyDescent="0.25">
      <c r="A18" s="507"/>
      <c r="B18" s="458"/>
      <c r="C18" s="517"/>
      <c r="D18" s="935" t="s">
        <v>41</v>
      </c>
      <c r="E18" s="942">
        <v>0</v>
      </c>
      <c r="F18" s="942">
        <v>0</v>
      </c>
      <c r="G18" s="942">
        <v>0</v>
      </c>
      <c r="H18" s="942">
        <v>0</v>
      </c>
      <c r="I18" s="942">
        <v>0</v>
      </c>
      <c r="J18" s="944">
        <v>0</v>
      </c>
      <c r="K18" s="944">
        <v>0</v>
      </c>
      <c r="L18" s="942"/>
      <c r="M18" s="738"/>
      <c r="N18" s="738"/>
      <c r="O18" s="738"/>
      <c r="P18" s="738"/>
      <c r="Q18" s="738"/>
      <c r="R18" s="738"/>
      <c r="S18" s="799"/>
      <c r="T18" s="942">
        <v>0</v>
      </c>
      <c r="U18" s="942">
        <v>0</v>
      </c>
      <c r="V18" s="942">
        <v>0</v>
      </c>
      <c r="W18" s="944">
        <v>0</v>
      </c>
      <c r="X18" s="944">
        <v>0</v>
      </c>
      <c r="Y18" s="922"/>
      <c r="Z18" s="738"/>
      <c r="AA18" s="738"/>
      <c r="AB18" s="738"/>
      <c r="AC18" s="738"/>
      <c r="AD18" s="738"/>
      <c r="AE18" s="738"/>
      <c r="AF18" s="799"/>
      <c r="AG18" s="712"/>
      <c r="AH18" s="712"/>
      <c r="AI18" s="712"/>
      <c r="AJ18" s="712"/>
      <c r="AK18" s="712"/>
      <c r="AL18" s="712"/>
      <c r="AM18" s="712"/>
      <c r="AN18" s="712"/>
      <c r="AO18" s="675"/>
      <c r="AP18" s="881"/>
      <c r="AQ18" s="712"/>
      <c r="AR18" s="712"/>
      <c r="AS18" s="712"/>
      <c r="AT18" s="712"/>
      <c r="AU18" s="712"/>
      <c r="AV18" s="712"/>
      <c r="AW18" s="712"/>
      <c r="AX18" s="676"/>
      <c r="AY18" s="880"/>
    </row>
    <row r="19" spans="1:51" ht="33.75" x14ac:dyDescent="0.25">
      <c r="A19" s="507"/>
      <c r="B19" s="458"/>
      <c r="C19" s="517"/>
      <c r="D19" s="933" t="s">
        <v>4</v>
      </c>
      <c r="E19" s="941">
        <v>572057755</v>
      </c>
      <c r="F19" s="941">
        <v>572057755</v>
      </c>
      <c r="G19" s="941">
        <v>572057755</v>
      </c>
      <c r="H19" s="941">
        <v>572057755</v>
      </c>
      <c r="I19" s="941">
        <v>572057755</v>
      </c>
      <c r="J19" s="917">
        <v>572057755</v>
      </c>
      <c r="K19" s="917">
        <v>572057755</v>
      </c>
      <c r="L19" s="941"/>
      <c r="M19" s="923"/>
      <c r="N19" s="923"/>
      <c r="O19" s="923"/>
      <c r="P19" s="923"/>
      <c r="Q19" s="923"/>
      <c r="R19" s="923"/>
      <c r="S19" s="921"/>
      <c r="T19" s="941">
        <v>55317100</v>
      </c>
      <c r="U19" s="941">
        <v>178499367</v>
      </c>
      <c r="V19" s="941">
        <v>206683927</v>
      </c>
      <c r="W19" s="917">
        <v>455137719</v>
      </c>
      <c r="X19" s="917">
        <v>467893952</v>
      </c>
      <c r="Y19" s="915"/>
      <c r="Z19" s="923"/>
      <c r="AA19" s="923"/>
      <c r="AB19" s="923"/>
      <c r="AC19" s="923"/>
      <c r="AD19" s="923"/>
      <c r="AE19" s="923"/>
      <c r="AF19" s="921"/>
      <c r="AG19" s="712"/>
      <c r="AH19" s="712"/>
      <c r="AI19" s="712"/>
      <c r="AJ19" s="712"/>
      <c r="AK19" s="712"/>
      <c r="AL19" s="712"/>
      <c r="AM19" s="712"/>
      <c r="AN19" s="712"/>
      <c r="AO19" s="675"/>
      <c r="AP19" s="881"/>
      <c r="AQ19" s="712"/>
      <c r="AR19" s="712"/>
      <c r="AS19" s="712"/>
      <c r="AT19" s="712"/>
      <c r="AU19" s="712"/>
      <c r="AV19" s="712"/>
      <c r="AW19" s="712"/>
      <c r="AX19" s="676"/>
      <c r="AY19" s="880"/>
    </row>
    <row r="20" spans="1:51" ht="33.75" x14ac:dyDescent="0.25">
      <c r="A20" s="507"/>
      <c r="B20" s="458"/>
      <c r="C20" s="517"/>
      <c r="D20" s="935" t="s">
        <v>42</v>
      </c>
      <c r="E20" s="942">
        <v>4</v>
      </c>
      <c r="F20" s="942">
        <v>4</v>
      </c>
      <c r="G20" s="942">
        <v>4</v>
      </c>
      <c r="H20" s="942">
        <v>4</v>
      </c>
      <c r="I20" s="942">
        <v>4</v>
      </c>
      <c r="J20" s="944">
        <v>4</v>
      </c>
      <c r="K20" s="944">
        <v>4</v>
      </c>
      <c r="L20" s="942"/>
      <c r="M20" s="925"/>
      <c r="N20" s="925"/>
      <c r="O20" s="925"/>
      <c r="P20" s="925"/>
      <c r="Q20" s="925"/>
      <c r="R20" s="925"/>
      <c r="S20" s="925"/>
      <c r="T20" s="942">
        <v>0.45</v>
      </c>
      <c r="U20" s="942">
        <v>1</v>
      </c>
      <c r="V20" s="942">
        <v>2.3000000000000003</v>
      </c>
      <c r="W20" s="944">
        <v>3.25</v>
      </c>
      <c r="X20" s="944">
        <v>3.25</v>
      </c>
      <c r="Y20" s="924"/>
      <c r="Z20" s="925"/>
      <c r="AA20" s="925"/>
      <c r="AB20" s="925"/>
      <c r="AC20" s="925"/>
      <c r="AD20" s="925"/>
      <c r="AE20" s="925"/>
      <c r="AF20" s="799"/>
      <c r="AG20" s="712"/>
      <c r="AH20" s="712"/>
      <c r="AI20" s="712"/>
      <c r="AJ20" s="712"/>
      <c r="AK20" s="712"/>
      <c r="AL20" s="712"/>
      <c r="AM20" s="712"/>
      <c r="AN20" s="712"/>
      <c r="AO20" s="675"/>
      <c r="AP20" s="881"/>
      <c r="AQ20" s="712"/>
      <c r="AR20" s="712"/>
      <c r="AS20" s="712"/>
      <c r="AT20" s="712"/>
      <c r="AU20" s="712"/>
      <c r="AV20" s="712"/>
      <c r="AW20" s="712"/>
      <c r="AX20" s="676"/>
      <c r="AY20" s="880"/>
    </row>
    <row r="21" spans="1:51" ht="45" x14ac:dyDescent="0.25">
      <c r="A21" s="507"/>
      <c r="B21" s="458"/>
      <c r="C21" s="517"/>
      <c r="D21" s="933" t="s">
        <v>44</v>
      </c>
      <c r="E21" s="941">
        <v>4861667755</v>
      </c>
      <c r="F21" s="941">
        <v>4861667755</v>
      </c>
      <c r="G21" s="941">
        <v>4850367755</v>
      </c>
      <c r="H21" s="941">
        <v>4850367755</v>
      </c>
      <c r="I21" s="941">
        <v>4850367755</v>
      </c>
      <c r="J21" s="917">
        <v>4861667755</v>
      </c>
      <c r="K21" s="917">
        <v>4861667755</v>
      </c>
      <c r="L21" s="941"/>
      <c r="M21" s="921"/>
      <c r="N21" s="921"/>
      <c r="O21" s="921"/>
      <c r="P21" s="921"/>
      <c r="Q21" s="921"/>
      <c r="R21" s="921"/>
      <c r="S21" s="921"/>
      <c r="T21" s="941">
        <v>96607100</v>
      </c>
      <c r="U21" s="941">
        <v>630253867</v>
      </c>
      <c r="V21" s="941">
        <v>795400427</v>
      </c>
      <c r="W21" s="917">
        <v>1088743559</v>
      </c>
      <c r="X21" s="917">
        <v>1488941352</v>
      </c>
      <c r="Y21" s="920"/>
      <c r="Z21" s="921"/>
      <c r="AA21" s="921"/>
      <c r="AB21" s="921"/>
      <c r="AC21" s="921"/>
      <c r="AD21" s="921"/>
      <c r="AE21" s="921"/>
      <c r="AF21" s="923"/>
      <c r="AG21" s="712"/>
      <c r="AH21" s="712"/>
      <c r="AI21" s="712"/>
      <c r="AJ21" s="712"/>
      <c r="AK21" s="712"/>
      <c r="AL21" s="712"/>
      <c r="AM21" s="712"/>
      <c r="AN21" s="712"/>
      <c r="AO21" s="675"/>
      <c r="AP21" s="881"/>
      <c r="AQ21" s="712"/>
      <c r="AR21" s="712"/>
      <c r="AS21" s="712"/>
      <c r="AT21" s="712"/>
      <c r="AU21" s="712"/>
      <c r="AV21" s="712"/>
      <c r="AW21" s="712"/>
      <c r="AX21" s="676"/>
      <c r="AY21" s="880"/>
    </row>
    <row r="22" spans="1:51" ht="22.5" x14ac:dyDescent="0.25">
      <c r="A22" s="509">
        <v>3</v>
      </c>
      <c r="B22" s="512" t="s">
        <v>315</v>
      </c>
      <c r="C22" s="514" t="s">
        <v>457</v>
      </c>
      <c r="D22" s="935" t="s">
        <v>40</v>
      </c>
      <c r="E22" s="942">
        <v>1</v>
      </c>
      <c r="F22" s="942">
        <v>1</v>
      </c>
      <c r="G22" s="942">
        <v>1</v>
      </c>
      <c r="H22" s="942">
        <v>1</v>
      </c>
      <c r="I22" s="942">
        <v>1</v>
      </c>
      <c r="J22" s="944">
        <v>1</v>
      </c>
      <c r="K22" s="944">
        <v>1</v>
      </c>
      <c r="L22" s="942"/>
      <c r="M22" s="738"/>
      <c r="N22" s="738"/>
      <c r="O22" s="738"/>
      <c r="P22" s="738"/>
      <c r="Q22" s="738"/>
      <c r="R22" s="738"/>
      <c r="S22" s="738"/>
      <c r="T22" s="942">
        <v>0.17</v>
      </c>
      <c r="U22" s="942">
        <v>0.34</v>
      </c>
      <c r="V22" s="898">
        <v>0.68</v>
      </c>
      <c r="W22" s="940">
        <v>0.83000000000000007</v>
      </c>
      <c r="X22" s="940">
        <v>0.83000000000000007</v>
      </c>
      <c r="Y22" s="922"/>
      <c r="Z22" s="738"/>
      <c r="AA22" s="738"/>
      <c r="AB22" s="738"/>
      <c r="AC22" s="738"/>
      <c r="AD22" s="738"/>
      <c r="AE22" s="738"/>
      <c r="AF22" s="738"/>
      <c r="AG22" s="712" t="s">
        <v>310</v>
      </c>
      <c r="AH22" s="712" t="s">
        <v>311</v>
      </c>
      <c r="AI22" s="712" t="s">
        <v>311</v>
      </c>
      <c r="AJ22" s="712" t="s">
        <v>313</v>
      </c>
      <c r="AK22" s="712" t="s">
        <v>313</v>
      </c>
      <c r="AL22" s="712" t="s">
        <v>311</v>
      </c>
      <c r="AM22" s="712" t="s">
        <v>311</v>
      </c>
      <c r="AN22" s="712" t="s">
        <v>311</v>
      </c>
      <c r="AO22" s="675">
        <v>3751549</v>
      </c>
      <c r="AP22" s="881">
        <v>4082618</v>
      </c>
      <c r="AQ22" s="712" t="s">
        <v>311</v>
      </c>
      <c r="AR22" s="712" t="s">
        <v>311</v>
      </c>
      <c r="AS22" s="712" t="s">
        <v>311</v>
      </c>
      <c r="AT22" s="712" t="s">
        <v>311</v>
      </c>
      <c r="AU22" s="712" t="s">
        <v>311</v>
      </c>
      <c r="AV22" s="712" t="s">
        <v>311</v>
      </c>
      <c r="AW22" s="712" t="s">
        <v>311</v>
      </c>
      <c r="AX22" s="676">
        <v>7834167</v>
      </c>
      <c r="AY22" s="880"/>
    </row>
    <row r="23" spans="1:51" ht="33.75" x14ac:dyDescent="0.25">
      <c r="A23" s="510"/>
      <c r="B23" s="513"/>
      <c r="C23" s="515"/>
      <c r="D23" s="933" t="s">
        <v>3</v>
      </c>
      <c r="E23" s="941">
        <v>3696433999.8099999</v>
      </c>
      <c r="F23" s="941">
        <v>3696433999.8099999</v>
      </c>
      <c r="G23" s="941">
        <v>3706433999.8099999</v>
      </c>
      <c r="H23" s="941">
        <v>3706433999.8099999</v>
      </c>
      <c r="I23" s="941">
        <v>3706433999.8099999</v>
      </c>
      <c r="J23" s="917">
        <v>3706433999.8099999</v>
      </c>
      <c r="K23" s="917">
        <v>3696433999.8099999</v>
      </c>
      <c r="L23" s="941"/>
      <c r="M23" s="923"/>
      <c r="N23" s="923"/>
      <c r="O23" s="923"/>
      <c r="P23" s="923"/>
      <c r="Q23" s="923"/>
      <c r="R23" s="923"/>
      <c r="S23" s="923"/>
      <c r="T23" s="941">
        <v>164965845</v>
      </c>
      <c r="U23" s="941">
        <v>891367845</v>
      </c>
      <c r="V23" s="941">
        <v>1140095845</v>
      </c>
      <c r="W23" s="917">
        <v>1283023845</v>
      </c>
      <c r="X23" s="917">
        <v>1589008613</v>
      </c>
      <c r="Y23" s="915"/>
      <c r="Z23" s="923"/>
      <c r="AA23" s="923"/>
      <c r="AB23" s="923"/>
      <c r="AC23" s="923"/>
      <c r="AD23" s="923"/>
      <c r="AE23" s="923"/>
      <c r="AF23" s="926"/>
      <c r="AG23" s="712"/>
      <c r="AH23" s="712"/>
      <c r="AI23" s="712"/>
      <c r="AJ23" s="712"/>
      <c r="AK23" s="712"/>
      <c r="AL23" s="712"/>
      <c r="AM23" s="712"/>
      <c r="AN23" s="712"/>
      <c r="AO23" s="675"/>
      <c r="AP23" s="881"/>
      <c r="AQ23" s="712"/>
      <c r="AR23" s="712"/>
      <c r="AS23" s="712"/>
      <c r="AT23" s="712"/>
      <c r="AU23" s="712"/>
      <c r="AV23" s="712"/>
      <c r="AW23" s="712"/>
      <c r="AX23" s="676"/>
      <c r="AY23" s="880"/>
    </row>
    <row r="24" spans="1:51" ht="33.75" x14ac:dyDescent="0.25">
      <c r="A24" s="510"/>
      <c r="B24" s="513"/>
      <c r="C24" s="515"/>
      <c r="D24" s="935" t="s">
        <v>41</v>
      </c>
      <c r="E24" s="942">
        <v>0</v>
      </c>
      <c r="F24" s="942">
        <v>0</v>
      </c>
      <c r="G24" s="942">
        <v>0</v>
      </c>
      <c r="H24" s="942">
        <v>0</v>
      </c>
      <c r="I24" s="942">
        <v>0</v>
      </c>
      <c r="J24" s="944">
        <v>0</v>
      </c>
      <c r="K24" s="944">
        <v>0</v>
      </c>
      <c r="L24" s="942"/>
      <c r="M24" s="738"/>
      <c r="N24" s="738"/>
      <c r="O24" s="738"/>
      <c r="P24" s="738"/>
      <c r="Q24" s="738"/>
      <c r="R24" s="738"/>
      <c r="S24" s="738"/>
      <c r="T24" s="942">
        <v>0</v>
      </c>
      <c r="U24" s="942">
        <v>0</v>
      </c>
      <c r="V24" s="942">
        <v>0</v>
      </c>
      <c r="W24" s="944">
        <v>0</v>
      </c>
      <c r="X24" s="944">
        <v>0</v>
      </c>
      <c r="Y24" s="922"/>
      <c r="Z24" s="738"/>
      <c r="AA24" s="738"/>
      <c r="AB24" s="738"/>
      <c r="AC24" s="738"/>
      <c r="AD24" s="738"/>
      <c r="AE24" s="738"/>
      <c r="AF24" s="677"/>
      <c r="AG24" s="712"/>
      <c r="AH24" s="712"/>
      <c r="AI24" s="712"/>
      <c r="AJ24" s="712"/>
      <c r="AK24" s="712"/>
      <c r="AL24" s="712"/>
      <c r="AM24" s="712"/>
      <c r="AN24" s="712"/>
      <c r="AO24" s="675"/>
      <c r="AP24" s="881"/>
      <c r="AQ24" s="712"/>
      <c r="AR24" s="712"/>
      <c r="AS24" s="712"/>
      <c r="AT24" s="712"/>
      <c r="AU24" s="712"/>
      <c r="AV24" s="712"/>
      <c r="AW24" s="712"/>
      <c r="AX24" s="676"/>
      <c r="AY24" s="880"/>
    </row>
    <row r="25" spans="1:51" ht="33.75" x14ac:dyDescent="0.25">
      <c r="A25" s="510"/>
      <c r="B25" s="513"/>
      <c r="C25" s="515"/>
      <c r="D25" s="933" t="s">
        <v>4</v>
      </c>
      <c r="E25" s="941">
        <v>518246720</v>
      </c>
      <c r="F25" s="941">
        <v>518246720</v>
      </c>
      <c r="G25" s="941">
        <v>518246720</v>
      </c>
      <c r="H25" s="941">
        <v>518246720</v>
      </c>
      <c r="I25" s="941">
        <v>518246720</v>
      </c>
      <c r="J25" s="917">
        <v>518246720</v>
      </c>
      <c r="K25" s="917">
        <v>518246720</v>
      </c>
      <c r="L25" s="941"/>
      <c r="M25" s="923"/>
      <c r="N25" s="923"/>
      <c r="O25" s="923"/>
      <c r="P25" s="923"/>
      <c r="Q25" s="923"/>
      <c r="R25" s="923"/>
      <c r="S25" s="923"/>
      <c r="T25" s="941">
        <v>71315533</v>
      </c>
      <c r="U25" s="941">
        <v>238393410</v>
      </c>
      <c r="V25" s="941">
        <v>260422710</v>
      </c>
      <c r="W25" s="917">
        <v>301567071</v>
      </c>
      <c r="X25" s="917">
        <v>380371992</v>
      </c>
      <c r="Y25" s="915"/>
      <c r="Z25" s="923"/>
      <c r="AA25" s="923"/>
      <c r="AB25" s="923"/>
      <c r="AC25" s="923"/>
      <c r="AD25" s="923"/>
      <c r="AE25" s="923"/>
      <c r="AF25" s="799"/>
      <c r="AG25" s="712"/>
      <c r="AH25" s="712"/>
      <c r="AI25" s="712"/>
      <c r="AJ25" s="712"/>
      <c r="AK25" s="712"/>
      <c r="AL25" s="712"/>
      <c r="AM25" s="712"/>
      <c r="AN25" s="712"/>
      <c r="AO25" s="675"/>
      <c r="AP25" s="881"/>
      <c r="AQ25" s="712"/>
      <c r="AR25" s="712"/>
      <c r="AS25" s="712"/>
      <c r="AT25" s="712"/>
      <c r="AU25" s="712"/>
      <c r="AV25" s="712"/>
      <c r="AW25" s="712"/>
      <c r="AX25" s="676"/>
      <c r="AY25" s="880"/>
    </row>
    <row r="26" spans="1:51" ht="33.75" x14ac:dyDescent="0.25">
      <c r="A26" s="510"/>
      <c r="B26" s="513"/>
      <c r="C26" s="515"/>
      <c r="D26" s="935" t="s">
        <v>42</v>
      </c>
      <c r="E26" s="942">
        <v>1</v>
      </c>
      <c r="F26" s="942">
        <v>1</v>
      </c>
      <c r="G26" s="942">
        <v>1</v>
      </c>
      <c r="H26" s="942">
        <v>1</v>
      </c>
      <c r="I26" s="942">
        <v>1</v>
      </c>
      <c r="J26" s="944">
        <v>1</v>
      </c>
      <c r="K26" s="944">
        <v>1</v>
      </c>
      <c r="L26" s="942"/>
      <c r="M26" s="925"/>
      <c r="N26" s="925"/>
      <c r="O26" s="925"/>
      <c r="P26" s="925"/>
      <c r="Q26" s="925"/>
      <c r="R26" s="925"/>
      <c r="S26" s="925"/>
      <c r="T26" s="942">
        <v>0.17</v>
      </c>
      <c r="U26" s="942">
        <v>0.34</v>
      </c>
      <c r="V26" s="898">
        <v>0.68</v>
      </c>
      <c r="W26" s="940">
        <v>0.83000000000000007</v>
      </c>
      <c r="X26" s="940">
        <v>0.83000000000000007</v>
      </c>
      <c r="Y26" s="924"/>
      <c r="Z26" s="925"/>
      <c r="AA26" s="925"/>
      <c r="AB26" s="925"/>
      <c r="AC26" s="925"/>
      <c r="AD26" s="925"/>
      <c r="AE26" s="925"/>
      <c r="AF26" s="799"/>
      <c r="AG26" s="712"/>
      <c r="AH26" s="712"/>
      <c r="AI26" s="712"/>
      <c r="AJ26" s="712"/>
      <c r="AK26" s="712"/>
      <c r="AL26" s="712"/>
      <c r="AM26" s="712"/>
      <c r="AN26" s="712"/>
      <c r="AO26" s="675"/>
      <c r="AP26" s="881"/>
      <c r="AQ26" s="712"/>
      <c r="AR26" s="712"/>
      <c r="AS26" s="712"/>
      <c r="AT26" s="712"/>
      <c r="AU26" s="712"/>
      <c r="AV26" s="712"/>
      <c r="AW26" s="712"/>
      <c r="AX26" s="676"/>
      <c r="AY26" s="880"/>
    </row>
    <row r="27" spans="1:51" ht="45" x14ac:dyDescent="0.25">
      <c r="A27" s="511"/>
      <c r="B27" s="459"/>
      <c r="C27" s="515"/>
      <c r="D27" s="933" t="s">
        <v>44</v>
      </c>
      <c r="E27" s="941">
        <v>4214680719.8099999</v>
      </c>
      <c r="F27" s="941">
        <v>4214680719.8099999</v>
      </c>
      <c r="G27" s="941">
        <v>4224680719.8099999</v>
      </c>
      <c r="H27" s="941">
        <v>4224680719.8099999</v>
      </c>
      <c r="I27" s="941">
        <v>4224680719.8099999</v>
      </c>
      <c r="J27" s="917">
        <v>4224680719.8099999</v>
      </c>
      <c r="K27" s="917">
        <v>4214680719.8099999</v>
      </c>
      <c r="L27" s="941"/>
      <c r="M27" s="921"/>
      <c r="N27" s="921"/>
      <c r="O27" s="921"/>
      <c r="P27" s="921"/>
      <c r="Q27" s="921"/>
      <c r="R27" s="921"/>
      <c r="S27" s="921"/>
      <c r="T27" s="941">
        <v>236281378</v>
      </c>
      <c r="U27" s="941">
        <v>1129761255</v>
      </c>
      <c r="V27" s="941">
        <v>1400518555</v>
      </c>
      <c r="W27" s="917">
        <v>1584590916</v>
      </c>
      <c r="X27" s="917">
        <v>1969380605</v>
      </c>
      <c r="Y27" s="920"/>
      <c r="Z27" s="921"/>
      <c r="AA27" s="921"/>
      <c r="AB27" s="921"/>
      <c r="AC27" s="921"/>
      <c r="AD27" s="921"/>
      <c r="AE27" s="921"/>
      <c r="AF27" s="923"/>
      <c r="AG27" s="712"/>
      <c r="AH27" s="712"/>
      <c r="AI27" s="712"/>
      <c r="AJ27" s="712"/>
      <c r="AK27" s="712"/>
      <c r="AL27" s="712"/>
      <c r="AM27" s="712"/>
      <c r="AN27" s="712"/>
      <c r="AO27" s="675"/>
      <c r="AP27" s="881"/>
      <c r="AQ27" s="712"/>
      <c r="AR27" s="712"/>
      <c r="AS27" s="712"/>
      <c r="AT27" s="712"/>
      <c r="AU27" s="712"/>
      <c r="AV27" s="712"/>
      <c r="AW27" s="712"/>
      <c r="AX27" s="676"/>
      <c r="AY27" s="880"/>
    </row>
    <row r="28" spans="1:51" ht="22.5" x14ac:dyDescent="0.25">
      <c r="A28" s="509">
        <v>4</v>
      </c>
      <c r="B28" s="512" t="s">
        <v>316</v>
      </c>
      <c r="C28" s="508" t="s">
        <v>712</v>
      </c>
      <c r="D28" s="936" t="s">
        <v>40</v>
      </c>
      <c r="E28" s="942">
        <v>413</v>
      </c>
      <c r="F28" s="942">
        <v>413</v>
      </c>
      <c r="G28" s="942">
        <v>413</v>
      </c>
      <c r="H28" s="942">
        <v>413</v>
      </c>
      <c r="I28" s="942">
        <v>413</v>
      </c>
      <c r="J28" s="944">
        <v>413</v>
      </c>
      <c r="K28" s="944">
        <v>413</v>
      </c>
      <c r="L28" s="942"/>
      <c r="M28" s="738"/>
      <c r="N28" s="738"/>
      <c r="O28" s="738"/>
      <c r="P28" s="738"/>
      <c r="Q28" s="738"/>
      <c r="R28" s="738"/>
      <c r="S28" s="879"/>
      <c r="T28" s="942">
        <v>19</v>
      </c>
      <c r="U28" s="942">
        <v>30</v>
      </c>
      <c r="V28" s="942">
        <v>122</v>
      </c>
      <c r="W28" s="944">
        <v>254</v>
      </c>
      <c r="X28" s="944">
        <v>254</v>
      </c>
      <c r="Y28" s="927"/>
      <c r="Z28" s="738"/>
      <c r="AA28" s="738"/>
      <c r="AB28" s="738"/>
      <c r="AC28" s="738"/>
      <c r="AD28" s="738"/>
      <c r="AE28" s="738"/>
      <c r="AF28" s="879"/>
      <c r="AG28" s="712" t="s">
        <v>310</v>
      </c>
      <c r="AH28" s="712" t="s">
        <v>311</v>
      </c>
      <c r="AI28" s="712" t="s">
        <v>311</v>
      </c>
      <c r="AJ28" s="712" t="s">
        <v>313</v>
      </c>
      <c r="AK28" s="712" t="s">
        <v>313</v>
      </c>
      <c r="AL28" s="712" t="s">
        <v>311</v>
      </c>
      <c r="AM28" s="712" t="s">
        <v>311</v>
      </c>
      <c r="AN28" s="712" t="s">
        <v>311</v>
      </c>
      <c r="AO28" s="675">
        <v>3721767</v>
      </c>
      <c r="AP28" s="881">
        <v>4082893</v>
      </c>
      <c r="AQ28" s="712" t="s">
        <v>311</v>
      </c>
      <c r="AR28" s="712" t="s">
        <v>311</v>
      </c>
      <c r="AS28" s="712" t="s">
        <v>311</v>
      </c>
      <c r="AT28" s="712" t="s">
        <v>311</v>
      </c>
      <c r="AU28" s="712" t="s">
        <v>311</v>
      </c>
      <c r="AV28" s="712" t="s">
        <v>311</v>
      </c>
      <c r="AW28" s="712" t="s">
        <v>311</v>
      </c>
      <c r="AX28" s="676">
        <v>7804660</v>
      </c>
      <c r="AY28" s="880"/>
    </row>
    <row r="29" spans="1:51" ht="256.5" x14ac:dyDescent="0.25">
      <c r="A29" s="510"/>
      <c r="B29" s="513"/>
      <c r="C29" s="508"/>
      <c r="D29" s="933" t="s">
        <v>3</v>
      </c>
      <c r="E29" s="941">
        <v>1752800000</v>
      </c>
      <c r="F29" s="941">
        <v>1752800000</v>
      </c>
      <c r="G29" s="941">
        <v>1752800000</v>
      </c>
      <c r="H29" s="941">
        <v>1752800000</v>
      </c>
      <c r="I29" s="941">
        <v>1752800000</v>
      </c>
      <c r="J29" s="917">
        <v>1752800000</v>
      </c>
      <c r="K29" s="917">
        <v>1752800000</v>
      </c>
      <c r="L29" s="941"/>
      <c r="M29" s="923"/>
      <c r="N29" s="923"/>
      <c r="O29" s="923"/>
      <c r="P29" s="923"/>
      <c r="Q29" s="923"/>
      <c r="R29" s="923"/>
      <c r="S29" s="917"/>
      <c r="T29" s="941">
        <v>114638000</v>
      </c>
      <c r="U29" s="941">
        <v>466982000</v>
      </c>
      <c r="V29" s="941">
        <v>530982000</v>
      </c>
      <c r="W29" s="917">
        <v>594614000</v>
      </c>
      <c r="X29" s="917">
        <v>869320000</v>
      </c>
      <c r="Y29" s="915"/>
      <c r="Z29" s="923"/>
      <c r="AA29" s="923"/>
      <c r="AB29" s="923"/>
      <c r="AC29" s="923"/>
      <c r="AD29" s="923"/>
      <c r="AE29" s="923"/>
      <c r="AF29" s="923" t="s">
        <v>685</v>
      </c>
      <c r="AG29" s="712"/>
      <c r="AH29" s="712"/>
      <c r="AI29" s="712"/>
      <c r="AJ29" s="712"/>
      <c r="AK29" s="712"/>
      <c r="AL29" s="712"/>
      <c r="AM29" s="712"/>
      <c r="AN29" s="712"/>
      <c r="AO29" s="675"/>
      <c r="AP29" s="881"/>
      <c r="AQ29" s="712"/>
      <c r="AR29" s="712"/>
      <c r="AS29" s="712"/>
      <c r="AT29" s="712"/>
      <c r="AU29" s="712"/>
      <c r="AV29" s="712"/>
      <c r="AW29" s="712"/>
      <c r="AX29" s="676"/>
      <c r="AY29" s="880"/>
    </row>
    <row r="30" spans="1:51" ht="33.75" x14ac:dyDescent="0.25">
      <c r="A30" s="510"/>
      <c r="B30" s="513"/>
      <c r="C30" s="508"/>
      <c r="D30" s="936" t="s">
        <v>41</v>
      </c>
      <c r="E30" s="942">
        <v>0</v>
      </c>
      <c r="F30" s="942">
        <v>0</v>
      </c>
      <c r="G30" s="942">
        <v>0</v>
      </c>
      <c r="H30" s="942">
        <v>0</v>
      </c>
      <c r="I30" s="942">
        <v>0</v>
      </c>
      <c r="J30" s="944">
        <v>0</v>
      </c>
      <c r="K30" s="944">
        <v>0</v>
      </c>
      <c r="L30" s="942"/>
      <c r="M30" s="738"/>
      <c r="N30" s="738"/>
      <c r="O30" s="738"/>
      <c r="P30" s="738"/>
      <c r="Q30" s="738"/>
      <c r="R30" s="738"/>
      <c r="S30" s="878"/>
      <c r="T30" s="942">
        <v>0</v>
      </c>
      <c r="U30" s="942">
        <v>0</v>
      </c>
      <c r="V30" s="942">
        <v>0</v>
      </c>
      <c r="W30" s="944">
        <v>0</v>
      </c>
      <c r="X30" s="944">
        <v>0</v>
      </c>
      <c r="Y30" s="927"/>
      <c r="Z30" s="738"/>
      <c r="AA30" s="738"/>
      <c r="AB30" s="738"/>
      <c r="AC30" s="738"/>
      <c r="AD30" s="738"/>
      <c r="AE30" s="738"/>
      <c r="AF30" s="878"/>
      <c r="AG30" s="712"/>
      <c r="AH30" s="712"/>
      <c r="AI30" s="712"/>
      <c r="AJ30" s="712"/>
      <c r="AK30" s="712"/>
      <c r="AL30" s="712"/>
      <c r="AM30" s="712"/>
      <c r="AN30" s="712"/>
      <c r="AO30" s="675"/>
      <c r="AP30" s="881"/>
      <c r="AQ30" s="712"/>
      <c r="AR30" s="712"/>
      <c r="AS30" s="712"/>
      <c r="AT30" s="712"/>
      <c r="AU30" s="712"/>
      <c r="AV30" s="712"/>
      <c r="AW30" s="712"/>
      <c r="AX30" s="676"/>
      <c r="AY30" s="880"/>
    </row>
    <row r="31" spans="1:51" ht="33.75" x14ac:dyDescent="0.25">
      <c r="A31" s="510"/>
      <c r="B31" s="513"/>
      <c r="C31" s="508"/>
      <c r="D31" s="933" t="s">
        <v>4</v>
      </c>
      <c r="E31" s="941">
        <v>149166369</v>
      </c>
      <c r="F31" s="941">
        <v>149166369</v>
      </c>
      <c r="G31" s="941">
        <v>149166369</v>
      </c>
      <c r="H31" s="941">
        <v>149166369</v>
      </c>
      <c r="I31" s="941">
        <v>149166369</v>
      </c>
      <c r="J31" s="917">
        <v>149166369</v>
      </c>
      <c r="K31" s="917">
        <v>149166369</v>
      </c>
      <c r="L31" s="941"/>
      <c r="M31" s="923"/>
      <c r="N31" s="923"/>
      <c r="O31" s="923"/>
      <c r="P31" s="923"/>
      <c r="Q31" s="923"/>
      <c r="R31" s="923"/>
      <c r="S31" s="921"/>
      <c r="T31" s="941">
        <v>53187134</v>
      </c>
      <c r="U31" s="941">
        <v>98329799</v>
      </c>
      <c r="V31" s="941">
        <v>99514666</v>
      </c>
      <c r="W31" s="917">
        <v>104592666</v>
      </c>
      <c r="X31" s="917">
        <v>104664135</v>
      </c>
      <c r="Y31" s="915"/>
      <c r="Z31" s="923"/>
      <c r="AA31" s="923"/>
      <c r="AB31" s="923"/>
      <c r="AC31" s="923"/>
      <c r="AD31" s="923"/>
      <c r="AE31" s="923"/>
      <c r="AF31" s="921"/>
      <c r="AG31" s="712"/>
      <c r="AH31" s="712"/>
      <c r="AI31" s="712"/>
      <c r="AJ31" s="712"/>
      <c r="AK31" s="712"/>
      <c r="AL31" s="712"/>
      <c r="AM31" s="712"/>
      <c r="AN31" s="712"/>
      <c r="AO31" s="675"/>
      <c r="AP31" s="881"/>
      <c r="AQ31" s="712"/>
      <c r="AR31" s="712"/>
      <c r="AS31" s="712"/>
      <c r="AT31" s="712"/>
      <c r="AU31" s="712"/>
      <c r="AV31" s="712"/>
      <c r="AW31" s="712"/>
      <c r="AX31" s="676"/>
      <c r="AY31" s="880"/>
    </row>
    <row r="32" spans="1:51" ht="33.75" x14ac:dyDescent="0.25">
      <c r="A32" s="510"/>
      <c r="B32" s="513"/>
      <c r="C32" s="508"/>
      <c r="D32" s="936" t="s">
        <v>42</v>
      </c>
      <c r="E32" s="942">
        <v>413</v>
      </c>
      <c r="F32" s="942">
        <v>413</v>
      </c>
      <c r="G32" s="942">
        <v>413</v>
      </c>
      <c r="H32" s="942">
        <v>413</v>
      </c>
      <c r="I32" s="942">
        <v>413</v>
      </c>
      <c r="J32" s="944">
        <v>413</v>
      </c>
      <c r="K32" s="944">
        <v>413</v>
      </c>
      <c r="L32" s="942"/>
      <c r="M32" s="929"/>
      <c r="N32" s="929"/>
      <c r="O32" s="929"/>
      <c r="P32" s="929"/>
      <c r="Q32" s="929"/>
      <c r="R32" s="929"/>
      <c r="S32" s="929"/>
      <c r="T32" s="942">
        <v>19</v>
      </c>
      <c r="U32" s="942">
        <v>30</v>
      </c>
      <c r="V32" s="942">
        <v>122</v>
      </c>
      <c r="W32" s="944">
        <v>254</v>
      </c>
      <c r="X32" s="944">
        <v>254</v>
      </c>
      <c r="Y32" s="928"/>
      <c r="Z32" s="929"/>
      <c r="AA32" s="929"/>
      <c r="AB32" s="929"/>
      <c r="AC32" s="929"/>
      <c r="AD32" s="929"/>
      <c r="AE32" s="929"/>
      <c r="AF32" s="878"/>
      <c r="AG32" s="712"/>
      <c r="AH32" s="712"/>
      <c r="AI32" s="712"/>
      <c r="AJ32" s="712"/>
      <c r="AK32" s="712"/>
      <c r="AL32" s="712"/>
      <c r="AM32" s="712"/>
      <c r="AN32" s="712"/>
      <c r="AO32" s="675"/>
      <c r="AP32" s="881"/>
      <c r="AQ32" s="712"/>
      <c r="AR32" s="712"/>
      <c r="AS32" s="712"/>
      <c r="AT32" s="712"/>
      <c r="AU32" s="712"/>
      <c r="AV32" s="712"/>
      <c r="AW32" s="712"/>
      <c r="AX32" s="676"/>
      <c r="AY32" s="880"/>
    </row>
    <row r="33" spans="1:51" ht="45" x14ac:dyDescent="0.25">
      <c r="A33" s="511"/>
      <c r="B33" s="459"/>
      <c r="C33" s="508"/>
      <c r="D33" s="933" t="s">
        <v>44</v>
      </c>
      <c r="E33" s="941">
        <v>1901966369</v>
      </c>
      <c r="F33" s="941">
        <v>1901966369</v>
      </c>
      <c r="G33" s="941">
        <v>1901966369</v>
      </c>
      <c r="H33" s="941">
        <v>1901966369</v>
      </c>
      <c r="I33" s="941">
        <v>1901966369</v>
      </c>
      <c r="J33" s="917">
        <v>1901966369</v>
      </c>
      <c r="K33" s="917">
        <v>1901966369</v>
      </c>
      <c r="L33" s="941"/>
      <c r="M33" s="921"/>
      <c r="N33" s="921"/>
      <c r="O33" s="921"/>
      <c r="P33" s="921"/>
      <c r="Q33" s="921"/>
      <c r="R33" s="921"/>
      <c r="S33" s="921"/>
      <c r="T33" s="941">
        <v>167825134</v>
      </c>
      <c r="U33" s="941">
        <v>565311799</v>
      </c>
      <c r="V33" s="941">
        <v>630496666</v>
      </c>
      <c r="W33" s="917">
        <v>699206666</v>
      </c>
      <c r="X33" s="917">
        <v>973984135</v>
      </c>
      <c r="Y33" s="920"/>
      <c r="Z33" s="921"/>
      <c r="AA33" s="921"/>
      <c r="AB33" s="921"/>
      <c r="AC33" s="921"/>
      <c r="AD33" s="921"/>
      <c r="AE33" s="921"/>
      <c r="AF33" s="923"/>
      <c r="AG33" s="712"/>
      <c r="AH33" s="712"/>
      <c r="AI33" s="712"/>
      <c r="AJ33" s="712"/>
      <c r="AK33" s="712"/>
      <c r="AL33" s="712"/>
      <c r="AM33" s="712"/>
      <c r="AN33" s="712"/>
      <c r="AO33" s="675"/>
      <c r="AP33" s="881"/>
      <c r="AQ33" s="712"/>
      <c r="AR33" s="712"/>
      <c r="AS33" s="712"/>
      <c r="AT33" s="712"/>
      <c r="AU33" s="712"/>
      <c r="AV33" s="712"/>
      <c r="AW33" s="712"/>
      <c r="AX33" s="676"/>
      <c r="AY33" s="880"/>
    </row>
    <row r="34" spans="1:51" ht="22.5" x14ac:dyDescent="0.25">
      <c r="A34" s="507">
        <v>5</v>
      </c>
      <c r="B34" s="458" t="s">
        <v>307</v>
      </c>
      <c r="C34" s="508" t="s">
        <v>458</v>
      </c>
      <c r="D34" s="934" t="s">
        <v>40</v>
      </c>
      <c r="E34" s="897">
        <v>1</v>
      </c>
      <c r="F34" s="897">
        <v>1</v>
      </c>
      <c r="G34" s="897">
        <v>1</v>
      </c>
      <c r="H34" s="897">
        <v>1</v>
      </c>
      <c r="I34" s="897">
        <v>1</v>
      </c>
      <c r="J34" s="910">
        <v>1</v>
      </c>
      <c r="K34" s="910">
        <v>1</v>
      </c>
      <c r="L34" s="897"/>
      <c r="M34" s="910"/>
      <c r="N34" s="910"/>
      <c r="O34" s="910"/>
      <c r="P34" s="910"/>
      <c r="Q34" s="910"/>
      <c r="R34" s="910"/>
      <c r="S34" s="930"/>
      <c r="T34" s="897">
        <v>1</v>
      </c>
      <c r="U34" s="897">
        <v>1</v>
      </c>
      <c r="V34" s="897">
        <v>1</v>
      </c>
      <c r="W34" s="910">
        <v>1</v>
      </c>
      <c r="X34" s="910">
        <v>1</v>
      </c>
      <c r="Y34" s="912"/>
      <c r="Z34" s="910"/>
      <c r="AA34" s="910"/>
      <c r="AB34" s="910"/>
      <c r="AC34" s="910"/>
      <c r="AD34" s="910"/>
      <c r="AE34" s="910"/>
      <c r="AF34" s="930"/>
      <c r="AG34" s="712" t="s">
        <v>310</v>
      </c>
      <c r="AH34" s="712" t="s">
        <v>311</v>
      </c>
      <c r="AI34" s="712" t="s">
        <v>311</v>
      </c>
      <c r="AJ34" s="712" t="s">
        <v>318</v>
      </c>
      <c r="AK34" s="712" t="s">
        <v>313</v>
      </c>
      <c r="AL34" s="712" t="s">
        <v>311</v>
      </c>
      <c r="AM34" s="712" t="s">
        <v>311</v>
      </c>
      <c r="AN34" s="712" t="s">
        <v>311</v>
      </c>
      <c r="AO34" s="877">
        <v>3751549</v>
      </c>
      <c r="AP34" s="876">
        <v>4082618</v>
      </c>
      <c r="AQ34" s="712" t="s">
        <v>311</v>
      </c>
      <c r="AR34" s="712" t="s">
        <v>311</v>
      </c>
      <c r="AS34" s="712" t="s">
        <v>311</v>
      </c>
      <c r="AT34" s="712" t="s">
        <v>311</v>
      </c>
      <c r="AU34" s="712" t="s">
        <v>311</v>
      </c>
      <c r="AV34" s="712" t="s">
        <v>311</v>
      </c>
      <c r="AW34" s="712" t="s">
        <v>311</v>
      </c>
      <c r="AX34" s="676">
        <v>7834167</v>
      </c>
      <c r="AY34" s="880"/>
    </row>
    <row r="35" spans="1:51" ht="33.75" x14ac:dyDescent="0.25">
      <c r="A35" s="507"/>
      <c r="B35" s="458"/>
      <c r="C35" s="508"/>
      <c r="D35" s="933" t="s">
        <v>3</v>
      </c>
      <c r="E35" s="941">
        <v>1153561000</v>
      </c>
      <c r="F35" s="941">
        <v>1153561000</v>
      </c>
      <c r="G35" s="941">
        <v>1153561000</v>
      </c>
      <c r="H35" s="941">
        <v>1153561000</v>
      </c>
      <c r="I35" s="941">
        <v>1153561000</v>
      </c>
      <c r="J35" s="917">
        <v>1153561000</v>
      </c>
      <c r="K35" s="917">
        <v>1153561000</v>
      </c>
      <c r="L35" s="941"/>
      <c r="M35" s="917"/>
      <c r="N35" s="917"/>
      <c r="O35" s="917"/>
      <c r="P35" s="917"/>
      <c r="Q35" s="917"/>
      <c r="R35" s="917"/>
      <c r="S35" s="923"/>
      <c r="T35" s="941">
        <v>43152000</v>
      </c>
      <c r="U35" s="941">
        <v>207580000</v>
      </c>
      <c r="V35" s="941">
        <v>323695810</v>
      </c>
      <c r="W35" s="917">
        <v>352427810</v>
      </c>
      <c r="X35" s="917">
        <v>444957336</v>
      </c>
      <c r="Y35" s="915"/>
      <c r="Z35" s="917"/>
      <c r="AA35" s="917"/>
      <c r="AB35" s="917"/>
      <c r="AC35" s="917"/>
      <c r="AD35" s="917"/>
      <c r="AE35" s="917"/>
      <c r="AF35" s="917"/>
      <c r="AG35" s="712"/>
      <c r="AH35" s="712"/>
      <c r="AI35" s="712"/>
      <c r="AJ35" s="712"/>
      <c r="AK35" s="712"/>
      <c r="AL35" s="712"/>
      <c r="AM35" s="712"/>
      <c r="AN35" s="712"/>
      <c r="AO35" s="875"/>
      <c r="AP35" s="874"/>
      <c r="AQ35" s="712"/>
      <c r="AR35" s="712"/>
      <c r="AS35" s="712"/>
      <c r="AT35" s="712"/>
      <c r="AU35" s="712"/>
      <c r="AV35" s="712"/>
      <c r="AW35" s="712"/>
      <c r="AX35" s="676"/>
      <c r="AY35" s="880"/>
    </row>
    <row r="36" spans="1:51" ht="33.75" x14ac:dyDescent="0.25">
      <c r="A36" s="507"/>
      <c r="B36" s="458"/>
      <c r="C36" s="508"/>
      <c r="D36" s="934" t="s">
        <v>41</v>
      </c>
      <c r="E36" s="897">
        <v>0</v>
      </c>
      <c r="F36" s="897">
        <v>0</v>
      </c>
      <c r="G36" s="897">
        <v>0</v>
      </c>
      <c r="H36" s="897">
        <v>0</v>
      </c>
      <c r="I36" s="897">
        <v>0</v>
      </c>
      <c r="J36" s="910">
        <v>0</v>
      </c>
      <c r="K36" s="910">
        <v>0</v>
      </c>
      <c r="L36" s="897"/>
      <c r="M36" s="910"/>
      <c r="N36" s="910"/>
      <c r="O36" s="910"/>
      <c r="P36" s="910"/>
      <c r="Q36" s="910"/>
      <c r="R36" s="910"/>
      <c r="S36" s="930"/>
      <c r="T36" s="897">
        <v>0</v>
      </c>
      <c r="U36" s="897">
        <v>0</v>
      </c>
      <c r="V36" s="897">
        <v>0</v>
      </c>
      <c r="W36" s="910">
        <v>0</v>
      </c>
      <c r="X36" s="910">
        <v>0</v>
      </c>
      <c r="Y36" s="912"/>
      <c r="Z36" s="910"/>
      <c r="AA36" s="910"/>
      <c r="AB36" s="910"/>
      <c r="AC36" s="910"/>
      <c r="AD36" s="910"/>
      <c r="AE36" s="910"/>
      <c r="AF36" s="910"/>
      <c r="AG36" s="712"/>
      <c r="AH36" s="712"/>
      <c r="AI36" s="712"/>
      <c r="AJ36" s="712"/>
      <c r="AK36" s="712"/>
      <c r="AL36" s="712"/>
      <c r="AM36" s="712"/>
      <c r="AN36" s="712"/>
      <c r="AO36" s="875"/>
      <c r="AP36" s="874"/>
      <c r="AQ36" s="712"/>
      <c r="AR36" s="712"/>
      <c r="AS36" s="712"/>
      <c r="AT36" s="712"/>
      <c r="AU36" s="712"/>
      <c r="AV36" s="712"/>
      <c r="AW36" s="712"/>
      <c r="AX36" s="676"/>
      <c r="AY36" s="880"/>
    </row>
    <row r="37" spans="1:51" ht="33.75" x14ac:dyDescent="0.25">
      <c r="A37" s="507"/>
      <c r="B37" s="458"/>
      <c r="C37" s="508"/>
      <c r="D37" s="933" t="s">
        <v>4</v>
      </c>
      <c r="E37" s="941">
        <v>82357426</v>
      </c>
      <c r="F37" s="941">
        <v>82357426</v>
      </c>
      <c r="G37" s="941">
        <v>82357426</v>
      </c>
      <c r="H37" s="941">
        <v>82357426</v>
      </c>
      <c r="I37" s="941">
        <v>82357426</v>
      </c>
      <c r="J37" s="917">
        <v>82357426</v>
      </c>
      <c r="K37" s="917">
        <v>82357426</v>
      </c>
      <c r="L37" s="941"/>
      <c r="M37" s="917"/>
      <c r="N37" s="917"/>
      <c r="O37" s="917"/>
      <c r="P37" s="917"/>
      <c r="Q37" s="917"/>
      <c r="R37" s="917"/>
      <c r="S37" s="923"/>
      <c r="T37" s="941">
        <v>10821000</v>
      </c>
      <c r="U37" s="941">
        <v>38375033</v>
      </c>
      <c r="V37" s="941">
        <v>60404500</v>
      </c>
      <c r="W37" s="917">
        <v>69727460</v>
      </c>
      <c r="X37" s="917">
        <v>77248365</v>
      </c>
      <c r="Y37" s="915"/>
      <c r="Z37" s="917"/>
      <c r="AA37" s="917"/>
      <c r="AB37" s="917"/>
      <c r="AC37" s="917"/>
      <c r="AD37" s="917"/>
      <c r="AE37" s="917"/>
      <c r="AF37" s="917"/>
      <c r="AG37" s="712"/>
      <c r="AH37" s="712"/>
      <c r="AI37" s="712"/>
      <c r="AJ37" s="712"/>
      <c r="AK37" s="712"/>
      <c r="AL37" s="712"/>
      <c r="AM37" s="712"/>
      <c r="AN37" s="712"/>
      <c r="AO37" s="875"/>
      <c r="AP37" s="874"/>
      <c r="AQ37" s="712"/>
      <c r="AR37" s="712"/>
      <c r="AS37" s="712"/>
      <c r="AT37" s="712"/>
      <c r="AU37" s="712"/>
      <c r="AV37" s="712"/>
      <c r="AW37" s="712"/>
      <c r="AX37" s="676"/>
      <c r="AY37" s="880"/>
    </row>
    <row r="38" spans="1:51" ht="33.75" x14ac:dyDescent="0.25">
      <c r="A38" s="507"/>
      <c r="B38" s="458"/>
      <c r="C38" s="508"/>
      <c r="D38" s="934" t="s">
        <v>42</v>
      </c>
      <c r="E38" s="897">
        <v>1</v>
      </c>
      <c r="F38" s="897">
        <v>1</v>
      </c>
      <c r="G38" s="897">
        <v>1</v>
      </c>
      <c r="H38" s="897">
        <v>1</v>
      </c>
      <c r="I38" s="897">
        <v>1</v>
      </c>
      <c r="J38" s="910">
        <v>1</v>
      </c>
      <c r="K38" s="910">
        <v>1</v>
      </c>
      <c r="L38" s="897"/>
      <c r="M38" s="919"/>
      <c r="N38" s="919"/>
      <c r="O38" s="919"/>
      <c r="P38" s="919"/>
      <c r="Q38" s="919"/>
      <c r="R38" s="919"/>
      <c r="S38" s="919"/>
      <c r="T38" s="897">
        <v>1</v>
      </c>
      <c r="U38" s="897">
        <v>1</v>
      </c>
      <c r="V38" s="897">
        <v>1</v>
      </c>
      <c r="W38" s="910">
        <v>1</v>
      </c>
      <c r="X38" s="910">
        <v>1</v>
      </c>
      <c r="Y38" s="918"/>
      <c r="Z38" s="919"/>
      <c r="AA38" s="919"/>
      <c r="AB38" s="919"/>
      <c r="AC38" s="919"/>
      <c r="AD38" s="919"/>
      <c r="AE38" s="919"/>
      <c r="AF38" s="919"/>
      <c r="AG38" s="712"/>
      <c r="AH38" s="712"/>
      <c r="AI38" s="712"/>
      <c r="AJ38" s="712"/>
      <c r="AK38" s="712"/>
      <c r="AL38" s="712"/>
      <c r="AM38" s="712"/>
      <c r="AN38" s="712"/>
      <c r="AO38" s="875"/>
      <c r="AP38" s="874"/>
      <c r="AQ38" s="712"/>
      <c r="AR38" s="712"/>
      <c r="AS38" s="712"/>
      <c r="AT38" s="712"/>
      <c r="AU38" s="712"/>
      <c r="AV38" s="712"/>
      <c r="AW38" s="712"/>
      <c r="AX38" s="676"/>
      <c r="AY38" s="880"/>
    </row>
    <row r="39" spans="1:51" ht="45" x14ac:dyDescent="0.25">
      <c r="A39" s="507"/>
      <c r="B39" s="458"/>
      <c r="C39" s="508"/>
      <c r="D39" s="933" t="s">
        <v>44</v>
      </c>
      <c r="E39" s="941">
        <v>1235918426</v>
      </c>
      <c r="F39" s="941">
        <v>1235918426</v>
      </c>
      <c r="G39" s="941">
        <v>1235918426</v>
      </c>
      <c r="H39" s="941">
        <v>1235918426</v>
      </c>
      <c r="I39" s="941">
        <v>1235918426</v>
      </c>
      <c r="J39" s="917">
        <v>1235918426</v>
      </c>
      <c r="K39" s="917">
        <v>1235918426</v>
      </c>
      <c r="L39" s="941"/>
      <c r="M39" s="921"/>
      <c r="N39" s="921"/>
      <c r="O39" s="921"/>
      <c r="P39" s="921"/>
      <c r="Q39" s="921"/>
      <c r="R39" s="921"/>
      <c r="S39" s="921"/>
      <c r="T39" s="941">
        <v>53973000</v>
      </c>
      <c r="U39" s="941">
        <v>245955033</v>
      </c>
      <c r="V39" s="941">
        <v>384100310</v>
      </c>
      <c r="W39" s="917">
        <v>422155270</v>
      </c>
      <c r="X39" s="917">
        <v>522205701</v>
      </c>
      <c r="Y39" s="920"/>
      <c r="Z39" s="921"/>
      <c r="AA39" s="921"/>
      <c r="AB39" s="921"/>
      <c r="AC39" s="921"/>
      <c r="AD39" s="921"/>
      <c r="AE39" s="921"/>
      <c r="AF39" s="923"/>
      <c r="AG39" s="712"/>
      <c r="AH39" s="712"/>
      <c r="AI39" s="712"/>
      <c r="AJ39" s="712"/>
      <c r="AK39" s="712"/>
      <c r="AL39" s="712"/>
      <c r="AM39" s="712"/>
      <c r="AN39" s="712"/>
      <c r="AO39" s="883"/>
      <c r="AP39" s="882"/>
      <c r="AQ39" s="712"/>
      <c r="AR39" s="712"/>
      <c r="AS39" s="712"/>
      <c r="AT39" s="712"/>
      <c r="AU39" s="712"/>
      <c r="AV39" s="712"/>
      <c r="AW39" s="712"/>
      <c r="AX39" s="676"/>
      <c r="AY39" s="880"/>
    </row>
    <row r="40" spans="1:51" ht="22.5" x14ac:dyDescent="0.25">
      <c r="A40" s="507">
        <v>6</v>
      </c>
      <c r="B40" s="458" t="s">
        <v>781</v>
      </c>
      <c r="C40" s="508" t="s">
        <v>317</v>
      </c>
      <c r="D40" s="936" t="s">
        <v>40</v>
      </c>
      <c r="E40" s="942">
        <v>153</v>
      </c>
      <c r="F40" s="942">
        <v>153</v>
      </c>
      <c r="G40" s="942">
        <v>153</v>
      </c>
      <c r="H40" s="942">
        <v>153</v>
      </c>
      <c r="I40" s="942">
        <v>153</v>
      </c>
      <c r="J40" s="944">
        <v>432</v>
      </c>
      <c r="K40" s="944">
        <v>432</v>
      </c>
      <c r="L40" s="942"/>
      <c r="M40" s="879"/>
      <c r="N40" s="879"/>
      <c r="O40" s="879"/>
      <c r="P40" s="879"/>
      <c r="Q40" s="879"/>
      <c r="R40" s="879"/>
      <c r="S40" s="879"/>
      <c r="T40" s="942">
        <v>56</v>
      </c>
      <c r="U40" s="942">
        <v>109</v>
      </c>
      <c r="V40" s="942">
        <v>221</v>
      </c>
      <c r="W40" s="944">
        <v>356</v>
      </c>
      <c r="X40" s="944">
        <v>356</v>
      </c>
      <c r="Y40" s="922"/>
      <c r="Z40" s="879"/>
      <c r="AA40" s="879"/>
      <c r="AB40" s="879"/>
      <c r="AC40" s="879"/>
      <c r="AD40" s="879"/>
      <c r="AE40" s="879"/>
      <c r="AF40" s="879"/>
      <c r="AG40" s="712" t="s">
        <v>459</v>
      </c>
      <c r="AH40" s="712" t="s">
        <v>311</v>
      </c>
      <c r="AI40" s="712" t="s">
        <v>311</v>
      </c>
      <c r="AJ40" s="712" t="s">
        <v>459</v>
      </c>
      <c r="AK40" s="712" t="s">
        <v>313</v>
      </c>
      <c r="AL40" s="712" t="s">
        <v>311</v>
      </c>
      <c r="AM40" s="712" t="s">
        <v>311</v>
      </c>
      <c r="AN40" s="712" t="s">
        <v>311</v>
      </c>
      <c r="AO40" s="675">
        <v>1636823</v>
      </c>
      <c r="AP40" s="881">
        <v>1816010</v>
      </c>
      <c r="AQ40" s="712" t="s">
        <v>311</v>
      </c>
      <c r="AR40" s="712" t="s">
        <v>311</v>
      </c>
      <c r="AS40" s="712" t="s">
        <v>311</v>
      </c>
      <c r="AT40" s="712" t="s">
        <v>311</v>
      </c>
      <c r="AU40" s="712" t="s">
        <v>311</v>
      </c>
      <c r="AV40" s="712" t="s">
        <v>311</v>
      </c>
      <c r="AW40" s="712" t="s">
        <v>311</v>
      </c>
      <c r="AX40" s="676">
        <v>3452833</v>
      </c>
      <c r="AY40" s="880"/>
    </row>
    <row r="41" spans="1:51" ht="33.75" x14ac:dyDescent="0.25">
      <c r="A41" s="507"/>
      <c r="B41" s="458"/>
      <c r="C41" s="508"/>
      <c r="D41" s="933" t="s">
        <v>3</v>
      </c>
      <c r="E41" s="941">
        <v>1832612000</v>
      </c>
      <c r="F41" s="941">
        <v>1832612000</v>
      </c>
      <c r="G41" s="941">
        <v>1832612000</v>
      </c>
      <c r="H41" s="941">
        <v>1832612000</v>
      </c>
      <c r="I41" s="941">
        <v>1832612000</v>
      </c>
      <c r="J41" s="917">
        <v>1832612000</v>
      </c>
      <c r="K41" s="917">
        <v>1832612000</v>
      </c>
      <c r="L41" s="941"/>
      <c r="M41" s="923"/>
      <c r="N41" s="923"/>
      <c r="O41" s="923"/>
      <c r="P41" s="923"/>
      <c r="Q41" s="923"/>
      <c r="R41" s="923"/>
      <c r="S41" s="923"/>
      <c r="T41" s="941">
        <v>47492000</v>
      </c>
      <c r="U41" s="941">
        <v>277716000</v>
      </c>
      <c r="V41" s="941">
        <v>435712000</v>
      </c>
      <c r="W41" s="917">
        <v>525432000</v>
      </c>
      <c r="X41" s="917">
        <v>793718000</v>
      </c>
      <c r="Y41" s="915"/>
      <c r="Z41" s="923"/>
      <c r="AA41" s="923"/>
      <c r="AB41" s="923"/>
      <c r="AC41" s="923"/>
      <c r="AD41" s="923"/>
      <c r="AE41" s="923"/>
      <c r="AF41" s="917"/>
      <c r="AG41" s="712"/>
      <c r="AH41" s="712"/>
      <c r="AI41" s="712"/>
      <c r="AJ41" s="712"/>
      <c r="AK41" s="712"/>
      <c r="AL41" s="712"/>
      <c r="AM41" s="712"/>
      <c r="AN41" s="712"/>
      <c r="AO41" s="675"/>
      <c r="AP41" s="881"/>
      <c r="AQ41" s="712"/>
      <c r="AR41" s="712"/>
      <c r="AS41" s="712"/>
      <c r="AT41" s="712"/>
      <c r="AU41" s="712"/>
      <c r="AV41" s="712"/>
      <c r="AW41" s="712"/>
      <c r="AX41" s="676"/>
      <c r="AY41" s="880"/>
    </row>
    <row r="42" spans="1:51" ht="33.75" x14ac:dyDescent="0.25">
      <c r="A42" s="507"/>
      <c r="B42" s="458"/>
      <c r="C42" s="508"/>
      <c r="D42" s="936" t="s">
        <v>41</v>
      </c>
      <c r="E42" s="942">
        <v>0</v>
      </c>
      <c r="F42" s="942">
        <v>0</v>
      </c>
      <c r="G42" s="942">
        <v>0</v>
      </c>
      <c r="H42" s="942">
        <v>0</v>
      </c>
      <c r="I42" s="942">
        <v>0</v>
      </c>
      <c r="J42" s="944">
        <v>0</v>
      </c>
      <c r="K42" s="944">
        <v>0</v>
      </c>
      <c r="L42" s="942"/>
      <c r="M42" s="879"/>
      <c r="N42" s="879"/>
      <c r="O42" s="879"/>
      <c r="P42" s="879"/>
      <c r="Q42" s="879"/>
      <c r="R42" s="879"/>
      <c r="S42" s="879"/>
      <c r="T42" s="942">
        <v>0</v>
      </c>
      <c r="U42" s="942">
        <v>0</v>
      </c>
      <c r="V42" s="942">
        <v>0</v>
      </c>
      <c r="W42" s="944">
        <v>0</v>
      </c>
      <c r="X42" s="944">
        <v>0</v>
      </c>
      <c r="Y42" s="922"/>
      <c r="Z42" s="879"/>
      <c r="AA42" s="879"/>
      <c r="AB42" s="879"/>
      <c r="AC42" s="879"/>
      <c r="AD42" s="879"/>
      <c r="AE42" s="879"/>
      <c r="AF42" s="873"/>
      <c r="AG42" s="712"/>
      <c r="AH42" s="712"/>
      <c r="AI42" s="712"/>
      <c r="AJ42" s="712"/>
      <c r="AK42" s="712"/>
      <c r="AL42" s="712"/>
      <c r="AM42" s="712"/>
      <c r="AN42" s="712"/>
      <c r="AO42" s="675"/>
      <c r="AP42" s="881"/>
      <c r="AQ42" s="712"/>
      <c r="AR42" s="712"/>
      <c r="AS42" s="712"/>
      <c r="AT42" s="712"/>
      <c r="AU42" s="712"/>
      <c r="AV42" s="712"/>
      <c r="AW42" s="712"/>
      <c r="AX42" s="676"/>
      <c r="AY42" s="880"/>
    </row>
    <row r="43" spans="1:51" ht="33.75" x14ac:dyDescent="0.25">
      <c r="A43" s="507"/>
      <c r="B43" s="458"/>
      <c r="C43" s="508"/>
      <c r="D43" s="933" t="s">
        <v>4</v>
      </c>
      <c r="E43" s="941">
        <v>254041265</v>
      </c>
      <c r="F43" s="941">
        <v>254041265</v>
      </c>
      <c r="G43" s="941">
        <v>254041265</v>
      </c>
      <c r="H43" s="941">
        <v>254041265</v>
      </c>
      <c r="I43" s="941">
        <v>254041265</v>
      </c>
      <c r="J43" s="917">
        <v>254041265</v>
      </c>
      <c r="K43" s="917">
        <v>254041265</v>
      </c>
      <c r="L43" s="941"/>
      <c r="M43" s="923"/>
      <c r="N43" s="923"/>
      <c r="O43" s="923"/>
      <c r="P43" s="923"/>
      <c r="Q43" s="923"/>
      <c r="R43" s="923"/>
      <c r="S43" s="923"/>
      <c r="T43" s="941">
        <v>62472933</v>
      </c>
      <c r="U43" s="941">
        <v>123805366</v>
      </c>
      <c r="V43" s="941">
        <v>138686832</v>
      </c>
      <c r="W43" s="917">
        <v>155823432</v>
      </c>
      <c r="X43" s="917">
        <v>162887432</v>
      </c>
      <c r="Y43" s="915"/>
      <c r="Z43" s="923"/>
      <c r="AA43" s="923"/>
      <c r="AB43" s="923"/>
      <c r="AC43" s="923"/>
      <c r="AD43" s="923"/>
      <c r="AE43" s="923"/>
      <c r="AF43" s="917"/>
      <c r="AG43" s="712"/>
      <c r="AH43" s="712"/>
      <c r="AI43" s="712"/>
      <c r="AJ43" s="712"/>
      <c r="AK43" s="712"/>
      <c r="AL43" s="712"/>
      <c r="AM43" s="712"/>
      <c r="AN43" s="712"/>
      <c r="AO43" s="675"/>
      <c r="AP43" s="881"/>
      <c r="AQ43" s="712"/>
      <c r="AR43" s="712"/>
      <c r="AS43" s="712"/>
      <c r="AT43" s="712"/>
      <c r="AU43" s="712"/>
      <c r="AV43" s="712"/>
      <c r="AW43" s="712"/>
      <c r="AX43" s="676"/>
      <c r="AY43" s="880"/>
    </row>
    <row r="44" spans="1:51" ht="33.75" x14ac:dyDescent="0.25">
      <c r="A44" s="507"/>
      <c r="B44" s="458"/>
      <c r="C44" s="508"/>
      <c r="D44" s="936" t="s">
        <v>42</v>
      </c>
      <c r="E44" s="942">
        <v>153</v>
      </c>
      <c r="F44" s="942">
        <v>153</v>
      </c>
      <c r="G44" s="942">
        <v>153</v>
      </c>
      <c r="H44" s="942">
        <v>153</v>
      </c>
      <c r="I44" s="942">
        <v>153</v>
      </c>
      <c r="J44" s="944">
        <v>432</v>
      </c>
      <c r="K44" s="944">
        <v>432</v>
      </c>
      <c r="L44" s="942"/>
      <c r="M44" s="929"/>
      <c r="N44" s="929"/>
      <c r="O44" s="929"/>
      <c r="P44" s="929"/>
      <c r="Q44" s="929"/>
      <c r="R44" s="929"/>
      <c r="S44" s="929"/>
      <c r="T44" s="942">
        <v>56</v>
      </c>
      <c r="U44" s="942">
        <v>109</v>
      </c>
      <c r="V44" s="942">
        <v>221</v>
      </c>
      <c r="W44" s="944">
        <v>356</v>
      </c>
      <c r="X44" s="944">
        <v>356</v>
      </c>
      <c r="Y44" s="928"/>
      <c r="Z44" s="929"/>
      <c r="AA44" s="929"/>
      <c r="AB44" s="929"/>
      <c r="AC44" s="929"/>
      <c r="AD44" s="929"/>
      <c r="AE44" s="929"/>
      <c r="AF44" s="879"/>
      <c r="AG44" s="712"/>
      <c r="AH44" s="712"/>
      <c r="AI44" s="712"/>
      <c r="AJ44" s="712"/>
      <c r="AK44" s="712"/>
      <c r="AL44" s="712"/>
      <c r="AM44" s="712"/>
      <c r="AN44" s="712"/>
      <c r="AO44" s="675"/>
      <c r="AP44" s="881"/>
      <c r="AQ44" s="712"/>
      <c r="AR44" s="712"/>
      <c r="AS44" s="712"/>
      <c r="AT44" s="712"/>
      <c r="AU44" s="712"/>
      <c r="AV44" s="712"/>
      <c r="AW44" s="712"/>
      <c r="AX44" s="676"/>
      <c r="AY44" s="880"/>
    </row>
    <row r="45" spans="1:51" ht="45" x14ac:dyDescent="0.25">
      <c r="A45" s="507"/>
      <c r="B45" s="458"/>
      <c r="C45" s="508"/>
      <c r="D45" s="933" t="s">
        <v>44</v>
      </c>
      <c r="E45" s="941">
        <v>2086653265</v>
      </c>
      <c r="F45" s="941">
        <v>2086653265</v>
      </c>
      <c r="G45" s="941">
        <v>2086653265</v>
      </c>
      <c r="H45" s="941">
        <v>2086653265</v>
      </c>
      <c r="I45" s="941">
        <v>2086653265</v>
      </c>
      <c r="J45" s="917">
        <v>2086653265</v>
      </c>
      <c r="K45" s="917">
        <v>2086653265</v>
      </c>
      <c r="L45" s="941"/>
      <c r="M45" s="921"/>
      <c r="N45" s="921"/>
      <c r="O45" s="921"/>
      <c r="P45" s="921"/>
      <c r="Q45" s="921"/>
      <c r="R45" s="921"/>
      <c r="S45" s="921"/>
      <c r="T45" s="941">
        <v>109964933</v>
      </c>
      <c r="U45" s="941">
        <v>401521366</v>
      </c>
      <c r="V45" s="941">
        <v>574398832</v>
      </c>
      <c r="W45" s="917">
        <v>681255432</v>
      </c>
      <c r="X45" s="917">
        <v>956605432</v>
      </c>
      <c r="Y45" s="920"/>
      <c r="Z45" s="921"/>
      <c r="AA45" s="921"/>
      <c r="AB45" s="921"/>
      <c r="AC45" s="921"/>
      <c r="AD45" s="921"/>
      <c r="AE45" s="921"/>
      <c r="AF45" s="923"/>
      <c r="AG45" s="712"/>
      <c r="AH45" s="712"/>
      <c r="AI45" s="712"/>
      <c r="AJ45" s="712"/>
      <c r="AK45" s="712"/>
      <c r="AL45" s="712"/>
      <c r="AM45" s="712"/>
      <c r="AN45" s="712"/>
      <c r="AO45" s="675"/>
      <c r="AP45" s="881"/>
      <c r="AQ45" s="712"/>
      <c r="AR45" s="712"/>
      <c r="AS45" s="712"/>
      <c r="AT45" s="712"/>
      <c r="AU45" s="712"/>
      <c r="AV45" s="712"/>
      <c r="AW45" s="712"/>
      <c r="AX45" s="676"/>
      <c r="AY45" s="880"/>
    </row>
    <row r="46" spans="1:51" ht="22.5" x14ac:dyDescent="0.25">
      <c r="A46" s="507">
        <v>7</v>
      </c>
      <c r="B46" s="458" t="s">
        <v>308</v>
      </c>
      <c r="C46" s="508" t="s">
        <v>319</v>
      </c>
      <c r="D46" s="934" t="s">
        <v>40</v>
      </c>
      <c r="E46" s="897">
        <v>1</v>
      </c>
      <c r="F46" s="897">
        <v>1</v>
      </c>
      <c r="G46" s="897">
        <v>1</v>
      </c>
      <c r="H46" s="897">
        <v>1</v>
      </c>
      <c r="I46" s="897">
        <v>1</v>
      </c>
      <c r="J46" s="910">
        <v>1</v>
      </c>
      <c r="K46" s="910">
        <v>1</v>
      </c>
      <c r="L46" s="897"/>
      <c r="M46" s="910"/>
      <c r="N46" s="910"/>
      <c r="O46" s="910"/>
      <c r="P46" s="910"/>
      <c r="Q46" s="910"/>
      <c r="R46" s="910"/>
      <c r="S46" s="930"/>
      <c r="T46" s="897">
        <v>1</v>
      </c>
      <c r="U46" s="897">
        <v>1</v>
      </c>
      <c r="V46" s="897">
        <v>1</v>
      </c>
      <c r="W46" s="910">
        <v>1</v>
      </c>
      <c r="X46" s="910">
        <v>1</v>
      </c>
      <c r="Y46" s="912"/>
      <c r="Z46" s="910"/>
      <c r="AA46" s="910"/>
      <c r="AB46" s="910"/>
      <c r="AC46" s="910"/>
      <c r="AD46" s="910"/>
      <c r="AE46" s="910"/>
      <c r="AF46" s="930"/>
      <c r="AG46" s="712" t="s">
        <v>310</v>
      </c>
      <c r="AH46" s="712" t="s">
        <v>311</v>
      </c>
      <c r="AI46" s="712" t="s">
        <v>311</v>
      </c>
      <c r="AJ46" s="712" t="s">
        <v>313</v>
      </c>
      <c r="AK46" s="712" t="s">
        <v>313</v>
      </c>
      <c r="AL46" s="712" t="s">
        <v>311</v>
      </c>
      <c r="AM46" s="712" t="s">
        <v>311</v>
      </c>
      <c r="AN46" s="712" t="s">
        <v>311</v>
      </c>
      <c r="AO46" s="877">
        <v>3751549</v>
      </c>
      <c r="AP46" s="876">
        <v>4082618</v>
      </c>
      <c r="AQ46" s="712" t="s">
        <v>311</v>
      </c>
      <c r="AR46" s="712" t="s">
        <v>311</v>
      </c>
      <c r="AS46" s="712" t="s">
        <v>311</v>
      </c>
      <c r="AT46" s="712" t="s">
        <v>311</v>
      </c>
      <c r="AU46" s="712" t="s">
        <v>311</v>
      </c>
      <c r="AV46" s="712" t="s">
        <v>311</v>
      </c>
      <c r="AW46" s="712" t="s">
        <v>311</v>
      </c>
      <c r="AX46" s="676">
        <v>7834167</v>
      </c>
      <c r="AY46" s="880"/>
    </row>
    <row r="47" spans="1:51" ht="33.75" x14ac:dyDescent="0.25">
      <c r="A47" s="507"/>
      <c r="B47" s="458"/>
      <c r="C47" s="508"/>
      <c r="D47" s="933" t="s">
        <v>3</v>
      </c>
      <c r="E47" s="941">
        <v>1031774000</v>
      </c>
      <c r="F47" s="941">
        <v>1031774000</v>
      </c>
      <c r="G47" s="941">
        <v>1031774000</v>
      </c>
      <c r="H47" s="941">
        <v>1031774000</v>
      </c>
      <c r="I47" s="941">
        <v>1031774000</v>
      </c>
      <c r="J47" s="917">
        <v>1031774000</v>
      </c>
      <c r="K47" s="917">
        <v>1031774000</v>
      </c>
      <c r="L47" s="941"/>
      <c r="M47" s="917"/>
      <c r="N47" s="917"/>
      <c r="O47" s="917"/>
      <c r="P47" s="917"/>
      <c r="Q47" s="917"/>
      <c r="R47" s="917"/>
      <c r="S47" s="917"/>
      <c r="T47" s="941">
        <v>120278000</v>
      </c>
      <c r="U47" s="941">
        <v>198628000</v>
      </c>
      <c r="V47" s="941">
        <v>303976000</v>
      </c>
      <c r="W47" s="917">
        <v>321228000</v>
      </c>
      <c r="X47" s="917">
        <v>389842000</v>
      </c>
      <c r="Y47" s="915"/>
      <c r="Z47" s="917"/>
      <c r="AA47" s="917"/>
      <c r="AB47" s="917"/>
      <c r="AC47" s="917"/>
      <c r="AD47" s="917"/>
      <c r="AE47" s="917"/>
      <c r="AF47" s="917"/>
      <c r="AG47" s="712"/>
      <c r="AH47" s="712"/>
      <c r="AI47" s="712"/>
      <c r="AJ47" s="712"/>
      <c r="AK47" s="712"/>
      <c r="AL47" s="712"/>
      <c r="AM47" s="712"/>
      <c r="AN47" s="712"/>
      <c r="AO47" s="875"/>
      <c r="AP47" s="874"/>
      <c r="AQ47" s="712"/>
      <c r="AR47" s="712"/>
      <c r="AS47" s="712"/>
      <c r="AT47" s="712"/>
      <c r="AU47" s="712"/>
      <c r="AV47" s="712"/>
      <c r="AW47" s="712"/>
      <c r="AX47" s="676"/>
      <c r="AY47" s="880"/>
    </row>
    <row r="48" spans="1:51" ht="33.75" x14ac:dyDescent="0.25">
      <c r="A48" s="507"/>
      <c r="B48" s="458"/>
      <c r="C48" s="508"/>
      <c r="D48" s="934" t="s">
        <v>41</v>
      </c>
      <c r="E48" s="897">
        <v>0</v>
      </c>
      <c r="F48" s="897">
        <v>0</v>
      </c>
      <c r="G48" s="897">
        <v>0</v>
      </c>
      <c r="H48" s="897">
        <v>0</v>
      </c>
      <c r="I48" s="897">
        <v>0</v>
      </c>
      <c r="J48" s="910">
        <v>0</v>
      </c>
      <c r="K48" s="910">
        <v>0</v>
      </c>
      <c r="L48" s="897"/>
      <c r="M48" s="910"/>
      <c r="N48" s="910"/>
      <c r="O48" s="910"/>
      <c r="P48" s="910"/>
      <c r="Q48" s="910"/>
      <c r="R48" s="910"/>
      <c r="S48" s="910"/>
      <c r="T48" s="897">
        <v>0</v>
      </c>
      <c r="U48" s="897">
        <v>0</v>
      </c>
      <c r="V48" s="897">
        <v>0</v>
      </c>
      <c r="W48" s="910">
        <v>0</v>
      </c>
      <c r="X48" s="910">
        <v>0</v>
      </c>
      <c r="Y48" s="912"/>
      <c r="Z48" s="910"/>
      <c r="AA48" s="910"/>
      <c r="AB48" s="910"/>
      <c r="AC48" s="910"/>
      <c r="AD48" s="910"/>
      <c r="AE48" s="910"/>
      <c r="AF48" s="910"/>
      <c r="AG48" s="712"/>
      <c r="AH48" s="712"/>
      <c r="AI48" s="712"/>
      <c r="AJ48" s="712"/>
      <c r="AK48" s="712"/>
      <c r="AL48" s="712"/>
      <c r="AM48" s="712"/>
      <c r="AN48" s="712"/>
      <c r="AO48" s="875"/>
      <c r="AP48" s="874"/>
      <c r="AQ48" s="712"/>
      <c r="AR48" s="712"/>
      <c r="AS48" s="712"/>
      <c r="AT48" s="712"/>
      <c r="AU48" s="712"/>
      <c r="AV48" s="712"/>
      <c r="AW48" s="712"/>
      <c r="AX48" s="676"/>
      <c r="AY48" s="880"/>
    </row>
    <row r="49" spans="1:51" ht="33.75" x14ac:dyDescent="0.25">
      <c r="A49" s="507"/>
      <c r="B49" s="458"/>
      <c r="C49" s="508"/>
      <c r="D49" s="933" t="s">
        <v>4</v>
      </c>
      <c r="E49" s="941">
        <v>97839601</v>
      </c>
      <c r="F49" s="941">
        <v>97839601</v>
      </c>
      <c r="G49" s="941">
        <v>97839601</v>
      </c>
      <c r="H49" s="941">
        <v>97839601</v>
      </c>
      <c r="I49" s="941">
        <v>97839601</v>
      </c>
      <c r="J49" s="917">
        <v>97839601</v>
      </c>
      <c r="K49" s="917">
        <v>97839601</v>
      </c>
      <c r="L49" s="941"/>
      <c r="M49" s="917"/>
      <c r="N49" s="917"/>
      <c r="O49" s="917"/>
      <c r="P49" s="917"/>
      <c r="Q49" s="917"/>
      <c r="R49" s="917"/>
      <c r="S49" s="923"/>
      <c r="T49" s="941">
        <v>14560800</v>
      </c>
      <c r="U49" s="941">
        <v>31914301</v>
      </c>
      <c r="V49" s="941">
        <v>36179401</v>
      </c>
      <c r="W49" s="917">
        <v>38481201</v>
      </c>
      <c r="X49" s="917">
        <v>41070268</v>
      </c>
      <c r="Y49" s="915"/>
      <c r="Z49" s="917"/>
      <c r="AA49" s="917"/>
      <c r="AB49" s="917"/>
      <c r="AC49" s="917"/>
      <c r="AD49" s="917"/>
      <c r="AE49" s="917"/>
      <c r="AF49" s="917"/>
      <c r="AG49" s="712"/>
      <c r="AH49" s="712"/>
      <c r="AI49" s="712"/>
      <c r="AJ49" s="712"/>
      <c r="AK49" s="712"/>
      <c r="AL49" s="712"/>
      <c r="AM49" s="712"/>
      <c r="AN49" s="712"/>
      <c r="AO49" s="875"/>
      <c r="AP49" s="874"/>
      <c r="AQ49" s="712"/>
      <c r="AR49" s="712"/>
      <c r="AS49" s="712"/>
      <c r="AT49" s="712"/>
      <c r="AU49" s="712"/>
      <c r="AV49" s="712"/>
      <c r="AW49" s="712"/>
      <c r="AX49" s="676"/>
      <c r="AY49" s="880"/>
    </row>
    <row r="50" spans="1:51" ht="33.75" x14ac:dyDescent="0.25">
      <c r="A50" s="507"/>
      <c r="B50" s="458"/>
      <c r="C50" s="508"/>
      <c r="D50" s="937" t="s">
        <v>42</v>
      </c>
      <c r="E50" s="897">
        <v>1</v>
      </c>
      <c r="F50" s="897">
        <v>1</v>
      </c>
      <c r="G50" s="897">
        <v>1</v>
      </c>
      <c r="H50" s="897">
        <v>1</v>
      </c>
      <c r="I50" s="897">
        <v>1</v>
      </c>
      <c r="J50" s="910">
        <v>1</v>
      </c>
      <c r="K50" s="910">
        <v>1</v>
      </c>
      <c r="L50" s="897"/>
      <c r="M50" s="919"/>
      <c r="N50" s="919"/>
      <c r="O50" s="919"/>
      <c r="P50" s="919"/>
      <c r="Q50" s="919"/>
      <c r="R50" s="919"/>
      <c r="S50" s="919"/>
      <c r="T50" s="897">
        <v>1</v>
      </c>
      <c r="U50" s="897">
        <v>1</v>
      </c>
      <c r="V50" s="897">
        <v>1</v>
      </c>
      <c r="W50" s="910">
        <v>1</v>
      </c>
      <c r="X50" s="910">
        <v>1</v>
      </c>
      <c r="Y50" s="918"/>
      <c r="Z50" s="919"/>
      <c r="AA50" s="919"/>
      <c r="AB50" s="919"/>
      <c r="AC50" s="919"/>
      <c r="AD50" s="919"/>
      <c r="AE50" s="919"/>
      <c r="AF50" s="919"/>
      <c r="AG50" s="712"/>
      <c r="AH50" s="712"/>
      <c r="AI50" s="712"/>
      <c r="AJ50" s="712"/>
      <c r="AK50" s="712"/>
      <c r="AL50" s="712"/>
      <c r="AM50" s="712"/>
      <c r="AN50" s="712"/>
      <c r="AO50" s="875"/>
      <c r="AP50" s="874"/>
      <c r="AQ50" s="712"/>
      <c r="AR50" s="712"/>
      <c r="AS50" s="712"/>
      <c r="AT50" s="712"/>
      <c r="AU50" s="712"/>
      <c r="AV50" s="712"/>
      <c r="AW50" s="712"/>
      <c r="AX50" s="676"/>
      <c r="AY50" s="880"/>
    </row>
    <row r="51" spans="1:51" ht="45" x14ac:dyDescent="0.25">
      <c r="A51" s="507"/>
      <c r="B51" s="458"/>
      <c r="C51" s="508"/>
      <c r="D51" s="938" t="s">
        <v>44</v>
      </c>
      <c r="E51" s="941">
        <v>1129613601</v>
      </c>
      <c r="F51" s="941">
        <v>1129613601</v>
      </c>
      <c r="G51" s="941">
        <v>1129613601</v>
      </c>
      <c r="H51" s="941">
        <v>1129613601</v>
      </c>
      <c r="I51" s="941">
        <v>1129613601</v>
      </c>
      <c r="J51" s="917">
        <v>1129613601</v>
      </c>
      <c r="K51" s="917">
        <v>1129613601</v>
      </c>
      <c r="L51" s="941"/>
      <c r="M51" s="921"/>
      <c r="N51" s="921"/>
      <c r="O51" s="921"/>
      <c r="P51" s="921"/>
      <c r="Q51" s="921"/>
      <c r="R51" s="921"/>
      <c r="S51" s="921"/>
      <c r="T51" s="941">
        <v>134838800</v>
      </c>
      <c r="U51" s="941">
        <v>230542301</v>
      </c>
      <c r="V51" s="941">
        <v>340155401</v>
      </c>
      <c r="W51" s="917">
        <v>359709201</v>
      </c>
      <c r="X51" s="917">
        <v>430912268</v>
      </c>
      <c r="Y51" s="920"/>
      <c r="Z51" s="921"/>
      <c r="AA51" s="921"/>
      <c r="AB51" s="921"/>
      <c r="AC51" s="921"/>
      <c r="AD51" s="921"/>
      <c r="AE51" s="921"/>
      <c r="AF51" s="931"/>
      <c r="AG51" s="712"/>
      <c r="AH51" s="712"/>
      <c r="AI51" s="712"/>
      <c r="AJ51" s="712"/>
      <c r="AK51" s="712"/>
      <c r="AL51" s="712"/>
      <c r="AM51" s="712"/>
      <c r="AN51" s="712"/>
      <c r="AO51" s="883"/>
      <c r="AP51" s="882"/>
      <c r="AQ51" s="712"/>
      <c r="AR51" s="712"/>
      <c r="AS51" s="712"/>
      <c r="AT51" s="712"/>
      <c r="AU51" s="712"/>
      <c r="AV51" s="712"/>
      <c r="AW51" s="712"/>
      <c r="AX51" s="676"/>
      <c r="AY51" s="880"/>
    </row>
    <row r="52" spans="1:51" ht="33.75" x14ac:dyDescent="0.25">
      <c r="A52" s="433" t="s">
        <v>21</v>
      </c>
      <c r="B52" s="433"/>
      <c r="C52" s="433"/>
      <c r="D52" s="908" t="s">
        <v>33</v>
      </c>
      <c r="E52" s="909">
        <v>17338784999.809998</v>
      </c>
      <c r="F52" s="909">
        <v>17338784999.809998</v>
      </c>
      <c r="G52" s="909">
        <v>17338784999.809998</v>
      </c>
      <c r="H52" s="909">
        <v>17338784999.809998</v>
      </c>
      <c r="I52" s="909">
        <v>17338784999.809998</v>
      </c>
      <c r="J52" s="943">
        <v>17338784999.809998</v>
      </c>
      <c r="K52" s="943">
        <v>17338784999.809998</v>
      </c>
      <c r="L52" s="909"/>
      <c r="M52" s="943"/>
      <c r="N52" s="911"/>
      <c r="O52" s="911"/>
      <c r="P52" s="911"/>
      <c r="Q52" s="911"/>
      <c r="R52" s="911"/>
      <c r="S52" s="885"/>
      <c r="T52" s="909">
        <v>735106477</v>
      </c>
      <c r="U52" s="909">
        <v>3024094977</v>
      </c>
      <c r="V52" s="909">
        <v>4041076787</v>
      </c>
      <c r="W52" s="943">
        <v>4430203567</v>
      </c>
      <c r="X52" s="943">
        <v>6132435714</v>
      </c>
      <c r="Y52" s="909"/>
      <c r="Z52" s="943"/>
      <c r="AA52" s="911"/>
      <c r="AB52" s="911"/>
      <c r="AC52" s="911"/>
      <c r="AD52" s="911"/>
      <c r="AE52" s="911"/>
      <c r="AF52" s="885"/>
      <c r="AG52" s="433"/>
      <c r="AH52" s="433"/>
      <c r="AI52" s="433"/>
      <c r="AJ52" s="433"/>
      <c r="AK52" s="433"/>
      <c r="AL52" s="433"/>
      <c r="AM52" s="433"/>
      <c r="AN52" s="433"/>
      <c r="AO52" s="433"/>
      <c r="AP52" s="433"/>
      <c r="AQ52" s="433"/>
      <c r="AR52" s="433"/>
      <c r="AS52" s="433"/>
      <c r="AT52" s="433"/>
      <c r="AU52" s="433"/>
      <c r="AV52" s="433"/>
      <c r="AW52" s="433"/>
      <c r="AX52" s="433"/>
      <c r="AY52" s="433"/>
    </row>
    <row r="53" spans="1:51" ht="33.75" x14ac:dyDescent="0.25">
      <c r="A53" s="433"/>
      <c r="B53" s="433"/>
      <c r="C53" s="433"/>
      <c r="D53" s="908" t="s">
        <v>32</v>
      </c>
      <c r="E53" s="909">
        <v>2333135826</v>
      </c>
      <c r="F53" s="909">
        <v>2333135826</v>
      </c>
      <c r="G53" s="909">
        <v>2333135826</v>
      </c>
      <c r="H53" s="909">
        <v>2333135826</v>
      </c>
      <c r="I53" s="909">
        <v>2333135826</v>
      </c>
      <c r="J53" s="943">
        <v>2333135826</v>
      </c>
      <c r="K53" s="943">
        <v>2333135826</v>
      </c>
      <c r="L53" s="909"/>
      <c r="M53" s="943"/>
      <c r="N53" s="911"/>
      <c r="O53" s="911"/>
      <c r="P53" s="911"/>
      <c r="Q53" s="911"/>
      <c r="R53" s="911"/>
      <c r="S53" s="885"/>
      <c r="T53" s="909">
        <v>290943241</v>
      </c>
      <c r="U53" s="909">
        <v>778861556</v>
      </c>
      <c r="V53" s="909">
        <v>899091326</v>
      </c>
      <c r="W53" s="943">
        <v>1246090539</v>
      </c>
      <c r="X53" s="943">
        <v>1376766342</v>
      </c>
      <c r="Y53" s="909"/>
      <c r="Z53" s="943"/>
      <c r="AA53" s="911"/>
      <c r="AB53" s="911"/>
      <c r="AC53" s="911"/>
      <c r="AD53" s="911"/>
      <c r="AE53" s="911"/>
      <c r="AF53" s="885"/>
      <c r="AG53" s="433"/>
      <c r="AH53" s="433"/>
      <c r="AI53" s="433"/>
      <c r="AJ53" s="433"/>
      <c r="AK53" s="433"/>
      <c r="AL53" s="433"/>
      <c r="AM53" s="433"/>
      <c r="AN53" s="433"/>
      <c r="AO53" s="433"/>
      <c r="AP53" s="433"/>
      <c r="AQ53" s="433"/>
      <c r="AR53" s="433"/>
      <c r="AS53" s="433"/>
      <c r="AT53" s="433"/>
      <c r="AU53" s="433"/>
      <c r="AV53" s="433"/>
      <c r="AW53" s="433"/>
      <c r="AX53" s="433"/>
      <c r="AY53" s="433"/>
    </row>
    <row r="54" spans="1:51" ht="33.75" x14ac:dyDescent="0.25">
      <c r="A54" s="433"/>
      <c r="B54" s="433"/>
      <c r="C54" s="433"/>
      <c r="D54" s="908" t="s">
        <v>31</v>
      </c>
      <c r="E54" s="909">
        <v>19671920825.809998</v>
      </c>
      <c r="F54" s="909">
        <v>19671920825.809998</v>
      </c>
      <c r="G54" s="909">
        <v>19671920825.809998</v>
      </c>
      <c r="H54" s="909">
        <v>19671920825.809998</v>
      </c>
      <c r="I54" s="909">
        <v>19671920825.809998</v>
      </c>
      <c r="J54" s="943">
        <v>19671920825.809998</v>
      </c>
      <c r="K54" s="943">
        <v>19671920825.809998</v>
      </c>
      <c r="L54" s="909"/>
      <c r="M54" s="943"/>
      <c r="N54" s="911"/>
      <c r="O54" s="911"/>
      <c r="P54" s="911"/>
      <c r="Q54" s="911"/>
      <c r="R54" s="911"/>
      <c r="S54" s="885"/>
      <c r="T54" s="909">
        <v>1026049718</v>
      </c>
      <c r="U54" s="909">
        <v>3802956533</v>
      </c>
      <c r="V54" s="909">
        <v>4940168113</v>
      </c>
      <c r="W54" s="943">
        <v>5676294106</v>
      </c>
      <c r="X54" s="943">
        <v>7509202056</v>
      </c>
      <c r="Y54" s="909"/>
      <c r="Z54" s="943"/>
      <c r="AA54" s="911"/>
      <c r="AB54" s="911"/>
      <c r="AC54" s="911"/>
      <c r="AD54" s="911"/>
      <c r="AE54" s="911"/>
      <c r="AF54" s="885"/>
      <c r="AG54" s="433"/>
      <c r="AH54" s="433"/>
      <c r="AI54" s="433"/>
      <c r="AJ54" s="433"/>
      <c r="AK54" s="433"/>
      <c r="AL54" s="433"/>
      <c r="AM54" s="433"/>
      <c r="AN54" s="433"/>
      <c r="AO54" s="433"/>
      <c r="AP54" s="433"/>
      <c r="AQ54" s="433"/>
      <c r="AR54" s="433"/>
      <c r="AS54" s="433"/>
      <c r="AT54" s="433"/>
      <c r="AU54" s="433"/>
      <c r="AV54" s="433"/>
      <c r="AW54" s="433"/>
      <c r="AX54" s="433"/>
      <c r="AY54" s="433"/>
    </row>
    <row r="55" spans="1:51" x14ac:dyDescent="0.25">
      <c r="A55" s="890"/>
      <c r="B55" s="890"/>
      <c r="C55" s="890"/>
      <c r="D55" s="890"/>
      <c r="E55" s="891"/>
      <c r="F55" s="894"/>
      <c r="G55" s="891"/>
      <c r="H55" s="891"/>
      <c r="I55" s="891"/>
      <c r="J55" s="891"/>
      <c r="K55" s="891"/>
      <c r="L55" s="891"/>
      <c r="M55" s="891"/>
      <c r="N55" s="886"/>
      <c r="O55" s="886"/>
      <c r="P55" s="891"/>
      <c r="Q55" s="891"/>
      <c r="R55" s="891"/>
      <c r="S55" s="886"/>
      <c r="T55" s="886"/>
      <c r="U55" s="891"/>
      <c r="V55" s="891"/>
      <c r="W55" s="891"/>
      <c r="X55" s="891"/>
      <c r="Y55" s="891"/>
      <c r="Z55" s="891"/>
      <c r="AA55" s="891"/>
      <c r="AB55" s="891"/>
      <c r="AC55" s="891"/>
      <c r="AD55" s="904"/>
      <c r="AE55" s="890"/>
      <c r="AF55" s="890"/>
      <c r="AG55" s="890"/>
      <c r="AH55" s="890"/>
      <c r="AI55" s="890"/>
      <c r="AJ55" s="890"/>
      <c r="AK55" s="890"/>
      <c r="AL55" s="890"/>
      <c r="AM55" s="890"/>
      <c r="AN55" s="890"/>
      <c r="AO55" s="890"/>
      <c r="AP55" s="900"/>
      <c r="AQ55" s="900"/>
      <c r="AR55" s="890"/>
      <c r="AS55" s="890"/>
      <c r="AT55" s="890"/>
      <c r="AU55" s="890"/>
      <c r="AV55" s="890"/>
      <c r="AW55" s="890"/>
      <c r="AX55" s="900"/>
      <c r="AY55" s="886"/>
    </row>
    <row r="56" spans="1:51" ht="18" x14ac:dyDescent="0.25">
      <c r="A56" s="892"/>
      <c r="B56" s="892" t="s">
        <v>34</v>
      </c>
      <c r="C56" s="890"/>
      <c r="D56" s="890"/>
      <c r="E56" s="891"/>
      <c r="F56" s="894"/>
      <c r="G56" s="891"/>
      <c r="H56" s="891"/>
      <c r="I56" s="891"/>
      <c r="J56" s="891"/>
      <c r="K56" s="891"/>
      <c r="L56" s="891"/>
      <c r="M56" s="891"/>
      <c r="N56" s="886"/>
      <c r="O56" s="886"/>
      <c r="P56" s="891"/>
      <c r="Q56" s="891"/>
      <c r="R56" s="891"/>
      <c r="S56" s="886"/>
      <c r="T56" s="886"/>
      <c r="U56" s="886"/>
      <c r="V56" s="886"/>
      <c r="W56" s="886"/>
      <c r="X56" s="886"/>
      <c r="Y56" s="886"/>
      <c r="Z56" s="886"/>
      <c r="AA56" s="886"/>
      <c r="AB56" s="886"/>
      <c r="AC56" s="886"/>
      <c r="AD56" s="886"/>
      <c r="AE56" s="886"/>
      <c r="AF56" s="891"/>
      <c r="AG56" s="890"/>
      <c r="AH56" s="890"/>
      <c r="AI56" s="890"/>
      <c r="AJ56" s="899"/>
      <c r="AK56" s="899"/>
      <c r="AL56" s="899"/>
      <c r="AM56" s="899"/>
      <c r="AN56" s="899"/>
      <c r="AO56" s="899"/>
      <c r="AP56" s="901"/>
      <c r="AQ56" s="901"/>
      <c r="AR56" s="903"/>
      <c r="AS56" s="903"/>
      <c r="AT56" s="903"/>
      <c r="AU56" s="903"/>
      <c r="AV56" s="903"/>
      <c r="AW56" s="903"/>
      <c r="AX56" s="903"/>
      <c r="AY56" s="886"/>
    </row>
    <row r="57" spans="1:51" x14ac:dyDescent="0.25">
      <c r="A57" s="887"/>
      <c r="B57" s="895" t="s">
        <v>35</v>
      </c>
      <c r="C57" s="379" t="s">
        <v>36</v>
      </c>
      <c r="D57" s="380"/>
      <c r="E57" s="380"/>
      <c r="F57" s="380"/>
      <c r="G57" s="380"/>
      <c r="H57" s="380"/>
      <c r="I57" s="381"/>
      <c r="J57" s="382" t="s">
        <v>37</v>
      </c>
      <c r="K57" s="383"/>
      <c r="L57" s="383"/>
      <c r="M57" s="383"/>
      <c r="N57" s="383"/>
      <c r="O57" s="383"/>
      <c r="P57" s="384"/>
      <c r="Q57" s="889"/>
      <c r="R57" s="891"/>
      <c r="S57" s="886"/>
      <c r="T57" s="886"/>
      <c r="U57" s="886"/>
      <c r="V57" s="886"/>
      <c r="W57" s="886"/>
      <c r="X57" s="886"/>
      <c r="Y57" s="886"/>
      <c r="Z57" s="886"/>
      <c r="AA57" s="886"/>
      <c r="AB57" s="886"/>
      <c r="AC57" s="886"/>
      <c r="AD57" s="886"/>
      <c r="AE57" s="886"/>
      <c r="AF57" s="891"/>
      <c r="AG57" s="887"/>
      <c r="AH57" s="887"/>
      <c r="AI57" s="887"/>
      <c r="AJ57" s="887"/>
      <c r="AK57" s="887"/>
      <c r="AL57" s="887"/>
      <c r="AM57" s="887"/>
      <c r="AN57" s="887"/>
      <c r="AO57" s="887"/>
      <c r="AP57" s="887"/>
      <c r="AQ57" s="887"/>
      <c r="AR57" s="887"/>
      <c r="AS57" s="887"/>
      <c r="AT57" s="887"/>
      <c r="AU57" s="887"/>
      <c r="AV57" s="887"/>
      <c r="AW57" s="887"/>
      <c r="AX57" s="887"/>
      <c r="AY57" s="887"/>
    </row>
    <row r="58" spans="1:51" x14ac:dyDescent="0.25">
      <c r="A58" s="888"/>
      <c r="B58" s="896">
        <v>13</v>
      </c>
      <c r="C58" s="376" t="s">
        <v>89</v>
      </c>
      <c r="D58" s="376"/>
      <c r="E58" s="376"/>
      <c r="F58" s="376"/>
      <c r="G58" s="376"/>
      <c r="H58" s="376"/>
      <c r="I58" s="376"/>
      <c r="J58" s="376" t="s">
        <v>80</v>
      </c>
      <c r="K58" s="376"/>
      <c r="L58" s="376"/>
      <c r="M58" s="376"/>
      <c r="N58" s="376"/>
      <c r="O58" s="376"/>
      <c r="P58" s="376"/>
      <c r="Q58" s="889"/>
      <c r="R58" s="891"/>
      <c r="S58" s="886"/>
      <c r="T58" s="886"/>
      <c r="U58" s="889"/>
      <c r="V58" s="893"/>
      <c r="W58" s="888"/>
      <c r="X58" s="888"/>
      <c r="Y58" s="888"/>
      <c r="Z58" s="888"/>
      <c r="AA58" s="888"/>
      <c r="AB58" s="888"/>
      <c r="AC58" s="888"/>
      <c r="AD58" s="888"/>
      <c r="AE58" s="888"/>
      <c r="AF58" s="887"/>
      <c r="AG58" s="887"/>
      <c r="AH58" s="887"/>
      <c r="AI58" s="887"/>
      <c r="AJ58" s="887"/>
      <c r="AK58" s="887"/>
      <c r="AL58" s="887"/>
      <c r="AM58" s="887"/>
      <c r="AN58" s="887"/>
      <c r="AO58" s="887"/>
      <c r="AP58" s="887"/>
      <c r="AQ58" s="887"/>
      <c r="AR58" s="887"/>
      <c r="AS58" s="887"/>
      <c r="AT58" s="887"/>
      <c r="AU58" s="887"/>
      <c r="AV58" s="887"/>
      <c r="AW58" s="887"/>
      <c r="AX58" s="887"/>
      <c r="AY58" s="887"/>
    </row>
    <row r="59" spans="1:51" x14ac:dyDescent="0.25">
      <c r="A59" s="888"/>
      <c r="B59" s="896">
        <v>14</v>
      </c>
      <c r="C59" s="376" t="s">
        <v>247</v>
      </c>
      <c r="D59" s="376"/>
      <c r="E59" s="376"/>
      <c r="F59" s="376"/>
      <c r="G59" s="376"/>
      <c r="H59" s="376"/>
      <c r="I59" s="376"/>
      <c r="J59" s="377" t="s">
        <v>508</v>
      </c>
      <c r="K59" s="377"/>
      <c r="L59" s="377"/>
      <c r="M59" s="377"/>
      <c r="N59" s="377"/>
      <c r="O59" s="377"/>
      <c r="P59" s="377"/>
      <c r="Q59" s="889"/>
      <c r="R59" s="891"/>
      <c r="S59" s="889"/>
      <c r="T59" s="889"/>
      <c r="U59" s="889"/>
      <c r="V59" s="893"/>
      <c r="W59" s="888"/>
      <c r="X59" s="888"/>
      <c r="Y59" s="888"/>
      <c r="Z59" s="888"/>
      <c r="AA59" s="888"/>
      <c r="AB59" s="888"/>
      <c r="AC59" s="888"/>
      <c r="AD59" s="888"/>
      <c r="AE59" s="888"/>
      <c r="AF59" s="887"/>
      <c r="AG59" s="887"/>
      <c r="AH59" s="887"/>
      <c r="AI59" s="887"/>
      <c r="AJ59" s="887"/>
      <c r="AK59" s="887"/>
      <c r="AL59" s="887"/>
      <c r="AM59" s="887"/>
      <c r="AN59" s="887"/>
      <c r="AO59" s="887"/>
      <c r="AP59" s="887"/>
      <c r="AQ59" s="887"/>
      <c r="AR59" s="887"/>
      <c r="AS59" s="887"/>
      <c r="AT59" s="887"/>
      <c r="AU59" s="887"/>
      <c r="AV59" s="887"/>
      <c r="AW59" s="887"/>
      <c r="AX59" s="887"/>
      <c r="AY59" s="887"/>
    </row>
  </sheetData>
  <mergeCells count="183">
    <mergeCell ref="A1:D3"/>
    <mergeCell ref="E1:AY1"/>
    <mergeCell ref="E2:AY2"/>
    <mergeCell ref="E3:AF3"/>
    <mergeCell ref="AG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5"/>
    <mergeCell ref="B10:B15"/>
    <mergeCell ref="C10:C15"/>
    <mergeCell ref="AG10:AG15"/>
    <mergeCell ref="AH10:AH15"/>
    <mergeCell ref="AI10:AI15"/>
    <mergeCell ref="AJ10:AJ15"/>
    <mergeCell ref="AK10:AK15"/>
    <mergeCell ref="AX10:AX15"/>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X16:AX21"/>
    <mergeCell ref="AY16:AY21"/>
    <mergeCell ref="AS16:AS21"/>
    <mergeCell ref="A22:A27"/>
    <mergeCell ref="B22:B27"/>
    <mergeCell ref="C22:C27"/>
    <mergeCell ref="AG22:AG27"/>
    <mergeCell ref="AH22:AH27"/>
    <mergeCell ref="AI22:AI27"/>
    <mergeCell ref="AJ22:AJ27"/>
    <mergeCell ref="AK22:AK27"/>
    <mergeCell ref="AR16:AR21"/>
    <mergeCell ref="AT16:AT21"/>
    <mergeCell ref="AU16:AU21"/>
    <mergeCell ref="AV16:AV21"/>
    <mergeCell ref="AW16:AW21"/>
    <mergeCell ref="AL16:AL21"/>
    <mergeCell ref="AM16:AM21"/>
    <mergeCell ref="AN16:AN21"/>
    <mergeCell ref="AO16:AO21"/>
    <mergeCell ref="AP16:AP21"/>
    <mergeCell ref="AQ16:AQ21"/>
    <mergeCell ref="AX22:AX27"/>
    <mergeCell ref="AY22:AY27"/>
    <mergeCell ref="A28:A33"/>
    <mergeCell ref="B28:B33"/>
    <mergeCell ref="C28:C33"/>
    <mergeCell ref="AG28:AG33"/>
    <mergeCell ref="AH28:AH33"/>
    <mergeCell ref="AI28:AI33"/>
    <mergeCell ref="AJ28:AJ33"/>
    <mergeCell ref="AK28:AK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X28:AX33"/>
    <mergeCell ref="AY28:AY33"/>
    <mergeCell ref="A34:A39"/>
    <mergeCell ref="B34:B39"/>
    <mergeCell ref="C34:C39"/>
    <mergeCell ref="AG34:AG39"/>
    <mergeCell ref="AH34:AH39"/>
    <mergeCell ref="AI34:AI39"/>
    <mergeCell ref="AJ34:AJ39"/>
    <mergeCell ref="AK34:AK39"/>
    <mergeCell ref="AR28:AR33"/>
    <mergeCell ref="AS28:AS33"/>
    <mergeCell ref="AT28:AT33"/>
    <mergeCell ref="AU28:AU33"/>
    <mergeCell ref="AV28:AV33"/>
    <mergeCell ref="AW28:AW33"/>
    <mergeCell ref="AL28:AL33"/>
    <mergeCell ref="AM28:AM33"/>
    <mergeCell ref="AN28:AN33"/>
    <mergeCell ref="AO28:AO33"/>
    <mergeCell ref="AP28:AP33"/>
    <mergeCell ref="AQ28:AQ33"/>
    <mergeCell ref="AX34:AX39"/>
    <mergeCell ref="AY34:AY39"/>
    <mergeCell ref="A40:A45"/>
    <mergeCell ref="B40:B45"/>
    <mergeCell ref="C40:C45"/>
    <mergeCell ref="AG40:AG45"/>
    <mergeCell ref="AH40:AH45"/>
    <mergeCell ref="AI40:AI45"/>
    <mergeCell ref="AJ40:AJ45"/>
    <mergeCell ref="AK40:AK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X40:AX45"/>
    <mergeCell ref="AY40:AY45"/>
    <mergeCell ref="A46:A51"/>
    <mergeCell ref="B46:B51"/>
    <mergeCell ref="C46:C51"/>
    <mergeCell ref="AG46:AG51"/>
    <mergeCell ref="AH46:AH51"/>
    <mergeCell ref="AI46:AI51"/>
    <mergeCell ref="AJ46:AJ51"/>
    <mergeCell ref="AK46:AK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C57:I57"/>
    <mergeCell ref="J57:P57"/>
    <mergeCell ref="C58:I58"/>
    <mergeCell ref="J58:P58"/>
    <mergeCell ref="C59:I59"/>
    <mergeCell ref="J59:P59"/>
    <mergeCell ref="AX46:AX51"/>
    <mergeCell ref="AY46:AY51"/>
    <mergeCell ref="A52:C54"/>
    <mergeCell ref="S52:S54"/>
    <mergeCell ref="AF52:AF54"/>
    <mergeCell ref="AG52:AY54"/>
    <mergeCell ref="AR46:AR51"/>
    <mergeCell ref="AS46:AS51"/>
    <mergeCell ref="AT46:AT51"/>
    <mergeCell ref="AU46:AU51"/>
    <mergeCell ref="AV46:AV51"/>
    <mergeCell ref="AW46:AW51"/>
    <mergeCell ref="AL46:AL51"/>
    <mergeCell ref="AM46:AM51"/>
    <mergeCell ref="AN46:AN51"/>
    <mergeCell ref="AO46:AO51"/>
    <mergeCell ref="AP46:AP51"/>
    <mergeCell ref="AQ46:AQ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599"/>
  <sheetViews>
    <sheetView showGridLines="0" zoomScale="75" zoomScaleNormal="75" workbookViewId="0">
      <selection activeCell="L208" sqref="L208"/>
    </sheetView>
  </sheetViews>
  <sheetFormatPr baseColWidth="10" defaultColWidth="10.7109375" defaultRowHeight="24.75" customHeight="1" x14ac:dyDescent="0.2"/>
  <cols>
    <col min="1" max="1" width="16.28515625" style="83" customWidth="1"/>
    <col min="2" max="2" width="49.85546875" style="83" customWidth="1"/>
    <col min="3" max="3" width="19.140625" style="83" customWidth="1"/>
    <col min="4" max="4" width="31.42578125" style="83" customWidth="1"/>
    <col min="5" max="5" width="23.28515625" style="83" customWidth="1"/>
    <col min="6" max="6" width="24.7109375" style="83" customWidth="1"/>
    <col min="7" max="7" width="23.85546875" style="83" customWidth="1"/>
    <col min="8" max="8" width="20.42578125" style="83" customWidth="1"/>
    <col min="9" max="9" width="14.28515625" style="206" customWidth="1"/>
    <col min="10" max="10" width="14.28515625" style="83" customWidth="1"/>
    <col min="11" max="11" width="14.140625" style="83" customWidth="1"/>
    <col min="12" max="12" width="34.28515625" style="83" customWidth="1"/>
    <col min="13" max="16384" width="10.7109375" style="83"/>
  </cols>
  <sheetData>
    <row r="1" spans="1:12" ht="28.5" customHeight="1" x14ac:dyDescent="0.2">
      <c r="A1" s="588"/>
      <c r="B1" s="588"/>
      <c r="C1" s="589" t="s">
        <v>38</v>
      </c>
      <c r="D1" s="589"/>
      <c r="E1" s="589"/>
      <c r="F1" s="589"/>
      <c r="G1" s="589"/>
      <c r="H1" s="589"/>
      <c r="I1" s="589"/>
      <c r="J1" s="589"/>
      <c r="K1" s="589"/>
      <c r="L1" s="589"/>
    </row>
    <row r="2" spans="1:12" ht="21.75" customHeight="1" x14ac:dyDescent="0.2">
      <c r="A2" s="588"/>
      <c r="B2" s="588"/>
      <c r="C2" s="590" t="s">
        <v>119</v>
      </c>
      <c r="D2" s="589"/>
      <c r="E2" s="589"/>
      <c r="F2" s="589"/>
      <c r="G2" s="589"/>
      <c r="H2" s="589"/>
      <c r="I2" s="589"/>
      <c r="J2" s="589"/>
      <c r="K2" s="589"/>
      <c r="L2" s="589"/>
    </row>
    <row r="3" spans="1:12" ht="19.5" customHeight="1" x14ac:dyDescent="0.2">
      <c r="A3" s="588"/>
      <c r="B3" s="588"/>
      <c r="C3" s="591" t="s">
        <v>39</v>
      </c>
      <c r="D3" s="591"/>
      <c r="E3" s="591"/>
      <c r="F3" s="591"/>
      <c r="G3" s="591"/>
      <c r="H3" s="592" t="s">
        <v>246</v>
      </c>
      <c r="I3" s="592"/>
      <c r="J3" s="592"/>
      <c r="K3" s="592"/>
      <c r="L3" s="592"/>
    </row>
    <row r="4" spans="1:12" ht="29.25" customHeight="1" x14ac:dyDescent="0.2">
      <c r="A4" s="585" t="s">
        <v>0</v>
      </c>
      <c r="B4" s="585"/>
      <c r="C4" s="586" t="s">
        <v>326</v>
      </c>
      <c r="D4" s="586"/>
      <c r="E4" s="586"/>
      <c r="F4" s="586"/>
      <c r="G4" s="586"/>
      <c r="H4" s="586"/>
      <c r="I4" s="586"/>
      <c r="J4" s="586"/>
      <c r="K4" s="586"/>
      <c r="L4" s="586"/>
    </row>
    <row r="5" spans="1:12" ht="24" customHeight="1" x14ac:dyDescent="0.2">
      <c r="A5" s="585" t="s">
        <v>2</v>
      </c>
      <c r="B5" s="585"/>
      <c r="C5" s="586" t="s">
        <v>327</v>
      </c>
      <c r="D5" s="586"/>
      <c r="E5" s="586"/>
      <c r="F5" s="586"/>
      <c r="G5" s="586"/>
      <c r="H5" s="586"/>
      <c r="I5" s="586"/>
      <c r="J5" s="586"/>
      <c r="K5" s="586"/>
      <c r="L5" s="586"/>
    </row>
    <row r="6" spans="1:12" ht="15.75" customHeight="1" x14ac:dyDescent="0.2"/>
    <row r="7" spans="1:12" s="77" customFormat="1" ht="24.75" customHeight="1" x14ac:dyDescent="0.25">
      <c r="A7" s="587" t="s">
        <v>120</v>
      </c>
      <c r="B7" s="587"/>
      <c r="C7" s="587"/>
      <c r="D7" s="587"/>
      <c r="E7" s="587"/>
      <c r="F7" s="587"/>
      <c r="G7" s="587"/>
      <c r="H7" s="587"/>
      <c r="I7" s="94"/>
    </row>
    <row r="8" spans="1:12" s="77" customFormat="1" ht="24.75" customHeight="1" x14ac:dyDescent="0.25">
      <c r="A8" s="74" t="s">
        <v>48</v>
      </c>
      <c r="B8" s="74" t="s">
        <v>328</v>
      </c>
      <c r="C8" s="29" t="s">
        <v>121</v>
      </c>
      <c r="D8" s="75" t="s">
        <v>122</v>
      </c>
      <c r="E8" s="75" t="s">
        <v>123</v>
      </c>
      <c r="F8" s="75" t="s">
        <v>124</v>
      </c>
      <c r="G8" s="75" t="s">
        <v>125</v>
      </c>
      <c r="H8" s="75" t="s">
        <v>126</v>
      </c>
      <c r="I8" s="94"/>
    </row>
    <row r="9" spans="1:12" s="77" customFormat="1" ht="24.75" hidden="1" customHeight="1" x14ac:dyDescent="0.25">
      <c r="A9" s="571" t="s">
        <v>128</v>
      </c>
      <c r="B9" s="175" t="s">
        <v>329</v>
      </c>
      <c r="C9" s="175" t="s">
        <v>187</v>
      </c>
      <c r="D9" s="76">
        <v>450000000</v>
      </c>
      <c r="E9" s="76">
        <v>450000000</v>
      </c>
      <c r="F9" s="76">
        <v>0</v>
      </c>
      <c r="G9" s="112">
        <v>0</v>
      </c>
      <c r="H9" s="112">
        <v>0</v>
      </c>
      <c r="I9" s="94"/>
    </row>
    <row r="10" spans="1:12" s="77" customFormat="1" ht="24.75" hidden="1" customHeight="1" x14ac:dyDescent="0.25">
      <c r="A10" s="572"/>
      <c r="B10" s="571" t="s">
        <v>330</v>
      </c>
      <c r="C10" s="175" t="s">
        <v>187</v>
      </c>
      <c r="D10" s="76">
        <v>550985000</v>
      </c>
      <c r="E10" s="76">
        <v>550985000</v>
      </c>
      <c r="F10" s="76">
        <v>0</v>
      </c>
      <c r="G10" s="112">
        <v>0</v>
      </c>
      <c r="H10" s="112">
        <v>0</v>
      </c>
      <c r="I10" s="94"/>
    </row>
    <row r="11" spans="1:12" s="77" customFormat="1" ht="24.75" hidden="1" customHeight="1" x14ac:dyDescent="0.25">
      <c r="A11" s="572"/>
      <c r="B11" s="573"/>
      <c r="C11" s="175" t="s">
        <v>331</v>
      </c>
      <c r="D11" s="76">
        <v>62855322</v>
      </c>
      <c r="E11" s="76">
        <v>62855322</v>
      </c>
      <c r="F11" s="76">
        <v>0</v>
      </c>
      <c r="G11" s="112">
        <v>0</v>
      </c>
      <c r="H11" s="112">
        <v>0</v>
      </c>
      <c r="I11" s="94"/>
    </row>
    <row r="12" spans="1:12" s="77" customFormat="1" ht="24.75" hidden="1" customHeight="1" x14ac:dyDescent="0.25">
      <c r="A12" s="572"/>
      <c r="B12" s="175" t="s">
        <v>332</v>
      </c>
      <c r="C12" s="175" t="s">
        <v>333</v>
      </c>
      <c r="D12" s="76">
        <v>658814131</v>
      </c>
      <c r="E12" s="76">
        <v>658814131</v>
      </c>
      <c r="F12" s="76">
        <v>0</v>
      </c>
      <c r="G12" s="112">
        <v>0</v>
      </c>
      <c r="H12" s="112">
        <v>0</v>
      </c>
      <c r="I12" s="94"/>
    </row>
    <row r="13" spans="1:12" s="77" customFormat="1" ht="24.75" hidden="1" customHeight="1" x14ac:dyDescent="0.25">
      <c r="A13" s="572"/>
      <c r="B13" s="571" t="s">
        <v>334</v>
      </c>
      <c r="C13" s="175" t="s">
        <v>187</v>
      </c>
      <c r="D13" s="76">
        <v>601054131</v>
      </c>
      <c r="E13" s="76">
        <v>601054131</v>
      </c>
      <c r="F13" s="76">
        <v>0</v>
      </c>
      <c r="G13" s="112">
        <v>0</v>
      </c>
      <c r="H13" s="112">
        <v>0</v>
      </c>
      <c r="I13" s="94"/>
    </row>
    <row r="14" spans="1:12" s="77" customFormat="1" ht="24.75" hidden="1" customHeight="1" x14ac:dyDescent="0.25">
      <c r="A14" s="572"/>
      <c r="B14" s="573"/>
      <c r="C14" s="175" t="s">
        <v>335</v>
      </c>
      <c r="D14" s="76">
        <v>20000000</v>
      </c>
      <c r="E14" s="76">
        <v>20000000</v>
      </c>
      <c r="F14" s="76">
        <v>0</v>
      </c>
      <c r="G14" s="112">
        <v>0</v>
      </c>
      <c r="H14" s="112">
        <v>0</v>
      </c>
      <c r="I14" s="94"/>
    </row>
    <row r="15" spans="1:12" s="77" customFormat="1" ht="24.75" hidden="1" customHeight="1" x14ac:dyDescent="0.25">
      <c r="A15" s="572"/>
      <c r="B15" s="571" t="s">
        <v>336</v>
      </c>
      <c r="C15" s="175" t="s">
        <v>187</v>
      </c>
      <c r="D15" s="76">
        <v>1093590131</v>
      </c>
      <c r="E15" s="76">
        <v>1093590131</v>
      </c>
      <c r="F15" s="76">
        <v>0</v>
      </c>
      <c r="G15" s="112">
        <v>0</v>
      </c>
      <c r="H15" s="112">
        <v>0</v>
      </c>
      <c r="I15" s="94"/>
    </row>
    <row r="16" spans="1:12" s="77" customFormat="1" ht="24.75" hidden="1" customHeight="1" x14ac:dyDescent="0.25">
      <c r="A16" s="572"/>
      <c r="B16" s="573"/>
      <c r="C16" s="175" t="s">
        <v>333</v>
      </c>
      <c r="D16" s="76">
        <v>319199869</v>
      </c>
      <c r="E16" s="76">
        <v>319199869</v>
      </c>
      <c r="F16" s="76">
        <v>0</v>
      </c>
      <c r="G16" s="112">
        <v>0</v>
      </c>
      <c r="H16" s="112">
        <v>0</v>
      </c>
      <c r="I16" s="94"/>
    </row>
    <row r="17" spans="1:9" s="77" customFormat="1" ht="24.75" hidden="1" customHeight="1" x14ac:dyDescent="0.25">
      <c r="A17" s="572"/>
      <c r="B17" s="177" t="s">
        <v>337</v>
      </c>
      <c r="C17" s="175" t="s">
        <v>187</v>
      </c>
      <c r="D17" s="76">
        <v>403410000</v>
      </c>
      <c r="E17" s="76">
        <v>403410000</v>
      </c>
      <c r="F17" s="76">
        <v>0</v>
      </c>
      <c r="G17" s="112">
        <v>0</v>
      </c>
      <c r="H17" s="112">
        <v>0</v>
      </c>
      <c r="I17" s="94"/>
    </row>
    <row r="18" spans="1:9" s="77" customFormat="1" ht="24.75" hidden="1" customHeight="1" x14ac:dyDescent="0.25">
      <c r="A18" s="573"/>
      <c r="B18" s="175" t="s">
        <v>338</v>
      </c>
      <c r="C18" s="175" t="s">
        <v>187</v>
      </c>
      <c r="D18" s="76">
        <v>775545944</v>
      </c>
      <c r="E18" s="76">
        <v>775545944</v>
      </c>
      <c r="F18" s="76">
        <v>0</v>
      </c>
      <c r="G18" s="112">
        <v>0</v>
      </c>
      <c r="H18" s="112">
        <v>0</v>
      </c>
      <c r="I18" s="94"/>
    </row>
    <row r="19" spans="1:9" s="77" customFormat="1" ht="24.75" hidden="1" customHeight="1" collapsed="1" x14ac:dyDescent="0.25">
      <c r="A19" s="559" t="s">
        <v>129</v>
      </c>
      <c r="B19" s="175" t="s">
        <v>329</v>
      </c>
      <c r="C19" s="175" t="s">
        <v>187</v>
      </c>
      <c r="D19" s="76">
        <v>450000000</v>
      </c>
      <c r="E19" s="76">
        <v>450000000</v>
      </c>
      <c r="F19" s="76">
        <v>0</v>
      </c>
      <c r="G19" s="112">
        <v>0</v>
      </c>
      <c r="H19" s="112">
        <v>0</v>
      </c>
      <c r="I19" s="94"/>
    </row>
    <row r="20" spans="1:9" s="77" customFormat="1" ht="24.75" hidden="1" customHeight="1" x14ac:dyDescent="0.25">
      <c r="A20" s="560"/>
      <c r="B20" s="571" t="s">
        <v>330</v>
      </c>
      <c r="C20" s="175" t="s">
        <v>187</v>
      </c>
      <c r="D20" s="76">
        <v>550985000</v>
      </c>
      <c r="E20" s="76">
        <v>550985000</v>
      </c>
      <c r="F20" s="76">
        <v>0</v>
      </c>
      <c r="G20" s="112">
        <v>0</v>
      </c>
      <c r="H20" s="112">
        <v>0</v>
      </c>
      <c r="I20" s="94"/>
    </row>
    <row r="21" spans="1:9" s="77" customFormat="1" ht="24.75" hidden="1" customHeight="1" x14ac:dyDescent="0.25">
      <c r="A21" s="560"/>
      <c r="B21" s="573"/>
      <c r="C21" s="175" t="s">
        <v>331</v>
      </c>
      <c r="D21" s="76">
        <v>62855322</v>
      </c>
      <c r="E21" s="76">
        <v>62855322</v>
      </c>
      <c r="F21" s="76">
        <v>0</v>
      </c>
      <c r="G21" s="112">
        <v>0</v>
      </c>
      <c r="H21" s="112">
        <v>0</v>
      </c>
      <c r="I21" s="94"/>
    </row>
    <row r="22" spans="1:9" s="77" customFormat="1" ht="24.75" hidden="1" customHeight="1" x14ac:dyDescent="0.25">
      <c r="A22" s="560"/>
      <c r="B22" s="175" t="s">
        <v>332</v>
      </c>
      <c r="C22" s="175" t="s">
        <v>333</v>
      </c>
      <c r="D22" s="76">
        <v>658814131</v>
      </c>
      <c r="E22" s="76">
        <v>658814131</v>
      </c>
      <c r="F22" s="76">
        <v>0</v>
      </c>
      <c r="G22" s="112">
        <v>0</v>
      </c>
      <c r="H22" s="112">
        <v>0</v>
      </c>
      <c r="I22" s="94"/>
    </row>
    <row r="23" spans="1:9" s="77" customFormat="1" ht="24.75" hidden="1" customHeight="1" x14ac:dyDescent="0.25">
      <c r="A23" s="560"/>
      <c r="B23" s="571" t="s">
        <v>334</v>
      </c>
      <c r="C23" s="175" t="s">
        <v>187</v>
      </c>
      <c r="D23" s="76">
        <v>601054131</v>
      </c>
      <c r="E23" s="76">
        <v>601054131</v>
      </c>
      <c r="F23" s="76">
        <v>0</v>
      </c>
      <c r="G23" s="112">
        <v>0</v>
      </c>
      <c r="H23" s="112">
        <v>0</v>
      </c>
      <c r="I23" s="94"/>
    </row>
    <row r="24" spans="1:9" s="77" customFormat="1" ht="24.75" hidden="1" customHeight="1" x14ac:dyDescent="0.25">
      <c r="A24" s="560"/>
      <c r="B24" s="573"/>
      <c r="C24" s="175" t="s">
        <v>335</v>
      </c>
      <c r="D24" s="76">
        <v>20000000</v>
      </c>
      <c r="E24" s="76">
        <v>20000000</v>
      </c>
      <c r="F24" s="76">
        <v>0</v>
      </c>
      <c r="G24" s="112">
        <v>0</v>
      </c>
      <c r="H24" s="112">
        <v>0</v>
      </c>
      <c r="I24" s="94"/>
    </row>
    <row r="25" spans="1:9" s="77" customFormat="1" ht="24.75" hidden="1" customHeight="1" x14ac:dyDescent="0.25">
      <c r="A25" s="560"/>
      <c r="B25" s="571" t="s">
        <v>336</v>
      </c>
      <c r="C25" s="175" t="s">
        <v>187</v>
      </c>
      <c r="D25" s="76">
        <v>1093590131</v>
      </c>
      <c r="E25" s="76">
        <v>1093590131</v>
      </c>
      <c r="F25" s="76">
        <v>49763000</v>
      </c>
      <c r="G25" s="112">
        <v>0</v>
      </c>
      <c r="H25" s="112">
        <v>0</v>
      </c>
      <c r="I25" s="94"/>
    </row>
    <row r="26" spans="1:9" s="77" customFormat="1" ht="24.75" hidden="1" customHeight="1" x14ac:dyDescent="0.25">
      <c r="A26" s="560"/>
      <c r="B26" s="573"/>
      <c r="C26" s="175" t="s">
        <v>333</v>
      </c>
      <c r="D26" s="76">
        <v>319199869</v>
      </c>
      <c r="E26" s="76">
        <v>319199869</v>
      </c>
      <c r="F26" s="76">
        <v>30213000</v>
      </c>
      <c r="G26" s="112">
        <v>0</v>
      </c>
      <c r="H26" s="112">
        <v>0</v>
      </c>
      <c r="I26" s="94"/>
    </row>
    <row r="27" spans="1:9" s="77" customFormat="1" ht="24.75" hidden="1" customHeight="1" x14ac:dyDescent="0.25">
      <c r="A27" s="560"/>
      <c r="B27" s="177" t="s">
        <v>337</v>
      </c>
      <c r="C27" s="175" t="s">
        <v>187</v>
      </c>
      <c r="D27" s="76">
        <v>403410000</v>
      </c>
      <c r="E27" s="76">
        <v>403410000</v>
      </c>
      <c r="F27" s="76">
        <v>10000000</v>
      </c>
      <c r="G27" s="112">
        <v>0</v>
      </c>
      <c r="H27" s="112">
        <v>0</v>
      </c>
      <c r="I27" s="94"/>
    </row>
    <row r="28" spans="1:9" s="77" customFormat="1" ht="24.75" hidden="1" customHeight="1" x14ac:dyDescent="0.25">
      <c r="A28" s="516"/>
      <c r="B28" s="175" t="s">
        <v>338</v>
      </c>
      <c r="C28" s="175" t="s">
        <v>187</v>
      </c>
      <c r="D28" s="76">
        <v>775545944</v>
      </c>
      <c r="E28" s="76">
        <v>775545944</v>
      </c>
      <c r="F28" s="76">
        <v>56548312</v>
      </c>
      <c r="G28" s="112">
        <v>0</v>
      </c>
      <c r="H28" s="112">
        <v>0</v>
      </c>
      <c r="I28" s="94"/>
    </row>
    <row r="29" spans="1:9" s="77" customFormat="1" ht="24.75" hidden="1" customHeight="1" collapsed="1" x14ac:dyDescent="0.25">
      <c r="A29" s="559" t="s">
        <v>130</v>
      </c>
      <c r="B29" s="175" t="s">
        <v>329</v>
      </c>
      <c r="C29" s="175" t="s">
        <v>187</v>
      </c>
      <c r="D29" s="76">
        <v>450000000</v>
      </c>
      <c r="E29" s="76">
        <v>450000000</v>
      </c>
      <c r="F29" s="76">
        <v>373112000</v>
      </c>
      <c r="G29" s="112">
        <v>0</v>
      </c>
      <c r="H29" s="112">
        <v>0</v>
      </c>
      <c r="I29" s="94"/>
    </row>
    <row r="30" spans="1:9" s="77" customFormat="1" ht="24.75" hidden="1" customHeight="1" x14ac:dyDescent="0.25">
      <c r="A30" s="560"/>
      <c r="B30" s="571" t="s">
        <v>330</v>
      </c>
      <c r="C30" s="175" t="s">
        <v>187</v>
      </c>
      <c r="D30" s="76">
        <v>550985000</v>
      </c>
      <c r="E30" s="76">
        <v>550985000</v>
      </c>
      <c r="F30" s="76">
        <v>465500000</v>
      </c>
      <c r="G30" s="112">
        <v>0</v>
      </c>
      <c r="H30" s="112">
        <v>0</v>
      </c>
      <c r="I30" s="94"/>
    </row>
    <row r="31" spans="1:9" s="77" customFormat="1" ht="24.75" hidden="1" customHeight="1" x14ac:dyDescent="0.25">
      <c r="A31" s="560"/>
      <c r="B31" s="573"/>
      <c r="C31" s="175" t="s">
        <v>331</v>
      </c>
      <c r="D31" s="76">
        <v>62855322</v>
      </c>
      <c r="E31" s="76">
        <v>62855322</v>
      </c>
      <c r="F31" s="76">
        <v>0</v>
      </c>
      <c r="G31" s="112">
        <v>0</v>
      </c>
      <c r="H31" s="112">
        <v>0</v>
      </c>
      <c r="I31" s="94"/>
    </row>
    <row r="32" spans="1:9" s="77" customFormat="1" ht="24.75" hidden="1" customHeight="1" x14ac:dyDescent="0.25">
      <c r="A32" s="560"/>
      <c r="B32" s="175" t="s">
        <v>332</v>
      </c>
      <c r="C32" s="175" t="s">
        <v>333</v>
      </c>
      <c r="D32" s="76">
        <v>658814131</v>
      </c>
      <c r="E32" s="76">
        <v>658814131</v>
      </c>
      <c r="F32" s="76">
        <v>451588000</v>
      </c>
      <c r="G32" s="112">
        <v>0</v>
      </c>
      <c r="H32" s="112">
        <v>0</v>
      </c>
      <c r="I32" s="94"/>
    </row>
    <row r="33" spans="1:9" s="77" customFormat="1" ht="24.75" hidden="1" customHeight="1" x14ac:dyDescent="0.25">
      <c r="A33" s="560"/>
      <c r="B33" s="571" t="s">
        <v>334</v>
      </c>
      <c r="C33" s="175" t="s">
        <v>187</v>
      </c>
      <c r="D33" s="76">
        <v>601054131</v>
      </c>
      <c r="E33" s="76">
        <v>601054131</v>
      </c>
      <c r="F33" s="76">
        <v>433428000</v>
      </c>
      <c r="G33" s="112">
        <v>0</v>
      </c>
      <c r="H33" s="112">
        <v>0</v>
      </c>
      <c r="I33" s="94"/>
    </row>
    <row r="34" spans="1:9" s="77" customFormat="1" ht="24.75" hidden="1" customHeight="1" x14ac:dyDescent="0.25">
      <c r="A34" s="560"/>
      <c r="B34" s="573"/>
      <c r="C34" s="175" t="s">
        <v>335</v>
      </c>
      <c r="D34" s="76">
        <v>20000000</v>
      </c>
      <c r="E34" s="76">
        <v>20000000</v>
      </c>
      <c r="F34" s="76">
        <v>0</v>
      </c>
      <c r="G34" s="112">
        <v>0</v>
      </c>
      <c r="H34" s="112">
        <v>0</v>
      </c>
      <c r="I34" s="94"/>
    </row>
    <row r="35" spans="1:9" s="77" customFormat="1" ht="24.75" hidden="1" customHeight="1" x14ac:dyDescent="0.25">
      <c r="A35" s="560"/>
      <c r="B35" s="571" t="s">
        <v>336</v>
      </c>
      <c r="C35" s="175" t="s">
        <v>187</v>
      </c>
      <c r="D35" s="76">
        <v>1093590131</v>
      </c>
      <c r="E35" s="76">
        <v>1093590131</v>
      </c>
      <c r="F35" s="76">
        <v>548275984</v>
      </c>
      <c r="G35" s="112">
        <v>0</v>
      </c>
      <c r="H35" s="112">
        <v>0</v>
      </c>
      <c r="I35" s="94"/>
    </row>
    <row r="36" spans="1:9" s="77" customFormat="1" ht="24.75" hidden="1" customHeight="1" x14ac:dyDescent="0.25">
      <c r="A36" s="560"/>
      <c r="B36" s="573"/>
      <c r="C36" s="175" t="s">
        <v>333</v>
      </c>
      <c r="D36" s="76">
        <v>319199869</v>
      </c>
      <c r="E36" s="76">
        <v>319199869</v>
      </c>
      <c r="F36" s="76">
        <v>286832000</v>
      </c>
      <c r="G36" s="112">
        <v>0</v>
      </c>
      <c r="H36" s="112">
        <v>0</v>
      </c>
      <c r="I36" s="94"/>
    </row>
    <row r="37" spans="1:9" s="77" customFormat="1" ht="24.75" hidden="1" customHeight="1" x14ac:dyDescent="0.25">
      <c r="A37" s="560"/>
      <c r="B37" s="177" t="s">
        <v>337</v>
      </c>
      <c r="C37" s="175" t="s">
        <v>187</v>
      </c>
      <c r="D37" s="76">
        <v>403410000</v>
      </c>
      <c r="E37" s="76">
        <v>403410000</v>
      </c>
      <c r="F37" s="76">
        <v>92564000</v>
      </c>
      <c r="G37" s="112">
        <v>0</v>
      </c>
      <c r="H37" s="112">
        <v>0</v>
      </c>
      <c r="I37" s="94"/>
    </row>
    <row r="38" spans="1:9" s="77" customFormat="1" ht="24.75" hidden="1" customHeight="1" x14ac:dyDescent="0.25">
      <c r="A38" s="516"/>
      <c r="B38" s="175" t="s">
        <v>338</v>
      </c>
      <c r="C38" s="175" t="s">
        <v>187</v>
      </c>
      <c r="D38" s="76">
        <v>775545944</v>
      </c>
      <c r="E38" s="76">
        <v>775545944</v>
      </c>
      <c r="F38" s="76">
        <v>404965456</v>
      </c>
      <c r="G38" s="112">
        <v>11541544</v>
      </c>
      <c r="H38" s="112">
        <v>11541544</v>
      </c>
      <c r="I38" s="94"/>
    </row>
    <row r="39" spans="1:9" s="77" customFormat="1" ht="24.75" hidden="1" customHeight="1" x14ac:dyDescent="0.25">
      <c r="A39" s="559" t="s">
        <v>131</v>
      </c>
      <c r="B39" s="175" t="s">
        <v>329</v>
      </c>
      <c r="C39" s="175" t="s">
        <v>187</v>
      </c>
      <c r="D39" s="76">
        <v>450000000</v>
      </c>
      <c r="E39" s="76">
        <v>450000000</v>
      </c>
      <c r="F39" s="76">
        <v>373112000</v>
      </c>
      <c r="G39" s="112">
        <v>26409699</v>
      </c>
      <c r="H39" s="112">
        <v>26409699</v>
      </c>
      <c r="I39" s="94"/>
    </row>
    <row r="40" spans="1:9" s="77" customFormat="1" ht="24.75" hidden="1" customHeight="1" x14ac:dyDescent="0.25">
      <c r="A40" s="560"/>
      <c r="B40" s="571" t="s">
        <v>330</v>
      </c>
      <c r="C40" s="175" t="s">
        <v>187</v>
      </c>
      <c r="D40" s="76">
        <v>550985000</v>
      </c>
      <c r="E40" s="76">
        <v>550985000</v>
      </c>
      <c r="F40" s="76">
        <v>465500000</v>
      </c>
      <c r="G40" s="112">
        <v>35398499</v>
      </c>
      <c r="H40" s="112">
        <v>35398499</v>
      </c>
      <c r="I40" s="94"/>
    </row>
    <row r="41" spans="1:9" s="77" customFormat="1" ht="24.75" hidden="1" customHeight="1" x14ac:dyDescent="0.25">
      <c r="A41" s="560"/>
      <c r="B41" s="573"/>
      <c r="C41" s="175" t="s">
        <v>331</v>
      </c>
      <c r="D41" s="76">
        <v>62855322</v>
      </c>
      <c r="E41" s="76">
        <v>62855322</v>
      </c>
      <c r="F41" s="76">
        <v>0</v>
      </c>
      <c r="G41" s="112">
        <v>0</v>
      </c>
      <c r="H41" s="112">
        <v>0</v>
      </c>
      <c r="I41" s="94"/>
    </row>
    <row r="42" spans="1:9" s="77" customFormat="1" ht="24.75" hidden="1" customHeight="1" x14ac:dyDescent="0.25">
      <c r="A42" s="560"/>
      <c r="B42" s="175" t="s">
        <v>332</v>
      </c>
      <c r="C42" s="175" t="s">
        <v>333</v>
      </c>
      <c r="D42" s="76">
        <v>658814131</v>
      </c>
      <c r="E42" s="76">
        <v>658814131</v>
      </c>
      <c r="F42" s="76">
        <v>472900000</v>
      </c>
      <c r="G42" s="112">
        <v>38096468</v>
      </c>
      <c r="H42" s="112">
        <v>38096468</v>
      </c>
      <c r="I42" s="94"/>
    </row>
    <row r="43" spans="1:9" s="77" customFormat="1" ht="24.75" hidden="1" customHeight="1" x14ac:dyDescent="0.25">
      <c r="A43" s="560"/>
      <c r="B43" s="571" t="s">
        <v>334</v>
      </c>
      <c r="C43" s="175" t="s">
        <v>187</v>
      </c>
      <c r="D43" s="76">
        <v>601054131</v>
      </c>
      <c r="E43" s="76">
        <v>601054131</v>
      </c>
      <c r="F43" s="76">
        <v>433428000</v>
      </c>
      <c r="G43" s="112">
        <v>45142900</v>
      </c>
      <c r="H43" s="112">
        <v>45142900</v>
      </c>
      <c r="I43" s="94"/>
    </row>
    <row r="44" spans="1:9" s="77" customFormat="1" ht="24.75" hidden="1" customHeight="1" x14ac:dyDescent="0.25">
      <c r="A44" s="560"/>
      <c r="B44" s="573"/>
      <c r="C44" s="175" t="s">
        <v>335</v>
      </c>
      <c r="D44" s="76">
        <v>20000000</v>
      </c>
      <c r="E44" s="76">
        <v>20000000</v>
      </c>
      <c r="F44" s="76">
        <v>0</v>
      </c>
      <c r="G44" s="112">
        <v>0</v>
      </c>
      <c r="H44" s="112">
        <v>0</v>
      </c>
      <c r="I44" s="94"/>
    </row>
    <row r="45" spans="1:9" s="77" customFormat="1" ht="24.75" hidden="1" customHeight="1" x14ac:dyDescent="0.25">
      <c r="A45" s="560"/>
      <c r="B45" s="571" t="s">
        <v>336</v>
      </c>
      <c r="C45" s="175" t="s">
        <v>187</v>
      </c>
      <c r="D45" s="76">
        <v>1093590131</v>
      </c>
      <c r="E45" s="76">
        <v>1093590131</v>
      </c>
      <c r="F45" s="76">
        <v>573298666</v>
      </c>
      <c r="G45" s="112">
        <v>51721448</v>
      </c>
      <c r="H45" s="112">
        <v>51721448</v>
      </c>
      <c r="I45" s="94"/>
    </row>
    <row r="46" spans="1:9" s="77" customFormat="1" ht="24.75" hidden="1" customHeight="1" x14ac:dyDescent="0.25">
      <c r="A46" s="560"/>
      <c r="B46" s="573"/>
      <c r="C46" s="175" t="s">
        <v>333</v>
      </c>
      <c r="D46" s="76">
        <v>319199869</v>
      </c>
      <c r="E46" s="76">
        <v>319199869</v>
      </c>
      <c r="F46" s="76">
        <v>286832000</v>
      </c>
      <c r="G46" s="112">
        <v>26956333</v>
      </c>
      <c r="H46" s="112">
        <v>26956333</v>
      </c>
      <c r="I46" s="94"/>
    </row>
    <row r="47" spans="1:9" s="77" customFormat="1" ht="24.75" hidden="1" customHeight="1" x14ac:dyDescent="0.25">
      <c r="A47" s="560"/>
      <c r="B47" s="177" t="s">
        <v>337</v>
      </c>
      <c r="C47" s="175" t="s">
        <v>187</v>
      </c>
      <c r="D47" s="76">
        <v>403410000</v>
      </c>
      <c r="E47" s="76">
        <v>403410000</v>
      </c>
      <c r="F47" s="76">
        <v>164519000</v>
      </c>
      <c r="G47" s="112">
        <v>2848433</v>
      </c>
      <c r="H47" s="112">
        <v>2848433</v>
      </c>
      <c r="I47" s="94"/>
    </row>
    <row r="48" spans="1:9" s="77" customFormat="1" ht="24.75" hidden="1" customHeight="1" x14ac:dyDescent="0.25">
      <c r="A48" s="516"/>
      <c r="B48" s="175" t="s">
        <v>338</v>
      </c>
      <c r="C48" s="175" t="s">
        <v>187</v>
      </c>
      <c r="D48" s="76">
        <v>775545944</v>
      </c>
      <c r="E48" s="76">
        <v>775545944</v>
      </c>
      <c r="F48" s="76">
        <v>433527167</v>
      </c>
      <c r="G48" s="112">
        <v>36332725</v>
      </c>
      <c r="H48" s="112">
        <v>36332725</v>
      </c>
      <c r="I48" s="94"/>
    </row>
    <row r="49" spans="1:9" s="77" customFormat="1" ht="24.75" hidden="1" customHeight="1" x14ac:dyDescent="0.25">
      <c r="A49" s="559" t="s">
        <v>132</v>
      </c>
      <c r="B49" s="175" t="s">
        <v>329</v>
      </c>
      <c r="C49" s="175" t="s">
        <v>187</v>
      </c>
      <c r="D49" s="112">
        <v>450000000</v>
      </c>
      <c r="E49" s="112">
        <v>450000000</v>
      </c>
      <c r="F49" s="112">
        <v>377292000</v>
      </c>
      <c r="G49" s="112">
        <v>210279165</v>
      </c>
      <c r="H49" s="112">
        <v>210279165</v>
      </c>
      <c r="I49" s="94"/>
    </row>
    <row r="50" spans="1:9" s="77" customFormat="1" ht="24.75" hidden="1" customHeight="1" x14ac:dyDescent="0.25">
      <c r="A50" s="560"/>
      <c r="B50" s="571" t="s">
        <v>330</v>
      </c>
      <c r="C50" s="175" t="s">
        <v>187</v>
      </c>
      <c r="D50" s="112">
        <v>753985000</v>
      </c>
      <c r="E50" s="112">
        <v>763985000</v>
      </c>
      <c r="F50" s="112">
        <v>480083000</v>
      </c>
      <c r="G50" s="112">
        <v>254439132</v>
      </c>
      <c r="H50" s="112">
        <v>254439132</v>
      </c>
      <c r="I50" s="94"/>
    </row>
    <row r="51" spans="1:9" s="77" customFormat="1" ht="24.75" hidden="1" customHeight="1" x14ac:dyDescent="0.25">
      <c r="A51" s="560"/>
      <c r="B51" s="573"/>
      <c r="C51" s="175" t="s">
        <v>331</v>
      </c>
      <c r="D51" s="112">
        <v>62855322</v>
      </c>
      <c r="E51" s="112">
        <v>62855322</v>
      </c>
      <c r="F51" s="112">
        <v>62855322</v>
      </c>
      <c r="G51" s="112">
        <v>62855322</v>
      </c>
      <c r="H51" s="112">
        <v>62855322</v>
      </c>
      <c r="I51" s="94"/>
    </row>
    <row r="52" spans="1:9" s="77" customFormat="1" ht="24.75" hidden="1" customHeight="1" x14ac:dyDescent="0.25">
      <c r="A52" s="560"/>
      <c r="B52" s="175" t="s">
        <v>332</v>
      </c>
      <c r="C52" s="175" t="s">
        <v>333</v>
      </c>
      <c r="D52" s="112">
        <v>658814131</v>
      </c>
      <c r="E52" s="112">
        <v>658814131</v>
      </c>
      <c r="F52" s="112">
        <v>545531000</v>
      </c>
      <c r="G52" s="112">
        <v>232554035</v>
      </c>
      <c r="H52" s="112">
        <v>232554035</v>
      </c>
      <c r="I52" s="94"/>
    </row>
    <row r="53" spans="1:9" s="77" customFormat="1" ht="24.75" hidden="1" customHeight="1" x14ac:dyDescent="0.25">
      <c r="A53" s="560"/>
      <c r="B53" s="571" t="s">
        <v>334</v>
      </c>
      <c r="C53" s="175" t="s">
        <v>187</v>
      </c>
      <c r="D53" s="112">
        <v>536054131</v>
      </c>
      <c r="E53" s="112">
        <v>536054131</v>
      </c>
      <c r="F53" s="112">
        <v>437787131</v>
      </c>
      <c r="G53" s="112">
        <v>269195535</v>
      </c>
      <c r="H53" s="112">
        <v>269195535</v>
      </c>
      <c r="I53" s="94"/>
    </row>
    <row r="54" spans="1:9" s="77" customFormat="1" ht="24.75" hidden="1" customHeight="1" x14ac:dyDescent="0.25">
      <c r="A54" s="560"/>
      <c r="B54" s="573"/>
      <c r="C54" s="175" t="s">
        <v>335</v>
      </c>
      <c r="D54" s="112">
        <v>20000000</v>
      </c>
      <c r="E54" s="112">
        <v>20000000</v>
      </c>
      <c r="F54" s="112">
        <v>0</v>
      </c>
      <c r="G54" s="112">
        <v>0</v>
      </c>
      <c r="H54" s="112">
        <v>0</v>
      </c>
      <c r="I54" s="94"/>
    </row>
    <row r="55" spans="1:9" s="77" customFormat="1" ht="24.75" hidden="1" customHeight="1" x14ac:dyDescent="0.25">
      <c r="A55" s="560"/>
      <c r="B55" s="571" t="s">
        <v>336</v>
      </c>
      <c r="C55" s="175" t="s">
        <v>187</v>
      </c>
      <c r="D55" s="112">
        <v>1080590131</v>
      </c>
      <c r="E55" s="112">
        <v>1080590131</v>
      </c>
      <c r="F55" s="112">
        <v>618799416</v>
      </c>
      <c r="G55" s="112">
        <v>252268566</v>
      </c>
      <c r="H55" s="112">
        <v>252268566</v>
      </c>
      <c r="I55" s="94"/>
    </row>
    <row r="56" spans="1:9" s="77" customFormat="1" ht="24.75" hidden="1" customHeight="1" x14ac:dyDescent="0.25">
      <c r="A56" s="560"/>
      <c r="B56" s="573"/>
      <c r="C56" s="175" t="s">
        <v>333</v>
      </c>
      <c r="D56" s="112">
        <v>319199869</v>
      </c>
      <c r="E56" s="112">
        <v>319199869</v>
      </c>
      <c r="F56" s="112">
        <v>286832000</v>
      </c>
      <c r="G56" s="112">
        <v>157706433</v>
      </c>
      <c r="H56" s="112">
        <v>157706433</v>
      </c>
      <c r="I56" s="94"/>
    </row>
    <row r="57" spans="1:9" s="77" customFormat="1" ht="24.75" hidden="1" customHeight="1" x14ac:dyDescent="0.25">
      <c r="A57" s="560"/>
      <c r="B57" s="177" t="s">
        <v>337</v>
      </c>
      <c r="C57" s="175" t="s">
        <v>187</v>
      </c>
      <c r="D57" s="112">
        <v>263410000</v>
      </c>
      <c r="E57" s="112">
        <v>263410000</v>
      </c>
      <c r="F57" s="112">
        <v>191691000</v>
      </c>
      <c r="G57" s="112">
        <v>78561375</v>
      </c>
      <c r="H57" s="112">
        <v>78561375</v>
      </c>
      <c r="I57" s="94"/>
    </row>
    <row r="58" spans="1:9" s="77" customFormat="1" ht="24.75" hidden="1" customHeight="1" x14ac:dyDescent="0.25">
      <c r="A58" s="516"/>
      <c r="B58" s="175" t="s">
        <v>338</v>
      </c>
      <c r="C58" s="175" t="s">
        <v>187</v>
      </c>
      <c r="D58" s="112">
        <v>790545944</v>
      </c>
      <c r="E58" s="112">
        <v>780545944</v>
      </c>
      <c r="F58" s="112">
        <v>488375819</v>
      </c>
      <c r="G58" s="112">
        <v>278527169</v>
      </c>
      <c r="H58" s="112">
        <v>278527169</v>
      </c>
      <c r="I58" s="94"/>
    </row>
    <row r="59" spans="1:9" s="77" customFormat="1" ht="24.75" hidden="1" customHeight="1" x14ac:dyDescent="0.25">
      <c r="A59" s="559" t="s">
        <v>133</v>
      </c>
      <c r="B59" s="175" t="s">
        <v>329</v>
      </c>
      <c r="C59" s="175" t="s">
        <v>187</v>
      </c>
      <c r="D59" s="112">
        <v>450000000</v>
      </c>
      <c r="E59" s="199">
        <v>450000000</v>
      </c>
      <c r="F59" s="112">
        <v>447516000</v>
      </c>
      <c r="G59" s="112">
        <v>316341865</v>
      </c>
      <c r="H59" s="112">
        <f>+G59</f>
        <v>316341865</v>
      </c>
      <c r="I59" s="94"/>
    </row>
    <row r="60" spans="1:9" s="77" customFormat="1" ht="24.75" hidden="1" customHeight="1" x14ac:dyDescent="0.25">
      <c r="A60" s="560"/>
      <c r="B60" s="571" t="s">
        <v>330</v>
      </c>
      <c r="C60" s="175" t="s">
        <v>187</v>
      </c>
      <c r="D60" s="112">
        <v>753985000</v>
      </c>
      <c r="E60" s="199">
        <v>763985000</v>
      </c>
      <c r="F60" s="112">
        <v>607617783</v>
      </c>
      <c r="G60" s="112">
        <v>387105399</v>
      </c>
      <c r="H60" s="112">
        <f t="shared" ref="H60:H68" si="0">+G60</f>
        <v>387105399</v>
      </c>
      <c r="I60" s="94"/>
    </row>
    <row r="61" spans="1:9" s="77" customFormat="1" ht="24.75" hidden="1" customHeight="1" x14ac:dyDescent="0.25">
      <c r="A61" s="560"/>
      <c r="B61" s="573"/>
      <c r="C61" s="175" t="s">
        <v>331</v>
      </c>
      <c r="D61" s="112">
        <v>62855322</v>
      </c>
      <c r="E61" s="199">
        <v>62855322</v>
      </c>
      <c r="F61" s="112">
        <v>62855322</v>
      </c>
      <c r="G61" s="112">
        <v>62855322</v>
      </c>
      <c r="H61" s="112">
        <f t="shared" si="0"/>
        <v>62855322</v>
      </c>
      <c r="I61" s="94"/>
    </row>
    <row r="62" spans="1:9" s="77" customFormat="1" ht="24.75" hidden="1" customHeight="1" x14ac:dyDescent="0.25">
      <c r="A62" s="560"/>
      <c r="B62" s="175" t="s">
        <v>332</v>
      </c>
      <c r="C62" s="175" t="s">
        <v>333</v>
      </c>
      <c r="D62" s="112">
        <v>658814131</v>
      </c>
      <c r="E62" s="199">
        <v>658814131</v>
      </c>
      <c r="F62" s="112">
        <v>644978000</v>
      </c>
      <c r="G62" s="112">
        <v>368534169</v>
      </c>
      <c r="H62" s="112">
        <f t="shared" si="0"/>
        <v>368534169</v>
      </c>
      <c r="I62" s="94"/>
    </row>
    <row r="63" spans="1:9" s="77" customFormat="1" ht="24.75" hidden="1" customHeight="1" x14ac:dyDescent="0.25">
      <c r="A63" s="560"/>
      <c r="B63" s="571" t="s">
        <v>334</v>
      </c>
      <c r="C63" s="175" t="s">
        <v>187</v>
      </c>
      <c r="D63" s="112">
        <v>536054131</v>
      </c>
      <c r="E63" s="199">
        <v>536054131</v>
      </c>
      <c r="F63" s="112">
        <v>535986131</v>
      </c>
      <c r="G63" s="112">
        <v>403638440.30888337</v>
      </c>
      <c r="H63" s="112">
        <f t="shared" si="0"/>
        <v>403638440.30888337</v>
      </c>
      <c r="I63" s="94"/>
    </row>
    <row r="64" spans="1:9" s="77" customFormat="1" ht="24.75" hidden="1" customHeight="1" x14ac:dyDescent="0.25">
      <c r="A64" s="560"/>
      <c r="B64" s="573"/>
      <c r="C64" s="175" t="s">
        <v>335</v>
      </c>
      <c r="D64" s="112">
        <v>20000000</v>
      </c>
      <c r="E64" s="112">
        <v>20000000</v>
      </c>
      <c r="F64" s="112">
        <v>0</v>
      </c>
      <c r="G64" s="112">
        <v>0</v>
      </c>
      <c r="H64" s="112">
        <v>0</v>
      </c>
      <c r="I64" s="94"/>
    </row>
    <row r="65" spans="1:9" s="77" customFormat="1" ht="24.75" hidden="1" customHeight="1" x14ac:dyDescent="0.25">
      <c r="A65" s="560"/>
      <c r="B65" s="571" t="s">
        <v>336</v>
      </c>
      <c r="C65" s="175" t="s">
        <v>187</v>
      </c>
      <c r="D65" s="112">
        <v>1080590131</v>
      </c>
      <c r="E65" s="112">
        <v>1080590131</v>
      </c>
      <c r="F65" s="199">
        <v>1012453063</v>
      </c>
      <c r="G65" s="112">
        <v>505007680.18480587</v>
      </c>
      <c r="H65" s="112">
        <f t="shared" si="0"/>
        <v>505007680.18480587</v>
      </c>
      <c r="I65" s="94"/>
    </row>
    <row r="66" spans="1:9" s="77" customFormat="1" ht="24.75" hidden="1" customHeight="1" x14ac:dyDescent="0.25">
      <c r="A66" s="560"/>
      <c r="B66" s="573"/>
      <c r="C66" s="175" t="s">
        <v>333</v>
      </c>
      <c r="D66" s="112">
        <v>319199869</v>
      </c>
      <c r="E66" s="112">
        <v>319199869</v>
      </c>
      <c r="F66" s="112">
        <v>313688000</v>
      </c>
      <c r="G66" s="112">
        <v>227490433</v>
      </c>
      <c r="H66" s="112">
        <f t="shared" si="0"/>
        <v>227490433</v>
      </c>
      <c r="I66" s="94"/>
    </row>
    <row r="67" spans="1:9" s="77" customFormat="1" ht="24.75" hidden="1" customHeight="1" x14ac:dyDescent="0.25">
      <c r="A67" s="560"/>
      <c r="B67" s="177" t="s">
        <v>337</v>
      </c>
      <c r="C67" s="175" t="s">
        <v>187</v>
      </c>
      <c r="D67" s="112">
        <v>263410000</v>
      </c>
      <c r="E67" s="112">
        <v>263410000</v>
      </c>
      <c r="F67" s="112">
        <v>232617000</v>
      </c>
      <c r="G67" s="112">
        <v>139980686.50631076</v>
      </c>
      <c r="H67" s="112">
        <f t="shared" si="0"/>
        <v>139980686.50631076</v>
      </c>
      <c r="I67" s="94"/>
    </row>
    <row r="68" spans="1:9" s="77" customFormat="1" ht="24.75" hidden="1" customHeight="1" x14ac:dyDescent="0.25">
      <c r="A68" s="516"/>
      <c r="B68" s="175" t="s">
        <v>338</v>
      </c>
      <c r="C68" s="175" t="s">
        <v>187</v>
      </c>
      <c r="D68" s="112">
        <v>790545944</v>
      </c>
      <c r="E68" s="199">
        <v>780545944</v>
      </c>
      <c r="F68" s="112">
        <v>731213017</v>
      </c>
      <c r="G68" s="112">
        <v>381508875</v>
      </c>
      <c r="H68" s="112">
        <f t="shared" si="0"/>
        <v>381508875</v>
      </c>
      <c r="I68" s="94"/>
    </row>
    <row r="70" spans="1:9" ht="24.75" customHeight="1" x14ac:dyDescent="0.2">
      <c r="A70" s="587" t="s">
        <v>134</v>
      </c>
      <c r="B70" s="587"/>
      <c r="C70" s="587"/>
      <c r="D70" s="587"/>
      <c r="E70" s="587"/>
      <c r="F70" s="587"/>
      <c r="G70" s="587"/>
      <c r="H70" s="587"/>
    </row>
    <row r="71" spans="1:9" ht="24.75" customHeight="1" x14ac:dyDescent="0.2">
      <c r="A71" s="74" t="s">
        <v>49</v>
      </c>
      <c r="B71" s="74" t="s">
        <v>328</v>
      </c>
      <c r="C71" s="29" t="s">
        <v>121</v>
      </c>
      <c r="D71" s="75" t="s">
        <v>122</v>
      </c>
      <c r="E71" s="75" t="s">
        <v>123</v>
      </c>
      <c r="F71" s="75" t="s">
        <v>124</v>
      </c>
      <c r="G71" s="75" t="s">
        <v>125</v>
      </c>
      <c r="H71" s="75" t="s">
        <v>126</v>
      </c>
    </row>
    <row r="72" spans="1:9" ht="24.75" hidden="1" customHeight="1" x14ac:dyDescent="0.2">
      <c r="A72" s="506" t="s">
        <v>135</v>
      </c>
      <c r="B72" s="175" t="s">
        <v>338</v>
      </c>
      <c r="C72" s="175" t="s">
        <v>187</v>
      </c>
      <c r="D72" s="112">
        <v>790545944</v>
      </c>
      <c r="E72" s="199">
        <v>780545944</v>
      </c>
      <c r="F72" s="207">
        <v>0</v>
      </c>
      <c r="G72" s="207">
        <v>0</v>
      </c>
      <c r="H72" s="207">
        <v>0</v>
      </c>
    </row>
    <row r="73" spans="1:9" ht="24.75" hidden="1" customHeight="1" x14ac:dyDescent="0.2">
      <c r="A73" s="506"/>
      <c r="B73" s="567" t="s">
        <v>330</v>
      </c>
      <c r="C73" s="175" t="s">
        <v>187</v>
      </c>
      <c r="D73" s="112">
        <v>753985000</v>
      </c>
      <c r="E73" s="199">
        <v>763985000</v>
      </c>
      <c r="F73" s="207">
        <v>0</v>
      </c>
      <c r="G73" s="207">
        <v>0</v>
      </c>
      <c r="H73" s="207">
        <v>0</v>
      </c>
    </row>
    <row r="74" spans="1:9" ht="24.75" hidden="1" customHeight="1" x14ac:dyDescent="0.2">
      <c r="A74" s="506"/>
      <c r="B74" s="567"/>
      <c r="C74" s="175" t="s">
        <v>331</v>
      </c>
      <c r="D74" s="112">
        <v>62855322</v>
      </c>
      <c r="E74" s="199">
        <v>62855322</v>
      </c>
      <c r="F74" s="207">
        <v>0</v>
      </c>
      <c r="G74" s="207">
        <v>0</v>
      </c>
      <c r="H74" s="207">
        <v>0</v>
      </c>
    </row>
    <row r="75" spans="1:9" ht="24.75" hidden="1" customHeight="1" x14ac:dyDescent="0.2">
      <c r="A75" s="506"/>
      <c r="B75" s="567" t="s">
        <v>336</v>
      </c>
      <c r="C75" s="175" t="s">
        <v>187</v>
      </c>
      <c r="D75" s="112">
        <v>1080590131</v>
      </c>
      <c r="E75" s="112">
        <v>1080590131</v>
      </c>
      <c r="F75" s="207">
        <v>0</v>
      </c>
      <c r="G75" s="207">
        <v>0</v>
      </c>
      <c r="H75" s="207">
        <v>0</v>
      </c>
    </row>
    <row r="76" spans="1:9" ht="24.75" hidden="1" customHeight="1" x14ac:dyDescent="0.2">
      <c r="A76" s="506"/>
      <c r="B76" s="567"/>
      <c r="C76" s="175" t="s">
        <v>333</v>
      </c>
      <c r="D76" s="112">
        <v>319199869</v>
      </c>
      <c r="E76" s="112">
        <v>319199869</v>
      </c>
      <c r="F76" s="207">
        <v>0</v>
      </c>
      <c r="G76" s="207">
        <v>0</v>
      </c>
      <c r="H76" s="207">
        <v>0</v>
      </c>
    </row>
    <row r="77" spans="1:9" ht="24.75" hidden="1" customHeight="1" x14ac:dyDescent="0.2">
      <c r="A77" s="506"/>
      <c r="B77" s="567" t="s">
        <v>334</v>
      </c>
      <c r="C77" s="175" t="s">
        <v>187</v>
      </c>
      <c r="D77" s="112">
        <v>536054131</v>
      </c>
      <c r="E77" s="199">
        <v>536054131</v>
      </c>
      <c r="F77" s="207">
        <v>0</v>
      </c>
      <c r="G77" s="207">
        <v>0</v>
      </c>
      <c r="H77" s="207">
        <v>0</v>
      </c>
    </row>
    <row r="78" spans="1:9" ht="24.75" hidden="1" customHeight="1" x14ac:dyDescent="0.2">
      <c r="A78" s="506"/>
      <c r="B78" s="567"/>
      <c r="C78" s="175" t="s">
        <v>335</v>
      </c>
      <c r="D78" s="112">
        <v>20000000</v>
      </c>
      <c r="E78" s="112">
        <v>20000000</v>
      </c>
      <c r="F78" s="207">
        <v>0</v>
      </c>
      <c r="G78" s="207">
        <v>0</v>
      </c>
      <c r="H78" s="207">
        <v>0</v>
      </c>
    </row>
    <row r="79" spans="1:9" ht="24.75" hidden="1" customHeight="1" x14ac:dyDescent="0.2">
      <c r="A79" s="506"/>
      <c r="B79" s="175" t="s">
        <v>337</v>
      </c>
      <c r="C79" s="175" t="s">
        <v>187</v>
      </c>
      <c r="D79" s="112">
        <v>263410000</v>
      </c>
      <c r="E79" s="112">
        <v>263410000</v>
      </c>
      <c r="F79" s="207">
        <v>0</v>
      </c>
      <c r="G79" s="207">
        <v>0</v>
      </c>
      <c r="H79" s="207">
        <v>0</v>
      </c>
    </row>
    <row r="80" spans="1:9" ht="24.75" hidden="1" customHeight="1" x14ac:dyDescent="0.2">
      <c r="A80" s="506"/>
      <c r="B80" s="175" t="s">
        <v>332</v>
      </c>
      <c r="C80" s="175" t="s">
        <v>333</v>
      </c>
      <c r="D80" s="112">
        <v>658814131</v>
      </c>
      <c r="E80" s="199">
        <v>658814131</v>
      </c>
      <c r="F80" s="207">
        <v>0</v>
      </c>
      <c r="G80" s="207">
        <v>0</v>
      </c>
      <c r="H80" s="207">
        <v>0</v>
      </c>
    </row>
    <row r="81" spans="1:8" ht="24.75" hidden="1" customHeight="1" x14ac:dyDescent="0.2">
      <c r="A81" s="506"/>
      <c r="B81" s="175" t="s">
        <v>329</v>
      </c>
      <c r="C81" s="175" t="s">
        <v>187</v>
      </c>
      <c r="D81" s="112">
        <v>450000000</v>
      </c>
      <c r="E81" s="199">
        <v>450000000</v>
      </c>
      <c r="F81" s="207">
        <v>0</v>
      </c>
      <c r="G81" s="207">
        <v>0</v>
      </c>
      <c r="H81" s="207">
        <v>0</v>
      </c>
    </row>
    <row r="82" spans="1:8" ht="24.75" hidden="1" customHeight="1" x14ac:dyDescent="0.2">
      <c r="A82" s="567" t="s">
        <v>136</v>
      </c>
      <c r="B82" s="175" t="s">
        <v>338</v>
      </c>
      <c r="C82" s="175" t="s">
        <v>339</v>
      </c>
      <c r="D82" s="112">
        <v>1564678000</v>
      </c>
      <c r="E82" s="199">
        <v>1564678000</v>
      </c>
      <c r="F82" s="199">
        <v>188232000</v>
      </c>
      <c r="G82" s="199">
        <v>188232000</v>
      </c>
      <c r="H82" s="199">
        <v>0</v>
      </c>
    </row>
    <row r="83" spans="1:8" ht="24.75" hidden="1" customHeight="1" x14ac:dyDescent="0.2">
      <c r="A83" s="567"/>
      <c r="B83" s="175" t="s">
        <v>330</v>
      </c>
      <c r="C83" s="175" t="s">
        <v>339</v>
      </c>
      <c r="D83" s="199">
        <v>1374057000</v>
      </c>
      <c r="E83" s="199">
        <v>1374057000</v>
      </c>
      <c r="F83" s="199">
        <v>582050000</v>
      </c>
      <c r="G83" s="199">
        <v>582050000</v>
      </c>
      <c r="H83" s="199">
        <v>0</v>
      </c>
    </row>
    <row r="84" spans="1:8" ht="24.75" hidden="1" customHeight="1" x14ac:dyDescent="0.2">
      <c r="A84" s="567"/>
      <c r="B84" s="567" t="s">
        <v>336</v>
      </c>
      <c r="C84" s="175" t="s">
        <v>339</v>
      </c>
      <c r="D84" s="112">
        <v>2007824000</v>
      </c>
      <c r="E84" s="112">
        <v>2007824000</v>
      </c>
      <c r="F84" s="112">
        <v>292843000</v>
      </c>
      <c r="G84" s="112">
        <v>292843000</v>
      </c>
      <c r="H84" s="199">
        <v>0</v>
      </c>
    </row>
    <row r="85" spans="1:8" ht="24.75" hidden="1" customHeight="1" x14ac:dyDescent="0.2">
      <c r="A85" s="567"/>
      <c r="B85" s="567"/>
      <c r="C85" s="175" t="s">
        <v>340</v>
      </c>
      <c r="D85" s="112">
        <v>792348000</v>
      </c>
      <c r="E85" s="112">
        <v>792348000</v>
      </c>
      <c r="F85" s="112">
        <v>115947000</v>
      </c>
      <c r="G85" s="112">
        <v>115947000</v>
      </c>
      <c r="H85" s="199">
        <v>0</v>
      </c>
    </row>
    <row r="86" spans="1:8" ht="24.75" hidden="1" customHeight="1" x14ac:dyDescent="0.2">
      <c r="A86" s="567"/>
      <c r="B86" s="567"/>
      <c r="C86" s="175" t="s">
        <v>341</v>
      </c>
      <c r="D86" s="112">
        <v>173604000</v>
      </c>
      <c r="E86" s="112">
        <v>173604000</v>
      </c>
      <c r="F86" s="112">
        <v>0</v>
      </c>
      <c r="G86" s="112">
        <v>0</v>
      </c>
      <c r="H86" s="199">
        <v>0</v>
      </c>
    </row>
    <row r="87" spans="1:8" ht="24.75" hidden="1" customHeight="1" x14ac:dyDescent="0.2">
      <c r="A87" s="567"/>
      <c r="B87" s="567" t="s">
        <v>334</v>
      </c>
      <c r="C87" s="175" t="s">
        <v>339</v>
      </c>
      <c r="D87" s="112">
        <v>1180481000</v>
      </c>
      <c r="E87" s="112">
        <v>1180481000</v>
      </c>
      <c r="F87" s="112">
        <v>740287000</v>
      </c>
      <c r="G87" s="112">
        <v>740287000</v>
      </c>
      <c r="H87" s="199">
        <v>0</v>
      </c>
    </row>
    <row r="88" spans="1:8" ht="24.75" hidden="1" customHeight="1" x14ac:dyDescent="0.2">
      <c r="A88" s="567"/>
      <c r="B88" s="567"/>
      <c r="C88" s="175" t="s">
        <v>341</v>
      </c>
      <c r="D88" s="112">
        <v>300000000</v>
      </c>
      <c r="E88" s="112">
        <v>300000000</v>
      </c>
      <c r="F88" s="112">
        <v>0</v>
      </c>
      <c r="G88" s="112">
        <v>0</v>
      </c>
      <c r="H88" s="199">
        <v>0</v>
      </c>
    </row>
    <row r="89" spans="1:8" ht="24.75" hidden="1" customHeight="1" x14ac:dyDescent="0.2">
      <c r="A89" s="567"/>
      <c r="B89" s="175" t="s">
        <v>337</v>
      </c>
      <c r="C89" s="175" t="s">
        <v>339</v>
      </c>
      <c r="D89" s="112">
        <v>689070000</v>
      </c>
      <c r="E89" s="112">
        <v>689070000</v>
      </c>
      <c r="F89" s="112">
        <v>34584000</v>
      </c>
      <c r="G89" s="112">
        <v>34584000</v>
      </c>
      <c r="H89" s="199">
        <v>0</v>
      </c>
    </row>
    <row r="90" spans="1:8" ht="24.75" hidden="1" customHeight="1" x14ac:dyDescent="0.2">
      <c r="A90" s="567"/>
      <c r="B90" s="567" t="s">
        <v>332</v>
      </c>
      <c r="C90" s="175" t="s">
        <v>340</v>
      </c>
      <c r="D90" s="112">
        <v>1277236000</v>
      </c>
      <c r="E90" s="199">
        <v>1277236000</v>
      </c>
      <c r="F90" s="199">
        <v>385283000</v>
      </c>
      <c r="G90" s="199">
        <v>385283000</v>
      </c>
      <c r="H90" s="199">
        <v>0</v>
      </c>
    </row>
    <row r="91" spans="1:8" ht="24.75" hidden="1" customHeight="1" x14ac:dyDescent="0.2">
      <c r="A91" s="567"/>
      <c r="B91" s="567"/>
      <c r="C91" s="175" t="s">
        <v>341</v>
      </c>
      <c r="D91" s="112">
        <v>16912000</v>
      </c>
      <c r="E91" s="199">
        <v>16912000</v>
      </c>
      <c r="F91" s="199">
        <v>0</v>
      </c>
      <c r="G91" s="199">
        <v>0</v>
      </c>
      <c r="H91" s="199">
        <v>0</v>
      </c>
    </row>
    <row r="92" spans="1:8" ht="24.75" hidden="1" customHeight="1" x14ac:dyDescent="0.2">
      <c r="A92" s="567"/>
      <c r="B92" s="175" t="s">
        <v>329</v>
      </c>
      <c r="C92" s="175" t="s">
        <v>339</v>
      </c>
      <c r="D92" s="112">
        <v>691670000</v>
      </c>
      <c r="E92" s="112">
        <v>691670000</v>
      </c>
      <c r="F92" s="199">
        <v>326043000</v>
      </c>
      <c r="G92" s="199">
        <v>326043000</v>
      </c>
      <c r="H92" s="199">
        <v>0</v>
      </c>
    </row>
    <row r="93" spans="1:8" ht="24.75" hidden="1" customHeight="1" x14ac:dyDescent="0.2">
      <c r="A93" s="567" t="s">
        <v>137</v>
      </c>
      <c r="B93" s="175" t="s">
        <v>338</v>
      </c>
      <c r="C93" s="175" t="s">
        <v>339</v>
      </c>
      <c r="D93" s="112">
        <v>1564678000</v>
      </c>
      <c r="E93" s="199">
        <v>1564678000</v>
      </c>
      <c r="F93" s="199">
        <v>537224000</v>
      </c>
      <c r="G93" s="199">
        <v>537224000</v>
      </c>
      <c r="H93" s="199">
        <v>0</v>
      </c>
    </row>
    <row r="94" spans="1:8" ht="24.75" hidden="1" customHeight="1" x14ac:dyDescent="0.2">
      <c r="A94" s="567"/>
      <c r="B94" s="175" t="s">
        <v>330</v>
      </c>
      <c r="C94" s="175" t="s">
        <v>339</v>
      </c>
      <c r="D94" s="199">
        <v>1374057000</v>
      </c>
      <c r="E94" s="199">
        <v>1374057000</v>
      </c>
      <c r="F94" s="199">
        <v>1121617000</v>
      </c>
      <c r="G94" s="199">
        <v>1121617000</v>
      </c>
      <c r="H94" s="199">
        <v>3498367</v>
      </c>
    </row>
    <row r="95" spans="1:8" ht="24.75" hidden="1" customHeight="1" x14ac:dyDescent="0.2">
      <c r="A95" s="567"/>
      <c r="B95" s="567" t="s">
        <v>336</v>
      </c>
      <c r="C95" s="175" t="s">
        <v>339</v>
      </c>
      <c r="D95" s="112">
        <v>2007824000</v>
      </c>
      <c r="E95" s="112">
        <v>2007824000</v>
      </c>
      <c r="F95" s="112">
        <v>1198459150</v>
      </c>
      <c r="G95" s="112">
        <v>1198459150</v>
      </c>
      <c r="H95" s="112">
        <v>34478553</v>
      </c>
    </row>
    <row r="96" spans="1:8" ht="24.75" hidden="1" customHeight="1" x14ac:dyDescent="0.2">
      <c r="A96" s="567"/>
      <c r="B96" s="567"/>
      <c r="C96" s="175" t="s">
        <v>340</v>
      </c>
      <c r="D96" s="112">
        <v>792348000</v>
      </c>
      <c r="E96" s="112">
        <v>792348000</v>
      </c>
      <c r="F96" s="112">
        <v>595485000</v>
      </c>
      <c r="G96" s="112">
        <v>595485000</v>
      </c>
      <c r="H96" s="112">
        <v>3931767</v>
      </c>
    </row>
    <row r="97" spans="1:8" ht="24.75" hidden="1" customHeight="1" x14ac:dyDescent="0.2">
      <c r="A97" s="567"/>
      <c r="B97" s="567"/>
      <c r="C97" s="175" t="s">
        <v>341</v>
      </c>
      <c r="D97" s="112">
        <v>173604000</v>
      </c>
      <c r="E97" s="112">
        <v>173604000</v>
      </c>
      <c r="F97" s="112">
        <v>0</v>
      </c>
      <c r="G97" s="112">
        <v>0</v>
      </c>
      <c r="H97" s="112">
        <v>0</v>
      </c>
    </row>
    <row r="98" spans="1:8" ht="24.75" hidden="1" customHeight="1" x14ac:dyDescent="0.2">
      <c r="A98" s="567"/>
      <c r="B98" s="567" t="s">
        <v>334</v>
      </c>
      <c r="C98" s="175" t="s">
        <v>339</v>
      </c>
      <c r="D98" s="112">
        <v>1180481000</v>
      </c>
      <c r="E98" s="112">
        <v>1180481000</v>
      </c>
      <c r="F98" s="112">
        <v>1001575000</v>
      </c>
      <c r="G98" s="112">
        <v>1001575000</v>
      </c>
      <c r="H98" s="112">
        <v>27208599</v>
      </c>
    </row>
    <row r="99" spans="1:8" ht="24.75" hidden="1" customHeight="1" x14ac:dyDescent="0.2">
      <c r="A99" s="567"/>
      <c r="B99" s="567"/>
      <c r="C99" s="175" t="s">
        <v>341</v>
      </c>
      <c r="D99" s="112">
        <v>300000000</v>
      </c>
      <c r="E99" s="112">
        <v>300000000</v>
      </c>
      <c r="F99" s="112">
        <v>0</v>
      </c>
      <c r="G99" s="112">
        <v>0</v>
      </c>
      <c r="H99" s="112">
        <v>0</v>
      </c>
    </row>
    <row r="100" spans="1:8" ht="24.75" hidden="1" customHeight="1" x14ac:dyDescent="0.2">
      <c r="A100" s="567"/>
      <c r="B100" s="175" t="s">
        <v>337</v>
      </c>
      <c r="C100" s="175" t="s">
        <v>339</v>
      </c>
      <c r="D100" s="112">
        <v>689070000</v>
      </c>
      <c r="E100" s="112">
        <v>689070000</v>
      </c>
      <c r="F100" s="112">
        <v>343006000</v>
      </c>
      <c r="G100" s="112">
        <v>343006000</v>
      </c>
      <c r="H100" s="112">
        <v>0</v>
      </c>
    </row>
    <row r="101" spans="1:8" ht="24.75" hidden="1" customHeight="1" x14ac:dyDescent="0.2">
      <c r="A101" s="567"/>
      <c r="B101" s="567" t="s">
        <v>332</v>
      </c>
      <c r="C101" s="175" t="s">
        <v>340</v>
      </c>
      <c r="D101" s="112">
        <v>1277236000</v>
      </c>
      <c r="E101" s="199">
        <v>1277236000</v>
      </c>
      <c r="F101" s="199">
        <v>1137979000</v>
      </c>
      <c r="G101" s="199">
        <v>1137979000</v>
      </c>
      <c r="H101" s="199">
        <v>2672200</v>
      </c>
    </row>
    <row r="102" spans="1:8" ht="24.75" hidden="1" customHeight="1" x14ac:dyDescent="0.2">
      <c r="A102" s="567"/>
      <c r="B102" s="567"/>
      <c r="C102" s="175" t="s">
        <v>341</v>
      </c>
      <c r="D102" s="112">
        <v>16912000</v>
      </c>
      <c r="E102" s="199">
        <v>16912000</v>
      </c>
      <c r="F102" s="199">
        <v>0</v>
      </c>
      <c r="G102" s="199">
        <v>0</v>
      </c>
      <c r="H102" s="199">
        <v>0</v>
      </c>
    </row>
    <row r="103" spans="1:8" ht="24.75" hidden="1" customHeight="1" x14ac:dyDescent="0.2">
      <c r="A103" s="567"/>
      <c r="B103" s="175" t="s">
        <v>329</v>
      </c>
      <c r="C103" s="175" t="s">
        <v>339</v>
      </c>
      <c r="D103" s="112">
        <v>691670000</v>
      </c>
      <c r="E103" s="112">
        <v>691670000</v>
      </c>
      <c r="F103" s="199">
        <v>415638000</v>
      </c>
      <c r="G103" s="199">
        <v>415638000</v>
      </c>
      <c r="H103" s="199">
        <v>13025300</v>
      </c>
    </row>
    <row r="104" spans="1:8" ht="24.75" hidden="1" customHeight="1" x14ac:dyDescent="0.2">
      <c r="A104" s="567" t="s">
        <v>138</v>
      </c>
      <c r="B104" s="175" t="s">
        <v>338</v>
      </c>
      <c r="C104" s="175" t="s">
        <v>339</v>
      </c>
      <c r="D104" s="112">
        <v>1564678000</v>
      </c>
      <c r="E104" s="199">
        <v>837335614</v>
      </c>
      <c r="F104" s="199">
        <v>664703857</v>
      </c>
      <c r="G104" s="199">
        <v>664703857</v>
      </c>
      <c r="H104" s="199">
        <v>41026232</v>
      </c>
    </row>
    <row r="105" spans="1:8" ht="24.75" hidden="1" customHeight="1" x14ac:dyDescent="0.2">
      <c r="A105" s="567"/>
      <c r="B105" s="175" t="s">
        <v>330</v>
      </c>
      <c r="C105" s="175" t="s">
        <v>339</v>
      </c>
      <c r="D105" s="199">
        <v>1374057000</v>
      </c>
      <c r="E105" s="199">
        <v>1262994000</v>
      </c>
      <c r="F105" s="199">
        <v>1215729000</v>
      </c>
      <c r="G105" s="199">
        <v>1215729000</v>
      </c>
      <c r="H105" s="199">
        <v>92283634</v>
      </c>
    </row>
    <row r="106" spans="1:8" ht="24.75" hidden="1" customHeight="1" x14ac:dyDescent="0.2">
      <c r="A106" s="567"/>
      <c r="B106" s="567" t="s">
        <v>336</v>
      </c>
      <c r="C106" s="175" t="s">
        <v>339</v>
      </c>
      <c r="D106" s="112">
        <v>2007824000</v>
      </c>
      <c r="E106" s="112">
        <v>1670091000</v>
      </c>
      <c r="F106" s="112">
        <v>1319795150</v>
      </c>
      <c r="G106" s="112">
        <v>1319795150</v>
      </c>
      <c r="H106" s="112">
        <v>76115753</v>
      </c>
    </row>
    <row r="107" spans="1:8" ht="24.75" hidden="1" customHeight="1" x14ac:dyDescent="0.2">
      <c r="A107" s="567"/>
      <c r="B107" s="567"/>
      <c r="C107" s="175" t="s">
        <v>340</v>
      </c>
      <c r="D107" s="112">
        <v>792348000</v>
      </c>
      <c r="E107" s="112">
        <v>792348000</v>
      </c>
      <c r="F107" s="112">
        <v>622989000</v>
      </c>
      <c r="G107" s="112">
        <v>622989000</v>
      </c>
      <c r="H107" s="112">
        <v>45443400</v>
      </c>
    </row>
    <row r="108" spans="1:8" ht="24.75" hidden="1" customHeight="1" x14ac:dyDescent="0.2">
      <c r="A108" s="567"/>
      <c r="B108" s="567"/>
      <c r="C108" s="175" t="s">
        <v>341</v>
      </c>
      <c r="D108" s="112">
        <v>173604000</v>
      </c>
      <c r="E108" s="112">
        <v>173604000</v>
      </c>
      <c r="F108" s="112">
        <v>0</v>
      </c>
      <c r="G108" s="112">
        <v>0</v>
      </c>
      <c r="H108" s="112">
        <v>0</v>
      </c>
    </row>
    <row r="109" spans="1:8" ht="24.75" hidden="1" customHeight="1" x14ac:dyDescent="0.2">
      <c r="A109" s="567"/>
      <c r="B109" s="567" t="s">
        <v>334</v>
      </c>
      <c r="C109" s="175" t="s">
        <v>339</v>
      </c>
      <c r="D109" s="112">
        <v>1180481000</v>
      </c>
      <c r="E109" s="112">
        <v>1153575000</v>
      </c>
      <c r="F109" s="112">
        <v>1001575000</v>
      </c>
      <c r="G109" s="112">
        <v>1001575000</v>
      </c>
      <c r="H109" s="112">
        <v>129841932</v>
      </c>
    </row>
    <row r="110" spans="1:8" ht="24.75" hidden="1" customHeight="1" x14ac:dyDescent="0.2">
      <c r="A110" s="567"/>
      <c r="B110" s="567"/>
      <c r="C110" s="175" t="s">
        <v>341</v>
      </c>
      <c r="D110" s="112">
        <v>300000000</v>
      </c>
      <c r="E110" s="112">
        <v>300000000</v>
      </c>
      <c r="F110" s="112">
        <v>0</v>
      </c>
      <c r="G110" s="112">
        <v>0</v>
      </c>
      <c r="H110" s="112">
        <v>0</v>
      </c>
    </row>
    <row r="111" spans="1:8" ht="24.75" hidden="1" customHeight="1" x14ac:dyDescent="0.2">
      <c r="A111" s="567"/>
      <c r="B111" s="175" t="s">
        <v>337</v>
      </c>
      <c r="C111" s="175" t="s">
        <v>339</v>
      </c>
      <c r="D111" s="112">
        <v>689070000</v>
      </c>
      <c r="E111" s="112">
        <v>483246000</v>
      </c>
      <c r="F111" s="112">
        <v>344744634</v>
      </c>
      <c r="G111" s="112">
        <v>344744634</v>
      </c>
      <c r="H111" s="112">
        <v>29463567</v>
      </c>
    </row>
    <row r="112" spans="1:8" ht="24.75" hidden="1" customHeight="1" x14ac:dyDescent="0.2">
      <c r="A112" s="567"/>
      <c r="B112" s="567" t="s">
        <v>332</v>
      </c>
      <c r="C112" s="175" t="s">
        <v>340</v>
      </c>
      <c r="D112" s="112">
        <v>1277236000</v>
      </c>
      <c r="E112" s="199">
        <v>1277236000</v>
      </c>
      <c r="F112" s="199">
        <v>1137979000</v>
      </c>
      <c r="G112" s="199">
        <v>1137979000</v>
      </c>
      <c r="H112" s="199">
        <v>52827934</v>
      </c>
    </row>
    <row r="113" spans="1:8" ht="24.75" hidden="1" customHeight="1" x14ac:dyDescent="0.2">
      <c r="A113" s="567"/>
      <c r="B113" s="567"/>
      <c r="C113" s="175" t="s">
        <v>341</v>
      </c>
      <c r="D113" s="112">
        <v>16912000</v>
      </c>
      <c r="E113" s="199">
        <v>16912000</v>
      </c>
      <c r="F113" s="199">
        <v>0</v>
      </c>
      <c r="G113" s="199">
        <v>0</v>
      </c>
      <c r="H113" s="199">
        <v>0</v>
      </c>
    </row>
    <row r="114" spans="1:8" ht="24.75" hidden="1" customHeight="1" x14ac:dyDescent="0.2">
      <c r="A114" s="567"/>
      <c r="B114" s="175" t="s">
        <v>329</v>
      </c>
      <c r="C114" s="175" t="s">
        <v>339</v>
      </c>
      <c r="D114" s="112">
        <v>691670000</v>
      </c>
      <c r="E114" s="112">
        <v>528678000</v>
      </c>
      <c r="F114" s="199">
        <v>516118000</v>
      </c>
      <c r="G114" s="199">
        <v>516118000</v>
      </c>
      <c r="H114" s="199">
        <v>54300600</v>
      </c>
    </row>
    <row r="115" spans="1:8" ht="24.75" hidden="1" customHeight="1" x14ac:dyDescent="0.2">
      <c r="A115" s="559" t="s">
        <v>139</v>
      </c>
      <c r="B115" s="175" t="s">
        <v>338</v>
      </c>
      <c r="C115" s="175" t="s">
        <v>339</v>
      </c>
      <c r="D115" s="200">
        <v>1564678000</v>
      </c>
      <c r="E115" s="61">
        <v>871335614</v>
      </c>
      <c r="F115" s="61">
        <v>664703857</v>
      </c>
      <c r="G115" s="61">
        <v>664703857</v>
      </c>
      <c r="H115" s="61">
        <v>118345946</v>
      </c>
    </row>
    <row r="116" spans="1:8" ht="24.75" hidden="1" customHeight="1" x14ac:dyDescent="0.2">
      <c r="A116" s="560"/>
      <c r="B116" s="175" t="s">
        <v>330</v>
      </c>
      <c r="C116" s="175" t="s">
        <v>339</v>
      </c>
      <c r="D116" s="61">
        <v>1374057000</v>
      </c>
      <c r="E116" s="61">
        <v>1262994000</v>
      </c>
      <c r="F116" s="61">
        <v>1215729000</v>
      </c>
      <c r="G116" s="61">
        <v>1215729000</v>
      </c>
      <c r="H116" s="61">
        <v>211528368</v>
      </c>
    </row>
    <row r="117" spans="1:8" ht="24.75" hidden="1" customHeight="1" x14ac:dyDescent="0.2">
      <c r="A117" s="560"/>
      <c r="B117" s="567" t="s">
        <v>336</v>
      </c>
      <c r="C117" s="175" t="s">
        <v>339</v>
      </c>
      <c r="D117" s="200">
        <v>2007824000</v>
      </c>
      <c r="E117" s="200">
        <v>1636091000</v>
      </c>
      <c r="F117" s="200">
        <v>1319795150</v>
      </c>
      <c r="G117" s="200">
        <v>1319795150</v>
      </c>
      <c r="H117" s="200">
        <v>267779765</v>
      </c>
    </row>
    <row r="118" spans="1:8" ht="24.75" hidden="1" customHeight="1" x14ac:dyDescent="0.2">
      <c r="A118" s="560"/>
      <c r="B118" s="567"/>
      <c r="C118" s="175" t="s">
        <v>340</v>
      </c>
      <c r="D118" s="200">
        <v>792348000</v>
      </c>
      <c r="E118" s="200">
        <v>792348000</v>
      </c>
      <c r="F118" s="200">
        <v>622989000</v>
      </c>
      <c r="G118" s="200">
        <v>622989000</v>
      </c>
      <c r="H118" s="200">
        <v>107635600</v>
      </c>
    </row>
    <row r="119" spans="1:8" ht="24.75" hidden="1" customHeight="1" x14ac:dyDescent="0.2">
      <c r="A119" s="560"/>
      <c r="B119" s="567"/>
      <c r="C119" s="175" t="s">
        <v>341</v>
      </c>
      <c r="D119" s="200">
        <v>173604000</v>
      </c>
      <c r="E119" s="200">
        <v>173604000</v>
      </c>
      <c r="F119" s="200">
        <v>0</v>
      </c>
      <c r="G119" s="200">
        <v>0</v>
      </c>
      <c r="H119" s="200">
        <v>0</v>
      </c>
    </row>
    <row r="120" spans="1:8" ht="24.75" hidden="1" customHeight="1" x14ac:dyDescent="0.2">
      <c r="A120" s="560"/>
      <c r="B120" s="567" t="s">
        <v>334</v>
      </c>
      <c r="C120" s="175" t="s">
        <v>339</v>
      </c>
      <c r="D120" s="200">
        <v>1180481000</v>
      </c>
      <c r="E120" s="200">
        <v>1153575000</v>
      </c>
      <c r="F120" s="200">
        <v>1001575000</v>
      </c>
      <c r="G120" s="200">
        <v>1001575000</v>
      </c>
      <c r="H120" s="200">
        <v>243619999</v>
      </c>
    </row>
    <row r="121" spans="1:8" ht="24.75" hidden="1" customHeight="1" x14ac:dyDescent="0.2">
      <c r="A121" s="560"/>
      <c r="B121" s="567"/>
      <c r="C121" s="175" t="s">
        <v>341</v>
      </c>
      <c r="D121" s="200">
        <v>300000000</v>
      </c>
      <c r="E121" s="200">
        <v>300000000</v>
      </c>
      <c r="F121" s="200">
        <v>0</v>
      </c>
      <c r="G121" s="200">
        <v>0</v>
      </c>
      <c r="H121" s="200">
        <v>0</v>
      </c>
    </row>
    <row r="122" spans="1:8" ht="24.75" hidden="1" customHeight="1" x14ac:dyDescent="0.2">
      <c r="A122" s="560"/>
      <c r="B122" s="175" t="s">
        <v>337</v>
      </c>
      <c r="C122" s="175" t="s">
        <v>339</v>
      </c>
      <c r="D122" s="200">
        <v>689070000</v>
      </c>
      <c r="E122" s="200">
        <v>483246000</v>
      </c>
      <c r="F122" s="200">
        <v>358986578</v>
      </c>
      <c r="G122" s="200">
        <v>358986578</v>
      </c>
      <c r="H122" s="200">
        <v>71775801</v>
      </c>
    </row>
    <row r="123" spans="1:8" ht="24.75" hidden="1" customHeight="1" x14ac:dyDescent="0.2">
      <c r="A123" s="560"/>
      <c r="B123" s="567" t="s">
        <v>332</v>
      </c>
      <c r="C123" s="175" t="s">
        <v>340</v>
      </c>
      <c r="D123" s="200">
        <v>1277236000</v>
      </c>
      <c r="E123" s="61">
        <v>1277236000</v>
      </c>
      <c r="F123" s="61">
        <v>1162045000</v>
      </c>
      <c r="G123" s="61">
        <v>1162045000</v>
      </c>
      <c r="H123" s="61">
        <v>164897501</v>
      </c>
    </row>
    <row r="124" spans="1:8" ht="24.75" hidden="1" customHeight="1" x14ac:dyDescent="0.2">
      <c r="A124" s="560"/>
      <c r="B124" s="567"/>
      <c r="C124" s="175" t="s">
        <v>341</v>
      </c>
      <c r="D124" s="200">
        <v>16912000</v>
      </c>
      <c r="E124" s="61">
        <v>16912000</v>
      </c>
      <c r="F124" s="61">
        <v>0</v>
      </c>
      <c r="G124" s="61">
        <v>0</v>
      </c>
      <c r="H124" s="61">
        <v>0</v>
      </c>
    </row>
    <row r="125" spans="1:8" ht="24.75" hidden="1" customHeight="1" x14ac:dyDescent="0.2">
      <c r="A125" s="516"/>
      <c r="B125" s="175" t="s">
        <v>329</v>
      </c>
      <c r="C125" s="175" t="s">
        <v>339</v>
      </c>
      <c r="D125" s="200">
        <v>691670000</v>
      </c>
      <c r="E125" s="200">
        <v>528678000</v>
      </c>
      <c r="F125" s="61">
        <v>516118000</v>
      </c>
      <c r="G125" s="61">
        <v>516118000</v>
      </c>
      <c r="H125" s="61">
        <v>104126700</v>
      </c>
    </row>
    <row r="126" spans="1:8" ht="24.75" hidden="1" customHeight="1" x14ac:dyDescent="0.2">
      <c r="A126" s="559" t="s">
        <v>140</v>
      </c>
      <c r="B126" s="175" t="s">
        <v>338</v>
      </c>
      <c r="C126" s="175" t="s">
        <v>339</v>
      </c>
      <c r="D126" s="200">
        <v>1564678000</v>
      </c>
      <c r="E126" s="61">
        <v>871335614</v>
      </c>
      <c r="F126" s="61">
        <v>871181753</v>
      </c>
      <c r="G126" s="61">
        <v>871181753</v>
      </c>
      <c r="H126" s="61">
        <v>208815171</v>
      </c>
    </row>
    <row r="127" spans="1:8" ht="24.75" hidden="1" customHeight="1" x14ac:dyDescent="0.2">
      <c r="A127" s="560"/>
      <c r="B127" s="175" t="s">
        <v>330</v>
      </c>
      <c r="C127" s="175" t="s">
        <v>339</v>
      </c>
      <c r="D127" s="61">
        <v>1374057000</v>
      </c>
      <c r="E127" s="61">
        <v>1262994000</v>
      </c>
      <c r="F127" s="61">
        <v>1215729000</v>
      </c>
      <c r="G127" s="61">
        <v>1215729000</v>
      </c>
      <c r="H127" s="61">
        <v>386596068</v>
      </c>
    </row>
    <row r="128" spans="1:8" ht="24.75" hidden="1" customHeight="1" x14ac:dyDescent="0.2">
      <c r="A128" s="560"/>
      <c r="B128" s="567" t="s">
        <v>336</v>
      </c>
      <c r="C128" s="175" t="s">
        <v>339</v>
      </c>
      <c r="D128" s="200">
        <v>2007824000</v>
      </c>
      <c r="E128" s="200">
        <v>1636091000</v>
      </c>
      <c r="F128" s="61">
        <v>1569526714</v>
      </c>
      <c r="G128" s="61">
        <v>1569526714</v>
      </c>
      <c r="H128" s="61">
        <v>483936563</v>
      </c>
    </row>
    <row r="129" spans="1:8" ht="24.75" hidden="1" customHeight="1" x14ac:dyDescent="0.2">
      <c r="A129" s="560"/>
      <c r="B129" s="567"/>
      <c r="C129" s="175" t="s">
        <v>340</v>
      </c>
      <c r="D129" s="200">
        <v>792348000</v>
      </c>
      <c r="E129" s="200">
        <v>792348000</v>
      </c>
      <c r="F129" s="61">
        <v>622989000</v>
      </c>
      <c r="G129" s="61">
        <v>622989000</v>
      </c>
      <c r="H129" s="61">
        <v>189768200</v>
      </c>
    </row>
    <row r="130" spans="1:8" ht="24.75" hidden="1" customHeight="1" x14ac:dyDescent="0.2">
      <c r="A130" s="560"/>
      <c r="B130" s="567"/>
      <c r="C130" s="175" t="s">
        <v>341</v>
      </c>
      <c r="D130" s="200">
        <v>173604000</v>
      </c>
      <c r="E130" s="200">
        <v>173604000</v>
      </c>
      <c r="F130" s="61">
        <v>0</v>
      </c>
      <c r="G130" s="61">
        <v>0</v>
      </c>
      <c r="H130" s="61">
        <v>0</v>
      </c>
    </row>
    <row r="131" spans="1:8" ht="24.75" hidden="1" customHeight="1" x14ac:dyDescent="0.2">
      <c r="A131" s="560"/>
      <c r="B131" s="567" t="s">
        <v>334</v>
      </c>
      <c r="C131" s="175" t="s">
        <v>339</v>
      </c>
      <c r="D131" s="200">
        <v>1180481000</v>
      </c>
      <c r="E131" s="200">
        <v>1153575000</v>
      </c>
      <c r="F131" s="61">
        <v>1151575000</v>
      </c>
      <c r="G131" s="61">
        <v>1151575000</v>
      </c>
      <c r="H131" s="61">
        <v>358671999</v>
      </c>
    </row>
    <row r="132" spans="1:8" ht="24.75" hidden="1" customHeight="1" x14ac:dyDescent="0.2">
      <c r="A132" s="560"/>
      <c r="B132" s="567"/>
      <c r="C132" s="175" t="s">
        <v>341</v>
      </c>
      <c r="D132" s="200">
        <v>300000000</v>
      </c>
      <c r="E132" s="200">
        <v>300000000</v>
      </c>
      <c r="F132" s="61">
        <v>0</v>
      </c>
      <c r="G132" s="61">
        <v>0</v>
      </c>
      <c r="H132" s="61">
        <v>0</v>
      </c>
    </row>
    <row r="133" spans="1:8" ht="24.75" hidden="1" customHeight="1" x14ac:dyDescent="0.2">
      <c r="A133" s="560"/>
      <c r="B133" s="175" t="s">
        <v>337</v>
      </c>
      <c r="C133" s="175" t="s">
        <v>339</v>
      </c>
      <c r="D133" s="200">
        <v>689070000</v>
      </c>
      <c r="E133" s="200">
        <v>483246000</v>
      </c>
      <c r="F133" s="61">
        <v>455766292</v>
      </c>
      <c r="G133" s="61">
        <v>455766292</v>
      </c>
      <c r="H133" s="61">
        <v>122385759</v>
      </c>
    </row>
    <row r="134" spans="1:8" ht="24.75" hidden="1" customHeight="1" x14ac:dyDescent="0.2">
      <c r="A134" s="560"/>
      <c r="B134" s="567" t="s">
        <v>332</v>
      </c>
      <c r="C134" s="175" t="s">
        <v>340</v>
      </c>
      <c r="D134" s="200">
        <v>1277236000</v>
      </c>
      <c r="E134" s="61">
        <v>1277236000</v>
      </c>
      <c r="F134" s="61">
        <v>1162045000</v>
      </c>
      <c r="G134" s="61">
        <v>1162045000</v>
      </c>
      <c r="H134" s="61">
        <v>318285901</v>
      </c>
    </row>
    <row r="135" spans="1:8" ht="24.75" hidden="1" customHeight="1" x14ac:dyDescent="0.2">
      <c r="A135" s="560"/>
      <c r="B135" s="567"/>
      <c r="C135" s="175" t="s">
        <v>341</v>
      </c>
      <c r="D135" s="200">
        <v>16912000</v>
      </c>
      <c r="E135" s="61">
        <v>16912000</v>
      </c>
      <c r="F135" s="61">
        <v>0</v>
      </c>
      <c r="G135" s="61">
        <v>0</v>
      </c>
      <c r="H135" s="61">
        <v>0</v>
      </c>
    </row>
    <row r="136" spans="1:8" ht="24.75" hidden="1" customHeight="1" x14ac:dyDescent="0.2">
      <c r="A136" s="516"/>
      <c r="B136" s="175" t="s">
        <v>329</v>
      </c>
      <c r="C136" s="175" t="s">
        <v>339</v>
      </c>
      <c r="D136" s="200">
        <v>691670000</v>
      </c>
      <c r="E136" s="200">
        <v>528678000</v>
      </c>
      <c r="F136" s="61">
        <v>516118000</v>
      </c>
      <c r="G136" s="61">
        <v>516118000</v>
      </c>
      <c r="H136" s="61">
        <v>163380167</v>
      </c>
    </row>
    <row r="137" spans="1:8" ht="24.75" hidden="1" customHeight="1" x14ac:dyDescent="0.2">
      <c r="A137" s="559" t="s">
        <v>128</v>
      </c>
      <c r="B137" s="175" t="s">
        <v>338</v>
      </c>
      <c r="C137" s="175" t="s">
        <v>339</v>
      </c>
      <c r="D137" s="200">
        <v>1564678000</v>
      </c>
      <c r="E137" s="61">
        <v>871335614</v>
      </c>
      <c r="F137" s="61">
        <v>871181753</v>
      </c>
      <c r="G137" s="61">
        <v>871181753</v>
      </c>
      <c r="H137" s="61">
        <v>283862781</v>
      </c>
    </row>
    <row r="138" spans="1:8" ht="24.75" hidden="1" customHeight="1" x14ac:dyDescent="0.2">
      <c r="A138" s="560"/>
      <c r="B138" s="175" t="s">
        <v>330</v>
      </c>
      <c r="C138" s="175" t="s">
        <v>339</v>
      </c>
      <c r="D138" s="61">
        <v>1374057000</v>
      </c>
      <c r="E138" s="61">
        <v>1262994000</v>
      </c>
      <c r="F138" s="61">
        <v>1215729000</v>
      </c>
      <c r="G138" s="61">
        <v>1240619000</v>
      </c>
      <c r="H138" s="61">
        <v>533879068</v>
      </c>
    </row>
    <row r="139" spans="1:8" ht="24.75" hidden="1" customHeight="1" x14ac:dyDescent="0.2">
      <c r="A139" s="560"/>
      <c r="B139" s="567" t="s">
        <v>336</v>
      </c>
      <c r="C139" s="175" t="s">
        <v>339</v>
      </c>
      <c r="D139" s="200">
        <v>2007824000</v>
      </c>
      <c r="E139" s="200">
        <v>1636091000</v>
      </c>
      <c r="F139" s="61">
        <v>1569526714</v>
      </c>
      <c r="G139" s="61">
        <v>1569526714</v>
      </c>
      <c r="H139" s="61">
        <v>619554113</v>
      </c>
    </row>
    <row r="140" spans="1:8" ht="24.75" hidden="1" customHeight="1" x14ac:dyDescent="0.2">
      <c r="A140" s="560"/>
      <c r="B140" s="567"/>
      <c r="C140" s="175" t="s">
        <v>340</v>
      </c>
      <c r="D140" s="200">
        <v>792348000</v>
      </c>
      <c r="E140" s="200">
        <v>792348000</v>
      </c>
      <c r="F140" s="61">
        <v>622989000</v>
      </c>
      <c r="G140" s="61">
        <v>622989000</v>
      </c>
      <c r="H140" s="61">
        <v>262045200</v>
      </c>
    </row>
    <row r="141" spans="1:8" ht="24.75" hidden="1" customHeight="1" x14ac:dyDescent="0.2">
      <c r="A141" s="560"/>
      <c r="B141" s="567"/>
      <c r="C141" s="175" t="s">
        <v>341</v>
      </c>
      <c r="D141" s="200">
        <v>173604000</v>
      </c>
      <c r="E141" s="200">
        <v>173604000</v>
      </c>
      <c r="F141" s="61">
        <v>0</v>
      </c>
      <c r="G141" s="61">
        <v>0</v>
      </c>
      <c r="H141" s="61">
        <v>0</v>
      </c>
    </row>
    <row r="142" spans="1:8" ht="24.75" hidden="1" customHeight="1" x14ac:dyDescent="0.2">
      <c r="A142" s="560"/>
      <c r="B142" s="567" t="s">
        <v>334</v>
      </c>
      <c r="C142" s="175" t="s">
        <v>339</v>
      </c>
      <c r="D142" s="200">
        <v>1180481000</v>
      </c>
      <c r="E142" s="200">
        <v>1153575000</v>
      </c>
      <c r="F142" s="61">
        <v>1151575000</v>
      </c>
      <c r="G142" s="61">
        <v>1151575000</v>
      </c>
      <c r="H142" s="61">
        <v>470285999</v>
      </c>
    </row>
    <row r="143" spans="1:8" ht="24.75" hidden="1" customHeight="1" x14ac:dyDescent="0.2">
      <c r="A143" s="560"/>
      <c r="B143" s="567"/>
      <c r="C143" s="175" t="s">
        <v>341</v>
      </c>
      <c r="D143" s="200">
        <v>300000000</v>
      </c>
      <c r="E143" s="200">
        <v>300000000</v>
      </c>
      <c r="F143" s="61">
        <v>0</v>
      </c>
      <c r="G143" s="61">
        <v>0</v>
      </c>
      <c r="H143" s="61">
        <v>0</v>
      </c>
    </row>
    <row r="144" spans="1:8" ht="24.75" hidden="1" customHeight="1" x14ac:dyDescent="0.2">
      <c r="A144" s="560"/>
      <c r="B144" s="175" t="s">
        <v>337</v>
      </c>
      <c r="C144" s="175" t="s">
        <v>339</v>
      </c>
      <c r="D144" s="200">
        <v>689070000</v>
      </c>
      <c r="E144" s="200">
        <v>483246000</v>
      </c>
      <c r="F144" s="61">
        <v>455766292</v>
      </c>
      <c r="G144" s="61">
        <v>455766292</v>
      </c>
      <c r="H144" s="61">
        <v>175150260</v>
      </c>
    </row>
    <row r="145" spans="1:8" ht="24.75" hidden="1" customHeight="1" x14ac:dyDescent="0.2">
      <c r="A145" s="560"/>
      <c r="B145" s="567" t="s">
        <v>332</v>
      </c>
      <c r="C145" s="175" t="s">
        <v>340</v>
      </c>
      <c r="D145" s="200">
        <v>1277236000</v>
      </c>
      <c r="E145" s="61">
        <v>1277236000</v>
      </c>
      <c r="F145" s="61">
        <v>1162045000</v>
      </c>
      <c r="G145" s="61">
        <v>1162045000</v>
      </c>
      <c r="H145" s="61">
        <v>452002301</v>
      </c>
    </row>
    <row r="146" spans="1:8" ht="24.75" hidden="1" customHeight="1" x14ac:dyDescent="0.2">
      <c r="A146" s="560"/>
      <c r="B146" s="567"/>
      <c r="C146" s="175" t="s">
        <v>341</v>
      </c>
      <c r="D146" s="200">
        <v>16912000</v>
      </c>
      <c r="E146" s="61">
        <v>16912000</v>
      </c>
      <c r="F146" s="61">
        <v>0</v>
      </c>
      <c r="G146" s="61">
        <v>0</v>
      </c>
      <c r="H146" s="61">
        <v>0</v>
      </c>
    </row>
    <row r="147" spans="1:8" ht="24.75" hidden="1" customHeight="1" x14ac:dyDescent="0.2">
      <c r="A147" s="516"/>
      <c r="B147" s="175" t="s">
        <v>329</v>
      </c>
      <c r="C147" s="175" t="s">
        <v>339</v>
      </c>
      <c r="D147" s="200">
        <v>691670000</v>
      </c>
      <c r="E147" s="200">
        <v>528678000</v>
      </c>
      <c r="F147" s="61">
        <v>516118000</v>
      </c>
      <c r="G147" s="61">
        <v>516118000</v>
      </c>
      <c r="H147" s="61">
        <v>222122167</v>
      </c>
    </row>
    <row r="148" spans="1:8" ht="24.75" hidden="1" customHeight="1" x14ac:dyDescent="0.2">
      <c r="A148" s="559" t="s">
        <v>129</v>
      </c>
      <c r="B148" s="175" t="s">
        <v>338</v>
      </c>
      <c r="C148" s="175" t="s">
        <v>339</v>
      </c>
      <c r="D148" s="200">
        <v>1564678000</v>
      </c>
      <c r="E148" s="61">
        <v>1598678000</v>
      </c>
      <c r="F148" s="61">
        <v>871181753</v>
      </c>
      <c r="G148" s="61">
        <v>871181753</v>
      </c>
      <c r="H148" s="61">
        <v>437562435</v>
      </c>
    </row>
    <row r="149" spans="1:8" ht="24.75" hidden="1" customHeight="1" x14ac:dyDescent="0.2">
      <c r="A149" s="560"/>
      <c r="B149" s="175" t="s">
        <v>330</v>
      </c>
      <c r="C149" s="175" t="s">
        <v>339</v>
      </c>
      <c r="D149" s="61">
        <v>1374057000</v>
      </c>
      <c r="E149" s="61">
        <v>1374057000</v>
      </c>
      <c r="F149" s="61">
        <v>1240619000</v>
      </c>
      <c r="G149" s="61">
        <v>1240619000</v>
      </c>
      <c r="H149" s="61">
        <v>676839068</v>
      </c>
    </row>
    <row r="150" spans="1:8" ht="24.75" hidden="1" customHeight="1" x14ac:dyDescent="0.2">
      <c r="A150" s="560"/>
      <c r="B150" s="567" t="s">
        <v>336</v>
      </c>
      <c r="C150" s="175" t="s">
        <v>339</v>
      </c>
      <c r="D150" s="200">
        <v>2007824000</v>
      </c>
      <c r="E150" s="200">
        <v>1948824000</v>
      </c>
      <c r="F150" s="61">
        <v>1569526714</v>
      </c>
      <c r="G150" s="61">
        <v>1569526714</v>
      </c>
      <c r="H150" s="61">
        <v>753836463</v>
      </c>
    </row>
    <row r="151" spans="1:8" ht="24.75" hidden="1" customHeight="1" x14ac:dyDescent="0.2">
      <c r="A151" s="560"/>
      <c r="B151" s="567"/>
      <c r="C151" s="175" t="s">
        <v>340</v>
      </c>
      <c r="D151" s="200">
        <v>792348000</v>
      </c>
      <c r="E151" s="200">
        <v>792348000</v>
      </c>
      <c r="F151" s="61">
        <v>622989000</v>
      </c>
      <c r="G151" s="61">
        <v>622989000</v>
      </c>
      <c r="H151" s="61">
        <v>334322200</v>
      </c>
    </row>
    <row r="152" spans="1:8" ht="24.75" hidden="1" customHeight="1" x14ac:dyDescent="0.2">
      <c r="A152" s="560"/>
      <c r="B152" s="567"/>
      <c r="C152" s="175" t="s">
        <v>341</v>
      </c>
      <c r="D152" s="200">
        <v>173604000</v>
      </c>
      <c r="E152" s="200">
        <v>173604000</v>
      </c>
      <c r="F152" s="61">
        <v>0</v>
      </c>
      <c r="G152" s="61">
        <v>0</v>
      </c>
      <c r="H152" s="61">
        <v>0</v>
      </c>
    </row>
    <row r="153" spans="1:8" ht="24.75" hidden="1" customHeight="1" x14ac:dyDescent="0.2">
      <c r="A153" s="560"/>
      <c r="B153" s="567" t="s">
        <v>334</v>
      </c>
      <c r="C153" s="175" t="s">
        <v>339</v>
      </c>
      <c r="D153" s="200">
        <v>1180481000</v>
      </c>
      <c r="E153" s="200">
        <v>1180481000</v>
      </c>
      <c r="F153" s="61">
        <v>1151575000</v>
      </c>
      <c r="G153" s="61">
        <v>1151575000</v>
      </c>
      <c r="H153" s="61">
        <v>581899999</v>
      </c>
    </row>
    <row r="154" spans="1:8" ht="24.75" hidden="1" customHeight="1" x14ac:dyDescent="0.2">
      <c r="A154" s="560"/>
      <c r="B154" s="567"/>
      <c r="C154" s="175" t="s">
        <v>341</v>
      </c>
      <c r="D154" s="200">
        <v>300000000</v>
      </c>
      <c r="E154" s="200">
        <v>300000000</v>
      </c>
      <c r="F154" s="61">
        <v>0</v>
      </c>
      <c r="G154" s="61">
        <v>0</v>
      </c>
      <c r="H154" s="61">
        <v>0</v>
      </c>
    </row>
    <row r="155" spans="1:8" ht="24.75" hidden="1" customHeight="1" x14ac:dyDescent="0.2">
      <c r="A155" s="560"/>
      <c r="B155" s="175" t="s">
        <v>337</v>
      </c>
      <c r="C155" s="175" t="s">
        <v>339</v>
      </c>
      <c r="D155" s="200">
        <v>689070000</v>
      </c>
      <c r="E155" s="200">
        <v>714070000</v>
      </c>
      <c r="F155" s="61">
        <v>492530292</v>
      </c>
      <c r="G155" s="61">
        <v>492530292</v>
      </c>
      <c r="H155" s="61">
        <v>214552860</v>
      </c>
    </row>
    <row r="156" spans="1:8" ht="24.75" hidden="1" customHeight="1" x14ac:dyDescent="0.2">
      <c r="A156" s="560"/>
      <c r="B156" s="567" t="s">
        <v>332</v>
      </c>
      <c r="C156" s="175" t="s">
        <v>340</v>
      </c>
      <c r="D156" s="200">
        <v>1277236000</v>
      </c>
      <c r="E156" s="61">
        <v>1277236000</v>
      </c>
      <c r="F156" s="61">
        <v>1162045000</v>
      </c>
      <c r="G156" s="61">
        <v>1162045000</v>
      </c>
      <c r="H156" s="61">
        <v>586299268</v>
      </c>
    </row>
    <row r="157" spans="1:8" ht="24.75" hidden="1" customHeight="1" x14ac:dyDescent="0.2">
      <c r="A157" s="560"/>
      <c r="B157" s="567"/>
      <c r="C157" s="175" t="s">
        <v>341</v>
      </c>
      <c r="D157" s="200">
        <v>16912000</v>
      </c>
      <c r="E157" s="61">
        <v>16912000</v>
      </c>
      <c r="F157" s="61">
        <v>0</v>
      </c>
      <c r="G157" s="61">
        <v>0</v>
      </c>
      <c r="H157" s="61">
        <v>0</v>
      </c>
    </row>
    <row r="158" spans="1:8" ht="24.75" hidden="1" customHeight="1" x14ac:dyDescent="0.2">
      <c r="A158" s="516"/>
      <c r="B158" s="175" t="s">
        <v>329</v>
      </c>
      <c r="C158" s="175" t="s">
        <v>339</v>
      </c>
      <c r="D158" s="200">
        <v>691670000</v>
      </c>
      <c r="E158" s="200">
        <v>691670000</v>
      </c>
      <c r="F158" s="61">
        <v>516118000</v>
      </c>
      <c r="G158" s="61">
        <v>516118000</v>
      </c>
      <c r="H158" s="61">
        <v>280864167</v>
      </c>
    </row>
    <row r="159" spans="1:8" ht="24.75" hidden="1" customHeight="1" x14ac:dyDescent="0.2">
      <c r="A159" s="559" t="s">
        <v>130</v>
      </c>
      <c r="B159" s="175" t="s">
        <v>338</v>
      </c>
      <c r="C159" s="175" t="s">
        <v>339</v>
      </c>
      <c r="D159" s="200">
        <v>1564678000</v>
      </c>
      <c r="E159" s="61">
        <v>1534521300</v>
      </c>
      <c r="F159" s="61">
        <v>898822087</v>
      </c>
      <c r="G159" s="61">
        <v>898822087</v>
      </c>
      <c r="H159" s="61">
        <v>529153691</v>
      </c>
    </row>
    <row r="160" spans="1:8" ht="24.75" hidden="1" customHeight="1" x14ac:dyDescent="0.2">
      <c r="A160" s="560"/>
      <c r="B160" s="175" t="s">
        <v>330</v>
      </c>
      <c r="C160" s="175" t="s">
        <v>339</v>
      </c>
      <c r="D160" s="61">
        <v>1374057000</v>
      </c>
      <c r="E160" s="61">
        <v>1389997314</v>
      </c>
      <c r="F160" s="61">
        <v>1256382667</v>
      </c>
      <c r="G160" s="61">
        <v>1256382667</v>
      </c>
      <c r="H160" s="61">
        <v>826270468</v>
      </c>
    </row>
    <row r="161" spans="1:8" ht="24.75" hidden="1" customHeight="1" x14ac:dyDescent="0.2">
      <c r="A161" s="560"/>
      <c r="B161" s="567" t="s">
        <v>336</v>
      </c>
      <c r="C161" s="175" t="s">
        <v>339</v>
      </c>
      <c r="D161" s="200">
        <v>2007824000</v>
      </c>
      <c r="E161" s="200">
        <v>1964948316</v>
      </c>
      <c r="F161" s="61">
        <v>1574880714</v>
      </c>
      <c r="G161" s="61">
        <v>1574880714</v>
      </c>
      <c r="H161" s="61">
        <v>928120702</v>
      </c>
    </row>
    <row r="162" spans="1:8" ht="24.75" hidden="1" customHeight="1" x14ac:dyDescent="0.2">
      <c r="A162" s="560"/>
      <c r="B162" s="567"/>
      <c r="C162" s="175" t="s">
        <v>340</v>
      </c>
      <c r="D162" s="200">
        <v>792348000</v>
      </c>
      <c r="E162" s="200">
        <v>792348000</v>
      </c>
      <c r="F162" s="61">
        <v>630861834</v>
      </c>
      <c r="G162" s="61">
        <v>630861834</v>
      </c>
      <c r="H162" s="61">
        <v>403161200</v>
      </c>
    </row>
    <row r="163" spans="1:8" ht="24.75" hidden="1" customHeight="1" x14ac:dyDescent="0.2">
      <c r="A163" s="560"/>
      <c r="B163" s="567"/>
      <c r="C163" s="175" t="s">
        <v>341</v>
      </c>
      <c r="D163" s="200">
        <v>173604000</v>
      </c>
      <c r="E163" s="200">
        <v>173604000</v>
      </c>
      <c r="F163" s="61">
        <v>0</v>
      </c>
      <c r="G163" s="61">
        <v>0</v>
      </c>
      <c r="H163" s="61">
        <v>0</v>
      </c>
    </row>
    <row r="164" spans="1:8" ht="24.75" hidden="1" customHeight="1" x14ac:dyDescent="0.2">
      <c r="A164" s="560"/>
      <c r="B164" s="567" t="s">
        <v>334</v>
      </c>
      <c r="C164" s="175" t="s">
        <v>339</v>
      </c>
      <c r="D164" s="200">
        <v>1180481000</v>
      </c>
      <c r="E164" s="200">
        <v>1287481000</v>
      </c>
      <c r="F164" s="61">
        <v>1151575000</v>
      </c>
      <c r="G164" s="61">
        <v>1151575000</v>
      </c>
      <c r="H164" s="61">
        <v>693513999</v>
      </c>
    </row>
    <row r="165" spans="1:8" ht="24.75" hidden="1" customHeight="1" x14ac:dyDescent="0.2">
      <c r="A165" s="560"/>
      <c r="B165" s="567"/>
      <c r="C165" s="175" t="s">
        <v>341</v>
      </c>
      <c r="D165" s="200">
        <v>300000000</v>
      </c>
      <c r="E165" s="200">
        <v>300000000</v>
      </c>
      <c r="F165" s="61">
        <v>0</v>
      </c>
      <c r="G165" s="61">
        <v>0</v>
      </c>
      <c r="H165" s="61">
        <v>0</v>
      </c>
    </row>
    <row r="166" spans="1:8" ht="24.75" hidden="1" customHeight="1" x14ac:dyDescent="0.2">
      <c r="A166" s="560"/>
      <c r="B166" s="175" t="s">
        <v>337</v>
      </c>
      <c r="C166" s="175" t="s">
        <v>339</v>
      </c>
      <c r="D166" s="200">
        <v>689070000</v>
      </c>
      <c r="E166" s="200">
        <v>749390000</v>
      </c>
      <c r="F166" s="61">
        <v>492530292</v>
      </c>
      <c r="G166" s="61">
        <v>492530292</v>
      </c>
      <c r="H166" s="61">
        <v>254011027</v>
      </c>
    </row>
    <row r="167" spans="1:8" ht="24.75" hidden="1" customHeight="1" x14ac:dyDescent="0.2">
      <c r="A167" s="560"/>
      <c r="B167" s="567" t="s">
        <v>332</v>
      </c>
      <c r="C167" s="175" t="s">
        <v>340</v>
      </c>
      <c r="D167" s="200">
        <v>1277236000</v>
      </c>
      <c r="E167" s="61">
        <v>1277236000</v>
      </c>
      <c r="F167" s="61">
        <v>1169728500</v>
      </c>
      <c r="G167" s="61">
        <v>1169728500</v>
      </c>
      <c r="H167" s="61">
        <v>730050201</v>
      </c>
    </row>
    <row r="168" spans="1:8" ht="24.75" hidden="1" customHeight="1" x14ac:dyDescent="0.2">
      <c r="A168" s="560"/>
      <c r="B168" s="567"/>
      <c r="C168" s="175" t="s">
        <v>341</v>
      </c>
      <c r="D168" s="200">
        <v>16912000</v>
      </c>
      <c r="E168" s="61">
        <v>16912000</v>
      </c>
      <c r="F168" s="61">
        <v>16912000</v>
      </c>
      <c r="G168" s="61">
        <v>16912000</v>
      </c>
      <c r="H168" s="61">
        <v>0</v>
      </c>
    </row>
    <row r="169" spans="1:8" ht="24.75" hidden="1" customHeight="1" x14ac:dyDescent="0.2">
      <c r="A169" s="516"/>
      <c r="B169" s="175" t="s">
        <v>329</v>
      </c>
      <c r="C169" s="175" t="s">
        <v>339</v>
      </c>
      <c r="D169" s="200">
        <v>691670000</v>
      </c>
      <c r="E169" s="200">
        <v>557942070</v>
      </c>
      <c r="F169" s="61">
        <v>516118000</v>
      </c>
      <c r="G169" s="61">
        <v>516118000</v>
      </c>
      <c r="H169" s="61">
        <v>339606167</v>
      </c>
    </row>
    <row r="170" spans="1:8" ht="24.75" hidden="1" customHeight="1" x14ac:dyDescent="0.2">
      <c r="A170" s="559" t="s">
        <v>131</v>
      </c>
      <c r="B170" s="571" t="s">
        <v>338</v>
      </c>
      <c r="C170" s="175" t="s">
        <v>339</v>
      </c>
      <c r="D170" s="200">
        <v>1564678000</v>
      </c>
      <c r="E170" s="61">
        <v>1515081614</v>
      </c>
      <c r="F170" s="61">
        <v>1065487169</v>
      </c>
      <c r="G170" s="61">
        <v>1065487169</v>
      </c>
      <c r="H170" s="61">
        <v>616494200</v>
      </c>
    </row>
    <row r="171" spans="1:8" ht="24.75" hidden="1" customHeight="1" x14ac:dyDescent="0.2">
      <c r="A171" s="560"/>
      <c r="B171" s="573"/>
      <c r="C171" s="175" t="s">
        <v>490</v>
      </c>
      <c r="D171" s="200">
        <v>0</v>
      </c>
      <c r="E171" s="61">
        <v>19439686</v>
      </c>
      <c r="F171" s="61">
        <v>19439686</v>
      </c>
      <c r="G171" s="61">
        <v>19439686</v>
      </c>
      <c r="H171" s="61">
        <v>0</v>
      </c>
    </row>
    <row r="172" spans="1:8" ht="24.75" hidden="1" customHeight="1" x14ac:dyDescent="0.2">
      <c r="A172" s="560"/>
      <c r="B172" s="100" t="s">
        <v>330</v>
      </c>
      <c r="C172" s="175" t="s">
        <v>339</v>
      </c>
      <c r="D172" s="200">
        <v>1374057000</v>
      </c>
      <c r="E172" s="61">
        <v>1389997314</v>
      </c>
      <c r="F172" s="61">
        <v>1299130533</v>
      </c>
      <c r="G172" s="61">
        <v>1299130533</v>
      </c>
      <c r="H172" s="61">
        <v>974208468</v>
      </c>
    </row>
    <row r="173" spans="1:8" ht="24.75" hidden="1" customHeight="1" x14ac:dyDescent="0.2">
      <c r="A173" s="560"/>
      <c r="B173" s="571" t="s">
        <v>336</v>
      </c>
      <c r="C173" s="175" t="s">
        <v>339</v>
      </c>
      <c r="D173" s="200">
        <v>2007824000</v>
      </c>
      <c r="E173" s="61">
        <v>1964948316</v>
      </c>
      <c r="F173" s="61">
        <v>1606130852</v>
      </c>
      <c r="G173" s="61">
        <v>1606130852</v>
      </c>
      <c r="H173" s="61">
        <v>1098028595</v>
      </c>
    </row>
    <row r="174" spans="1:8" ht="24.75" hidden="1" customHeight="1" x14ac:dyDescent="0.2">
      <c r="A174" s="560"/>
      <c r="B174" s="572"/>
      <c r="C174" s="175" t="s">
        <v>340</v>
      </c>
      <c r="D174" s="200">
        <v>792348000</v>
      </c>
      <c r="E174" s="61">
        <v>792348000</v>
      </c>
      <c r="F174" s="61">
        <v>637164834</v>
      </c>
      <c r="G174" s="61">
        <v>637164834</v>
      </c>
      <c r="H174" s="61">
        <v>478876200</v>
      </c>
    </row>
    <row r="175" spans="1:8" ht="24.75" hidden="1" customHeight="1" x14ac:dyDescent="0.2">
      <c r="A175" s="560"/>
      <c r="B175" s="573"/>
      <c r="C175" s="175" t="s">
        <v>341</v>
      </c>
      <c r="D175" s="200">
        <v>173604000</v>
      </c>
      <c r="E175" s="61">
        <v>173604000</v>
      </c>
      <c r="F175" s="61">
        <v>0.01</v>
      </c>
      <c r="G175" s="61">
        <v>0</v>
      </c>
      <c r="H175" s="61">
        <v>0</v>
      </c>
    </row>
    <row r="176" spans="1:8" ht="24.75" hidden="1" customHeight="1" x14ac:dyDescent="0.2">
      <c r="A176" s="560"/>
      <c r="B176" s="571" t="s">
        <v>334</v>
      </c>
      <c r="C176" s="175" t="s">
        <v>339</v>
      </c>
      <c r="D176" s="200">
        <v>1180481000</v>
      </c>
      <c r="E176" s="61">
        <v>1287481000</v>
      </c>
      <c r="F176" s="61">
        <v>1163968667</v>
      </c>
      <c r="G176" s="61">
        <v>1163968667</v>
      </c>
      <c r="H176" s="61">
        <v>805127999</v>
      </c>
    </row>
    <row r="177" spans="1:9" ht="24.75" hidden="1" customHeight="1" x14ac:dyDescent="0.2">
      <c r="A177" s="560"/>
      <c r="B177" s="573"/>
      <c r="C177" s="175" t="s">
        <v>341</v>
      </c>
      <c r="D177" s="200">
        <v>300000000</v>
      </c>
      <c r="E177" s="61">
        <v>300000000</v>
      </c>
      <c r="F177" s="61">
        <v>0.01</v>
      </c>
      <c r="G177" s="61">
        <v>0</v>
      </c>
      <c r="H177" s="61">
        <v>0</v>
      </c>
    </row>
    <row r="178" spans="1:9" ht="24.75" hidden="1" customHeight="1" x14ac:dyDescent="0.2">
      <c r="A178" s="560"/>
      <c r="B178" s="175" t="s">
        <v>337</v>
      </c>
      <c r="C178" s="175" t="s">
        <v>339</v>
      </c>
      <c r="D178" s="200">
        <v>689070000</v>
      </c>
      <c r="E178" s="61">
        <v>749390000</v>
      </c>
      <c r="F178" s="61">
        <v>504299959</v>
      </c>
      <c r="G178" s="61">
        <v>504299959</v>
      </c>
      <c r="H178" s="61">
        <v>295252027</v>
      </c>
    </row>
    <row r="179" spans="1:9" ht="24.75" hidden="1" customHeight="1" x14ac:dyDescent="0.2">
      <c r="A179" s="560"/>
      <c r="B179" s="571" t="s">
        <v>332</v>
      </c>
      <c r="C179" s="175" t="s">
        <v>340</v>
      </c>
      <c r="D179" s="200">
        <v>1277236000</v>
      </c>
      <c r="E179" s="61">
        <v>1277236000</v>
      </c>
      <c r="F179" s="61">
        <v>1185694167</v>
      </c>
      <c r="G179" s="61">
        <v>1185694167</v>
      </c>
      <c r="H179" s="61">
        <v>869117701</v>
      </c>
    </row>
    <row r="180" spans="1:9" ht="24.75" hidden="1" customHeight="1" x14ac:dyDescent="0.2">
      <c r="A180" s="560"/>
      <c r="B180" s="573"/>
      <c r="C180" s="175" t="s">
        <v>341</v>
      </c>
      <c r="D180" s="200">
        <v>16912000</v>
      </c>
      <c r="E180" s="61">
        <v>16912000</v>
      </c>
      <c r="F180" s="61">
        <v>16912000</v>
      </c>
      <c r="G180" s="61">
        <v>16912000</v>
      </c>
      <c r="H180" s="61">
        <v>0</v>
      </c>
    </row>
    <row r="181" spans="1:9" ht="24.75" hidden="1" customHeight="1" x14ac:dyDescent="0.2">
      <c r="A181" s="516"/>
      <c r="B181" s="175" t="s">
        <v>329</v>
      </c>
      <c r="C181" s="175" t="s">
        <v>339</v>
      </c>
      <c r="D181" s="200">
        <v>691670000</v>
      </c>
      <c r="E181" s="61">
        <v>557942070</v>
      </c>
      <c r="F181" s="61">
        <v>543649699</v>
      </c>
      <c r="G181" s="61">
        <v>543649699</v>
      </c>
      <c r="H181" s="61">
        <v>398348167</v>
      </c>
    </row>
    <row r="182" spans="1:9" ht="24.75" hidden="1" customHeight="1" x14ac:dyDescent="0.2">
      <c r="A182" s="559" t="s">
        <v>132</v>
      </c>
      <c r="B182" s="571" t="s">
        <v>338</v>
      </c>
      <c r="C182" s="175" t="s">
        <v>339</v>
      </c>
      <c r="D182" s="200">
        <v>1564678000</v>
      </c>
      <c r="E182" s="61">
        <v>1515081614</v>
      </c>
      <c r="F182" s="61">
        <v>1291169211</v>
      </c>
      <c r="G182" s="61">
        <v>1291169211</v>
      </c>
      <c r="H182" s="61">
        <v>772252276</v>
      </c>
      <c r="I182" s="201"/>
    </row>
    <row r="183" spans="1:9" ht="24.75" hidden="1" customHeight="1" x14ac:dyDescent="0.2">
      <c r="A183" s="560"/>
      <c r="B183" s="573"/>
      <c r="C183" s="175" t="s">
        <v>490</v>
      </c>
      <c r="D183" s="200">
        <v>0</v>
      </c>
      <c r="E183" s="61">
        <v>19439686</v>
      </c>
      <c r="F183" s="61">
        <v>19439686</v>
      </c>
      <c r="G183" s="61">
        <v>19439686</v>
      </c>
      <c r="H183" s="61">
        <v>19439686</v>
      </c>
      <c r="I183" s="201"/>
    </row>
    <row r="184" spans="1:9" ht="24.75" hidden="1" customHeight="1" x14ac:dyDescent="0.2">
      <c r="A184" s="560"/>
      <c r="B184" s="175" t="s">
        <v>330</v>
      </c>
      <c r="C184" s="175" t="s">
        <v>339</v>
      </c>
      <c r="D184" s="61">
        <v>1374057000</v>
      </c>
      <c r="E184" s="61">
        <v>1389997314</v>
      </c>
      <c r="F184" s="61">
        <v>1325918200</v>
      </c>
      <c r="G184" s="61">
        <v>1325918200</v>
      </c>
      <c r="H184" s="61">
        <v>1113730468</v>
      </c>
      <c r="I184" s="201"/>
    </row>
    <row r="185" spans="1:9" ht="24.75" hidden="1" customHeight="1" x14ac:dyDescent="0.2">
      <c r="A185" s="560"/>
      <c r="B185" s="567" t="s">
        <v>336</v>
      </c>
      <c r="C185" s="175" t="s">
        <v>339</v>
      </c>
      <c r="D185" s="200">
        <v>2007824000</v>
      </c>
      <c r="E185" s="200">
        <v>1964948316</v>
      </c>
      <c r="F185" s="61">
        <v>1674596499</v>
      </c>
      <c r="G185" s="61">
        <v>1674596499</v>
      </c>
      <c r="H185" s="61">
        <v>1218624163</v>
      </c>
      <c r="I185" s="201"/>
    </row>
    <row r="186" spans="1:9" ht="24.75" hidden="1" customHeight="1" x14ac:dyDescent="0.2">
      <c r="A186" s="560"/>
      <c r="B186" s="567"/>
      <c r="C186" s="175" t="s">
        <v>340</v>
      </c>
      <c r="D186" s="200">
        <v>792348000</v>
      </c>
      <c r="E186" s="200">
        <v>792348000</v>
      </c>
      <c r="F186" s="61">
        <v>650343834</v>
      </c>
      <c r="G186" s="61">
        <v>650343834</v>
      </c>
      <c r="H186" s="61">
        <v>551153200</v>
      </c>
      <c r="I186" s="201"/>
    </row>
    <row r="187" spans="1:9" ht="24.75" hidden="1" customHeight="1" x14ac:dyDescent="0.2">
      <c r="A187" s="560"/>
      <c r="B187" s="567"/>
      <c r="C187" s="175" t="s">
        <v>341</v>
      </c>
      <c r="D187" s="200">
        <v>173604000</v>
      </c>
      <c r="E187" s="200">
        <v>173604000</v>
      </c>
      <c r="F187" s="61">
        <v>0.01</v>
      </c>
      <c r="G187" s="61">
        <v>0</v>
      </c>
      <c r="H187" s="61">
        <v>0</v>
      </c>
      <c r="I187" s="201"/>
    </row>
    <row r="188" spans="1:9" ht="24.75" hidden="1" customHeight="1" x14ac:dyDescent="0.2">
      <c r="A188" s="560"/>
      <c r="B188" s="567" t="s">
        <v>334</v>
      </c>
      <c r="C188" s="175" t="s">
        <v>339</v>
      </c>
      <c r="D188" s="200">
        <v>1180481000</v>
      </c>
      <c r="E188" s="200">
        <v>1287481000</v>
      </c>
      <c r="F188" s="61">
        <v>1219287834</v>
      </c>
      <c r="G188" s="61">
        <v>1219287834</v>
      </c>
      <c r="H188" s="61">
        <v>939227611</v>
      </c>
      <c r="I188" s="201"/>
    </row>
    <row r="189" spans="1:9" ht="24.75" hidden="1" customHeight="1" x14ac:dyDescent="0.2">
      <c r="A189" s="560"/>
      <c r="B189" s="567"/>
      <c r="C189" s="175" t="s">
        <v>341</v>
      </c>
      <c r="D189" s="200">
        <v>300000000</v>
      </c>
      <c r="E189" s="200">
        <v>300000000</v>
      </c>
      <c r="F189" s="61">
        <v>300000000</v>
      </c>
      <c r="G189" s="61">
        <v>300000000</v>
      </c>
      <c r="H189" s="61">
        <v>0</v>
      </c>
      <c r="I189" s="201"/>
    </row>
    <row r="190" spans="1:9" ht="24.75" hidden="1" customHeight="1" x14ac:dyDescent="0.2">
      <c r="A190" s="560"/>
      <c r="B190" s="175" t="s">
        <v>337</v>
      </c>
      <c r="C190" s="175" t="s">
        <v>339</v>
      </c>
      <c r="D190" s="200">
        <v>689070000</v>
      </c>
      <c r="E190" s="200">
        <v>749390000</v>
      </c>
      <c r="F190" s="61">
        <v>523621459</v>
      </c>
      <c r="G190" s="61">
        <v>523621459</v>
      </c>
      <c r="H190" s="61">
        <v>340211694</v>
      </c>
      <c r="I190" s="201"/>
    </row>
    <row r="191" spans="1:9" ht="24.75" hidden="1" customHeight="1" x14ac:dyDescent="0.2">
      <c r="A191" s="560"/>
      <c r="B191" s="567" t="s">
        <v>332</v>
      </c>
      <c r="C191" s="175" t="s">
        <v>340</v>
      </c>
      <c r="D191" s="200">
        <v>1277236000</v>
      </c>
      <c r="E191" s="61">
        <v>1277236000</v>
      </c>
      <c r="F191" s="61">
        <v>1247264766</v>
      </c>
      <c r="G191" s="61">
        <v>1247264766</v>
      </c>
      <c r="H191" s="61">
        <v>990097101</v>
      </c>
      <c r="I191" s="201"/>
    </row>
    <row r="192" spans="1:9" ht="24.75" hidden="1" customHeight="1" x14ac:dyDescent="0.2">
      <c r="A192" s="560"/>
      <c r="B192" s="567"/>
      <c r="C192" s="175" t="s">
        <v>341</v>
      </c>
      <c r="D192" s="200">
        <v>16912000</v>
      </c>
      <c r="E192" s="61">
        <v>16912000</v>
      </c>
      <c r="F192" s="61">
        <v>16912000</v>
      </c>
      <c r="G192" s="61">
        <v>16912000</v>
      </c>
      <c r="H192" s="61">
        <v>0</v>
      </c>
      <c r="I192" s="201"/>
    </row>
    <row r="193" spans="1:9" ht="24.75" hidden="1" customHeight="1" x14ac:dyDescent="0.2">
      <c r="A193" s="516"/>
      <c r="B193" s="175" t="s">
        <v>329</v>
      </c>
      <c r="C193" s="175" t="s">
        <v>339</v>
      </c>
      <c r="D193" s="200">
        <v>691670000</v>
      </c>
      <c r="E193" s="200">
        <v>557942070</v>
      </c>
      <c r="F193" s="61">
        <v>556933365</v>
      </c>
      <c r="G193" s="61">
        <v>556933365</v>
      </c>
      <c r="H193" s="61">
        <v>457090167</v>
      </c>
      <c r="I193" s="201"/>
    </row>
    <row r="194" spans="1:9" ht="24.75" hidden="1" customHeight="1" x14ac:dyDescent="0.2">
      <c r="A194" s="571" t="s">
        <v>133</v>
      </c>
      <c r="B194" s="571" t="s">
        <v>338</v>
      </c>
      <c r="C194" s="175" t="s">
        <v>339</v>
      </c>
      <c r="D194" s="200">
        <v>1564678000</v>
      </c>
      <c r="E194" s="61">
        <v>1515081614</v>
      </c>
      <c r="F194" s="61">
        <v>1477148934</v>
      </c>
      <c r="G194" s="61">
        <v>1477148934</v>
      </c>
      <c r="H194" s="61">
        <v>898546008</v>
      </c>
      <c r="I194" s="202"/>
    </row>
    <row r="195" spans="1:9" ht="24.75" hidden="1" customHeight="1" x14ac:dyDescent="0.2">
      <c r="A195" s="572"/>
      <c r="B195" s="573"/>
      <c r="C195" s="175" t="s">
        <v>490</v>
      </c>
      <c r="D195" s="200">
        <v>0</v>
      </c>
      <c r="E195" s="61">
        <v>19439686</v>
      </c>
      <c r="F195" s="61">
        <v>19439686</v>
      </c>
      <c r="G195" s="61">
        <v>19439686</v>
      </c>
      <c r="H195" s="61">
        <v>19439686</v>
      </c>
      <c r="I195" s="202"/>
    </row>
    <row r="196" spans="1:9" ht="24.75" hidden="1" customHeight="1" x14ac:dyDescent="0.2">
      <c r="A196" s="572"/>
      <c r="B196" s="175" t="s">
        <v>330</v>
      </c>
      <c r="C196" s="175" t="s">
        <v>339</v>
      </c>
      <c r="D196" s="61">
        <v>1374057000</v>
      </c>
      <c r="E196" s="61">
        <v>1389997314</v>
      </c>
      <c r="F196" s="61">
        <v>1338348800</v>
      </c>
      <c r="G196" s="61">
        <v>1338348800</v>
      </c>
      <c r="H196" s="61">
        <v>1283485166</v>
      </c>
      <c r="I196" s="202"/>
    </row>
    <row r="197" spans="1:9" ht="24.75" hidden="1" customHeight="1" x14ac:dyDescent="0.2">
      <c r="A197" s="572"/>
      <c r="B197" s="571" t="s">
        <v>336</v>
      </c>
      <c r="C197" s="175" t="s">
        <v>339</v>
      </c>
      <c r="D197" s="200">
        <v>2007824000</v>
      </c>
      <c r="E197" s="200">
        <v>1964948316</v>
      </c>
      <c r="F197" s="61">
        <v>1803825196</v>
      </c>
      <c r="G197" s="61">
        <v>1803825196</v>
      </c>
      <c r="H197" s="61">
        <v>1530966807</v>
      </c>
      <c r="I197" s="202"/>
    </row>
    <row r="198" spans="1:9" ht="24.75" hidden="1" customHeight="1" x14ac:dyDescent="0.2">
      <c r="A198" s="572"/>
      <c r="B198" s="572"/>
      <c r="C198" s="175" t="s">
        <v>340</v>
      </c>
      <c r="D198" s="200">
        <v>792348000</v>
      </c>
      <c r="E198" s="200">
        <v>795441663</v>
      </c>
      <c r="F198" s="61">
        <v>777580734</v>
      </c>
      <c r="G198" s="61">
        <v>777580734</v>
      </c>
      <c r="H198" s="61">
        <v>637150534</v>
      </c>
      <c r="I198" s="202"/>
    </row>
    <row r="199" spans="1:9" ht="24.75" hidden="1" customHeight="1" x14ac:dyDescent="0.2">
      <c r="A199" s="572"/>
      <c r="B199" s="573"/>
      <c r="C199" s="175" t="s">
        <v>341</v>
      </c>
      <c r="D199" s="200">
        <v>173604000</v>
      </c>
      <c r="E199" s="200">
        <v>173604000</v>
      </c>
      <c r="F199" s="61">
        <v>100703393</v>
      </c>
      <c r="G199" s="61">
        <v>100703393</v>
      </c>
      <c r="H199" s="61">
        <v>0</v>
      </c>
      <c r="I199" s="202"/>
    </row>
    <row r="200" spans="1:9" ht="24.75" hidden="1" customHeight="1" x14ac:dyDescent="0.2">
      <c r="A200" s="572"/>
      <c r="B200" s="571" t="s">
        <v>334</v>
      </c>
      <c r="C200" s="175" t="s">
        <v>339</v>
      </c>
      <c r="D200" s="200">
        <v>1180481000</v>
      </c>
      <c r="E200" s="200">
        <v>1287481000</v>
      </c>
      <c r="F200" s="61">
        <v>1287021667</v>
      </c>
      <c r="G200" s="61">
        <v>1287021667</v>
      </c>
      <c r="H200" s="61">
        <v>1122728609</v>
      </c>
      <c r="I200" s="202"/>
    </row>
    <row r="201" spans="1:9" ht="24.75" hidden="1" customHeight="1" x14ac:dyDescent="0.2">
      <c r="A201" s="572"/>
      <c r="B201" s="573"/>
      <c r="C201" s="175" t="s">
        <v>341</v>
      </c>
      <c r="D201" s="200">
        <v>300000000</v>
      </c>
      <c r="E201" s="200">
        <v>300000000</v>
      </c>
      <c r="F201" s="61">
        <v>300000000</v>
      </c>
      <c r="G201" s="61">
        <v>300000000</v>
      </c>
      <c r="H201" s="61">
        <v>0</v>
      </c>
      <c r="I201" s="202"/>
    </row>
    <row r="202" spans="1:9" ht="24.75" hidden="1" customHeight="1" x14ac:dyDescent="0.2">
      <c r="A202" s="572"/>
      <c r="B202" s="175" t="s">
        <v>337</v>
      </c>
      <c r="C202" s="175" t="s">
        <v>339</v>
      </c>
      <c r="D202" s="200">
        <v>689070000</v>
      </c>
      <c r="E202" s="200">
        <v>749390000</v>
      </c>
      <c r="F202" s="61">
        <v>703847144</v>
      </c>
      <c r="G202" s="61">
        <v>703847144</v>
      </c>
      <c r="H202" s="61">
        <v>411544160</v>
      </c>
      <c r="I202" s="202"/>
    </row>
    <row r="203" spans="1:9" ht="24.75" hidden="1" customHeight="1" x14ac:dyDescent="0.2">
      <c r="A203" s="572"/>
      <c r="B203" s="571" t="s">
        <v>332</v>
      </c>
      <c r="C203" s="175" t="s">
        <v>340</v>
      </c>
      <c r="D203" s="200">
        <v>1277236000</v>
      </c>
      <c r="E203" s="61">
        <v>1274142337</v>
      </c>
      <c r="F203" s="61">
        <v>1255404799</v>
      </c>
      <c r="G203" s="61">
        <v>1255404799</v>
      </c>
      <c r="H203" s="61">
        <v>1148321733</v>
      </c>
      <c r="I203" s="202"/>
    </row>
    <row r="204" spans="1:9" ht="24.75" hidden="1" customHeight="1" x14ac:dyDescent="0.2">
      <c r="A204" s="572"/>
      <c r="B204" s="573"/>
      <c r="C204" s="175" t="s">
        <v>341</v>
      </c>
      <c r="D204" s="200">
        <v>16912000</v>
      </c>
      <c r="E204" s="61">
        <v>16912000</v>
      </c>
      <c r="F204" s="61">
        <v>16912000</v>
      </c>
      <c r="G204" s="61">
        <v>16912000</v>
      </c>
      <c r="H204" s="61">
        <v>10194524</v>
      </c>
      <c r="I204" s="202"/>
    </row>
    <row r="205" spans="1:9" ht="24.75" hidden="1" customHeight="1" x14ac:dyDescent="0.2">
      <c r="A205" s="573"/>
      <c r="B205" s="175" t="s">
        <v>329</v>
      </c>
      <c r="C205" s="175" t="s">
        <v>339</v>
      </c>
      <c r="D205" s="200">
        <v>691670000</v>
      </c>
      <c r="E205" s="200">
        <v>557942070</v>
      </c>
      <c r="F205" s="61">
        <v>556933365</v>
      </c>
      <c r="G205" s="61">
        <v>556933365</v>
      </c>
      <c r="H205" s="61">
        <v>531130966</v>
      </c>
      <c r="I205" s="202"/>
    </row>
    <row r="207" spans="1:9" ht="24.75" customHeight="1" x14ac:dyDescent="0.2">
      <c r="A207" s="587" t="s">
        <v>141</v>
      </c>
      <c r="B207" s="587"/>
      <c r="C207" s="587"/>
      <c r="D207" s="587"/>
      <c r="E207" s="587"/>
      <c r="F207" s="587"/>
      <c r="G207" s="587"/>
      <c r="H207" s="587"/>
    </row>
    <row r="208" spans="1:9" ht="24.75" customHeight="1" x14ac:dyDescent="0.2">
      <c r="A208" s="74" t="s">
        <v>61</v>
      </c>
      <c r="B208" s="29" t="s">
        <v>121</v>
      </c>
      <c r="C208" s="29" t="s">
        <v>122</v>
      </c>
      <c r="D208" s="29" t="s">
        <v>123</v>
      </c>
      <c r="E208" s="29" t="s">
        <v>124</v>
      </c>
      <c r="F208" s="29" t="s">
        <v>125</v>
      </c>
      <c r="G208" s="29" t="s">
        <v>126</v>
      </c>
      <c r="H208" s="29" t="s">
        <v>127</v>
      </c>
    </row>
    <row r="209" spans="1:8" ht="24.75" hidden="1" customHeight="1" x14ac:dyDescent="0.2">
      <c r="A209" s="559" t="s">
        <v>135</v>
      </c>
      <c r="B209" s="54" t="s">
        <v>329</v>
      </c>
      <c r="C209" s="54" t="s">
        <v>339</v>
      </c>
      <c r="D209" s="61">
        <v>588053000</v>
      </c>
      <c r="E209" s="61">
        <v>588053000</v>
      </c>
      <c r="F209" s="61">
        <v>585413000</v>
      </c>
      <c r="G209" s="61">
        <v>585413000</v>
      </c>
      <c r="H209" s="61">
        <v>0</v>
      </c>
    </row>
    <row r="210" spans="1:8" ht="24.75" hidden="1" customHeight="1" x14ac:dyDescent="0.2">
      <c r="A210" s="560"/>
      <c r="B210" s="54" t="s">
        <v>330</v>
      </c>
      <c r="C210" s="54" t="s">
        <v>339</v>
      </c>
      <c r="D210" s="61">
        <v>6219259000</v>
      </c>
      <c r="E210" s="61">
        <v>6219259000</v>
      </c>
      <c r="F210" s="61">
        <v>1835843000</v>
      </c>
      <c r="G210" s="61">
        <v>1835843000</v>
      </c>
      <c r="H210" s="61">
        <v>0</v>
      </c>
    </row>
    <row r="211" spans="1:8" ht="24.75" hidden="1" customHeight="1" x14ac:dyDescent="0.2">
      <c r="A211" s="560"/>
      <c r="B211" s="54" t="s">
        <v>334</v>
      </c>
      <c r="C211" s="54" t="s">
        <v>339</v>
      </c>
      <c r="D211" s="61">
        <v>1617058000</v>
      </c>
      <c r="E211" s="61">
        <v>1617058000</v>
      </c>
      <c r="F211" s="61">
        <v>1097940000</v>
      </c>
      <c r="G211" s="61">
        <v>1097940000</v>
      </c>
      <c r="H211" s="61">
        <v>0</v>
      </c>
    </row>
    <row r="212" spans="1:8" ht="24.75" hidden="1" customHeight="1" x14ac:dyDescent="0.2">
      <c r="A212" s="560"/>
      <c r="B212" s="593" t="s">
        <v>521</v>
      </c>
      <c r="C212" s="54" t="s">
        <v>339</v>
      </c>
      <c r="D212" s="61">
        <v>154846000</v>
      </c>
      <c r="E212" s="61">
        <v>154846000</v>
      </c>
      <c r="F212" s="61">
        <v>154249000</v>
      </c>
      <c r="G212" s="61">
        <v>154249000</v>
      </c>
      <c r="H212" s="61">
        <v>0</v>
      </c>
    </row>
    <row r="213" spans="1:8" ht="24.75" hidden="1" customHeight="1" x14ac:dyDescent="0.2">
      <c r="A213" s="560"/>
      <c r="B213" s="594"/>
      <c r="C213" s="54" t="s">
        <v>340</v>
      </c>
      <c r="D213" s="61">
        <v>117874000</v>
      </c>
      <c r="E213" s="61">
        <v>117874000</v>
      </c>
      <c r="F213" s="61">
        <v>0</v>
      </c>
      <c r="G213" s="61">
        <v>0</v>
      </c>
      <c r="H213" s="61">
        <v>0</v>
      </c>
    </row>
    <row r="214" spans="1:8" ht="24.75" hidden="1" customHeight="1" x14ac:dyDescent="0.2">
      <c r="A214" s="560"/>
      <c r="B214" s="594"/>
      <c r="C214" s="54" t="s">
        <v>341</v>
      </c>
      <c r="D214" s="61">
        <v>1336995000</v>
      </c>
      <c r="E214" s="61">
        <v>1336995000</v>
      </c>
      <c r="F214" s="61">
        <v>1333569000</v>
      </c>
      <c r="G214" s="61">
        <v>1333569000</v>
      </c>
      <c r="H214" s="61">
        <v>0</v>
      </c>
    </row>
    <row r="215" spans="1:8" ht="24.75" hidden="1" customHeight="1" x14ac:dyDescent="0.2">
      <c r="A215" s="560"/>
      <c r="B215" s="595"/>
      <c r="C215" s="54" t="s">
        <v>522</v>
      </c>
      <c r="D215" s="61">
        <v>7278000</v>
      </c>
      <c r="E215" s="61">
        <v>7278000</v>
      </c>
      <c r="F215" s="61">
        <v>0</v>
      </c>
      <c r="G215" s="61">
        <v>0</v>
      </c>
      <c r="H215" s="61">
        <v>0</v>
      </c>
    </row>
    <row r="216" spans="1:8" ht="24.75" hidden="1" customHeight="1" x14ac:dyDescent="0.2">
      <c r="A216" s="560"/>
      <c r="B216" s="593" t="s">
        <v>336</v>
      </c>
      <c r="C216" s="54" t="s">
        <v>339</v>
      </c>
      <c r="D216" s="61">
        <v>679700000</v>
      </c>
      <c r="E216" s="61">
        <v>679700000</v>
      </c>
      <c r="F216" s="61">
        <v>652012000</v>
      </c>
      <c r="G216" s="61">
        <v>652012000</v>
      </c>
      <c r="H216" s="61">
        <v>0</v>
      </c>
    </row>
    <row r="217" spans="1:8" ht="24.75" hidden="1" customHeight="1" x14ac:dyDescent="0.2">
      <c r="A217" s="560"/>
      <c r="B217" s="594"/>
      <c r="C217" s="54" t="s">
        <v>340</v>
      </c>
      <c r="D217" s="61">
        <v>871058000</v>
      </c>
      <c r="E217" s="61">
        <v>871058000</v>
      </c>
      <c r="F217" s="61">
        <v>446731908</v>
      </c>
      <c r="G217" s="61">
        <v>446731908</v>
      </c>
      <c r="H217" s="61">
        <v>0</v>
      </c>
    </row>
    <row r="218" spans="1:8" ht="24.75" hidden="1" customHeight="1" x14ac:dyDescent="0.2">
      <c r="A218" s="560"/>
      <c r="B218" s="595"/>
      <c r="C218" s="54" t="s">
        <v>341</v>
      </c>
      <c r="D218" s="61">
        <v>1813479000</v>
      </c>
      <c r="E218" s="61">
        <v>1813479000</v>
      </c>
      <c r="F218" s="61">
        <v>1435895000</v>
      </c>
      <c r="G218" s="61">
        <v>1435895000</v>
      </c>
      <c r="H218" s="61">
        <v>0</v>
      </c>
    </row>
    <row r="219" spans="1:8" ht="24.75" hidden="1" customHeight="1" x14ac:dyDescent="0.2">
      <c r="A219" s="560"/>
      <c r="B219" s="54" t="s">
        <v>337</v>
      </c>
      <c r="C219" s="54" t="s">
        <v>339</v>
      </c>
      <c r="D219" s="61">
        <v>843232000</v>
      </c>
      <c r="E219" s="61">
        <v>843232000</v>
      </c>
      <c r="F219" s="61">
        <v>455184000</v>
      </c>
      <c r="G219" s="61">
        <v>455184000</v>
      </c>
      <c r="H219" s="61">
        <v>0</v>
      </c>
    </row>
    <row r="220" spans="1:8" ht="24.75" hidden="1" customHeight="1" x14ac:dyDescent="0.2">
      <c r="A220" s="560"/>
      <c r="B220" s="593" t="s">
        <v>338</v>
      </c>
      <c r="C220" s="54" t="s">
        <v>339</v>
      </c>
      <c r="D220" s="61">
        <v>2180745000</v>
      </c>
      <c r="E220" s="61">
        <v>2180745000</v>
      </c>
      <c r="F220" s="61">
        <v>665963000</v>
      </c>
      <c r="G220" s="61">
        <v>665963000</v>
      </c>
      <c r="H220" s="61">
        <v>0</v>
      </c>
    </row>
    <row r="221" spans="1:8" ht="24.75" hidden="1" customHeight="1" x14ac:dyDescent="0.2">
      <c r="A221" s="516"/>
      <c r="B221" s="595"/>
      <c r="C221" s="54" t="s">
        <v>340</v>
      </c>
      <c r="D221" s="61">
        <v>38864000</v>
      </c>
      <c r="E221" s="61">
        <v>38864000</v>
      </c>
      <c r="F221" s="61">
        <v>0</v>
      </c>
      <c r="G221" s="61">
        <v>0</v>
      </c>
      <c r="H221" s="61">
        <v>0</v>
      </c>
    </row>
    <row r="222" spans="1:8" ht="24.75" hidden="1" customHeight="1" x14ac:dyDescent="0.2">
      <c r="A222" s="559" t="s">
        <v>136</v>
      </c>
      <c r="B222" s="54" t="s">
        <v>329</v>
      </c>
      <c r="C222" s="54" t="s">
        <v>339</v>
      </c>
      <c r="D222" s="61">
        <v>588053000</v>
      </c>
      <c r="E222" s="61">
        <v>588053000</v>
      </c>
      <c r="F222" s="61">
        <v>585413000</v>
      </c>
      <c r="G222" s="61">
        <v>585413000</v>
      </c>
      <c r="H222" s="61">
        <v>0</v>
      </c>
    </row>
    <row r="223" spans="1:8" ht="24.75" hidden="1" customHeight="1" x14ac:dyDescent="0.2">
      <c r="A223" s="560"/>
      <c r="B223" s="54" t="s">
        <v>330</v>
      </c>
      <c r="C223" s="54" t="s">
        <v>339</v>
      </c>
      <c r="D223" s="61">
        <v>6219259000</v>
      </c>
      <c r="E223" s="61">
        <v>6219259000</v>
      </c>
      <c r="F223" s="61">
        <v>1835843000</v>
      </c>
      <c r="G223" s="61">
        <v>1835843000</v>
      </c>
      <c r="H223" s="61">
        <v>0</v>
      </c>
    </row>
    <row r="224" spans="1:8" ht="24.75" hidden="1" customHeight="1" x14ac:dyDescent="0.2">
      <c r="A224" s="560"/>
      <c r="B224" s="54" t="s">
        <v>334</v>
      </c>
      <c r="C224" s="54" t="s">
        <v>339</v>
      </c>
      <c r="D224" s="61">
        <v>1617058000</v>
      </c>
      <c r="E224" s="61">
        <v>1617058000</v>
      </c>
      <c r="F224" s="61">
        <v>1097940000</v>
      </c>
      <c r="G224" s="61">
        <v>1097940000</v>
      </c>
      <c r="H224" s="61">
        <v>0</v>
      </c>
    </row>
    <row r="225" spans="1:8" ht="24.75" hidden="1" customHeight="1" x14ac:dyDescent="0.2">
      <c r="A225" s="560"/>
      <c r="B225" s="593" t="s">
        <v>521</v>
      </c>
      <c r="C225" s="54" t="s">
        <v>339</v>
      </c>
      <c r="D225" s="61">
        <v>154846000</v>
      </c>
      <c r="E225" s="61">
        <v>154846000</v>
      </c>
      <c r="F225" s="61">
        <v>154249000</v>
      </c>
      <c r="G225" s="61">
        <v>154249000</v>
      </c>
      <c r="H225" s="61">
        <v>0</v>
      </c>
    </row>
    <row r="226" spans="1:8" ht="24.75" hidden="1" customHeight="1" x14ac:dyDescent="0.2">
      <c r="A226" s="560"/>
      <c r="B226" s="594"/>
      <c r="C226" s="54" t="s">
        <v>340</v>
      </c>
      <c r="D226" s="61">
        <v>117874000</v>
      </c>
      <c r="E226" s="61">
        <v>117874000</v>
      </c>
      <c r="F226" s="61">
        <v>0</v>
      </c>
      <c r="G226" s="61">
        <v>0</v>
      </c>
      <c r="H226" s="61">
        <v>0</v>
      </c>
    </row>
    <row r="227" spans="1:8" ht="24.75" hidden="1" customHeight="1" x14ac:dyDescent="0.2">
      <c r="A227" s="560"/>
      <c r="B227" s="594"/>
      <c r="C227" s="54" t="s">
        <v>341</v>
      </c>
      <c r="D227" s="61">
        <v>1336995000</v>
      </c>
      <c r="E227" s="61">
        <v>1336995000</v>
      </c>
      <c r="F227" s="61">
        <v>1333569000</v>
      </c>
      <c r="G227" s="61">
        <v>1333569000</v>
      </c>
      <c r="H227" s="61">
        <v>0</v>
      </c>
    </row>
    <row r="228" spans="1:8" ht="24.75" hidden="1" customHeight="1" x14ac:dyDescent="0.2">
      <c r="A228" s="560"/>
      <c r="B228" s="595"/>
      <c r="C228" s="54" t="s">
        <v>522</v>
      </c>
      <c r="D228" s="61">
        <v>7278000</v>
      </c>
      <c r="E228" s="61">
        <v>7278000</v>
      </c>
      <c r="F228" s="61">
        <v>0</v>
      </c>
      <c r="G228" s="61">
        <v>0</v>
      </c>
      <c r="H228" s="61">
        <v>0</v>
      </c>
    </row>
    <row r="229" spans="1:8" ht="24.75" hidden="1" customHeight="1" x14ac:dyDescent="0.2">
      <c r="A229" s="560"/>
      <c r="B229" s="593" t="s">
        <v>336</v>
      </c>
      <c r="C229" s="54" t="s">
        <v>339</v>
      </c>
      <c r="D229" s="61">
        <v>679700000</v>
      </c>
      <c r="E229" s="61">
        <v>679700000</v>
      </c>
      <c r="F229" s="61">
        <v>652012000</v>
      </c>
      <c r="G229" s="61">
        <v>652012000</v>
      </c>
      <c r="H229" s="61">
        <v>0</v>
      </c>
    </row>
    <row r="230" spans="1:8" ht="24.75" hidden="1" customHeight="1" x14ac:dyDescent="0.2">
      <c r="A230" s="560"/>
      <c r="B230" s="594"/>
      <c r="C230" s="54" t="s">
        <v>340</v>
      </c>
      <c r="D230" s="61">
        <v>871058000</v>
      </c>
      <c r="E230" s="61">
        <v>871058000</v>
      </c>
      <c r="F230" s="61">
        <v>446731908</v>
      </c>
      <c r="G230" s="61">
        <v>446731908</v>
      </c>
      <c r="H230" s="61">
        <v>0</v>
      </c>
    </row>
    <row r="231" spans="1:8" ht="24.75" hidden="1" customHeight="1" x14ac:dyDescent="0.2">
      <c r="A231" s="560"/>
      <c r="B231" s="595"/>
      <c r="C231" s="54" t="s">
        <v>341</v>
      </c>
      <c r="D231" s="61">
        <v>1813479000</v>
      </c>
      <c r="E231" s="61">
        <v>1813479000</v>
      </c>
      <c r="F231" s="61">
        <v>1435895000</v>
      </c>
      <c r="G231" s="61">
        <v>1435895000</v>
      </c>
      <c r="H231" s="61">
        <v>0</v>
      </c>
    </row>
    <row r="232" spans="1:8" ht="24.75" hidden="1" customHeight="1" x14ac:dyDescent="0.2">
      <c r="A232" s="560"/>
      <c r="B232" s="54" t="s">
        <v>337</v>
      </c>
      <c r="C232" s="54" t="s">
        <v>339</v>
      </c>
      <c r="D232" s="61">
        <v>843232000</v>
      </c>
      <c r="E232" s="61">
        <v>843232000</v>
      </c>
      <c r="F232" s="61">
        <v>455184000</v>
      </c>
      <c r="G232" s="61">
        <v>455184000</v>
      </c>
      <c r="H232" s="61">
        <v>0</v>
      </c>
    </row>
    <row r="233" spans="1:8" ht="24.75" hidden="1" customHeight="1" x14ac:dyDescent="0.2">
      <c r="A233" s="560"/>
      <c r="B233" s="593" t="s">
        <v>338</v>
      </c>
      <c r="C233" s="54" t="s">
        <v>339</v>
      </c>
      <c r="D233" s="61">
        <v>2180745000</v>
      </c>
      <c r="E233" s="61">
        <v>2180745000</v>
      </c>
      <c r="F233" s="61">
        <v>665963000</v>
      </c>
      <c r="G233" s="61">
        <v>665963000</v>
      </c>
      <c r="H233" s="61">
        <v>0</v>
      </c>
    </row>
    <row r="234" spans="1:8" ht="24.75" hidden="1" customHeight="1" x14ac:dyDescent="0.2">
      <c r="A234" s="516"/>
      <c r="B234" s="595"/>
      <c r="C234" s="54" t="s">
        <v>340</v>
      </c>
      <c r="D234" s="61">
        <v>38864000</v>
      </c>
      <c r="E234" s="61">
        <v>38864000</v>
      </c>
      <c r="F234" s="61">
        <v>0</v>
      </c>
      <c r="G234" s="61">
        <v>0</v>
      </c>
      <c r="H234" s="61">
        <v>0</v>
      </c>
    </row>
    <row r="235" spans="1:8" ht="24.75" hidden="1" customHeight="1" x14ac:dyDescent="0.2">
      <c r="A235" s="559" t="s">
        <v>137</v>
      </c>
      <c r="B235" s="54" t="s">
        <v>329</v>
      </c>
      <c r="C235" s="54" t="s">
        <v>339</v>
      </c>
      <c r="D235" s="61">
        <v>588053000</v>
      </c>
      <c r="E235" s="61">
        <v>588053000</v>
      </c>
      <c r="F235" s="61">
        <v>585413000</v>
      </c>
      <c r="G235" s="61">
        <v>585413000</v>
      </c>
      <c r="H235" s="61">
        <v>57329600</v>
      </c>
    </row>
    <row r="236" spans="1:8" ht="24.75" hidden="1" customHeight="1" x14ac:dyDescent="0.2">
      <c r="A236" s="560"/>
      <c r="B236" s="54" t="s">
        <v>330</v>
      </c>
      <c r="C236" s="54" t="s">
        <v>339</v>
      </c>
      <c r="D236" s="61">
        <v>6219259000</v>
      </c>
      <c r="E236" s="61">
        <v>6219259000</v>
      </c>
      <c r="F236" s="61">
        <v>1835843000</v>
      </c>
      <c r="G236" s="61">
        <v>1835843000</v>
      </c>
      <c r="H236" s="61">
        <v>172264769</v>
      </c>
    </row>
    <row r="237" spans="1:8" ht="24.75" hidden="1" customHeight="1" x14ac:dyDescent="0.2">
      <c r="A237" s="560"/>
      <c r="B237" s="54" t="s">
        <v>334</v>
      </c>
      <c r="C237" s="54" t="s">
        <v>339</v>
      </c>
      <c r="D237" s="61">
        <v>1617058000</v>
      </c>
      <c r="E237" s="61">
        <v>1617058000</v>
      </c>
      <c r="F237" s="61">
        <v>1097940000</v>
      </c>
      <c r="G237" s="61">
        <v>1097940000</v>
      </c>
      <c r="H237" s="61">
        <v>140877801</v>
      </c>
    </row>
    <row r="238" spans="1:8" ht="24.75" hidden="1" customHeight="1" x14ac:dyDescent="0.2">
      <c r="A238" s="560"/>
      <c r="B238" s="593" t="s">
        <v>521</v>
      </c>
      <c r="C238" s="54" t="s">
        <v>339</v>
      </c>
      <c r="D238" s="61">
        <v>154846000</v>
      </c>
      <c r="E238" s="61">
        <v>154846000</v>
      </c>
      <c r="F238" s="61">
        <v>154249000</v>
      </c>
      <c r="G238" s="61">
        <v>154249000</v>
      </c>
      <c r="H238" s="61">
        <v>10089534</v>
      </c>
    </row>
    <row r="239" spans="1:8" ht="24.75" hidden="1" customHeight="1" x14ac:dyDescent="0.2">
      <c r="A239" s="560"/>
      <c r="B239" s="594"/>
      <c r="C239" s="54" t="s">
        <v>340</v>
      </c>
      <c r="D239" s="61">
        <v>117874000</v>
      </c>
      <c r="E239" s="61">
        <v>117874000</v>
      </c>
      <c r="F239" s="61">
        <v>0</v>
      </c>
      <c r="G239" s="61">
        <v>0</v>
      </c>
      <c r="H239" s="61">
        <v>0</v>
      </c>
    </row>
    <row r="240" spans="1:8" ht="24.75" hidden="1" customHeight="1" x14ac:dyDescent="0.2">
      <c r="A240" s="560"/>
      <c r="B240" s="594"/>
      <c r="C240" s="54" t="s">
        <v>341</v>
      </c>
      <c r="D240" s="61">
        <v>1336995000</v>
      </c>
      <c r="E240" s="61">
        <v>1336995000</v>
      </c>
      <c r="F240" s="61">
        <v>1333569000</v>
      </c>
      <c r="G240" s="61">
        <v>1333569000</v>
      </c>
      <c r="H240" s="61">
        <v>124189766</v>
      </c>
    </row>
    <row r="241" spans="1:8" ht="24.75" hidden="1" customHeight="1" x14ac:dyDescent="0.2">
      <c r="A241" s="560"/>
      <c r="B241" s="595"/>
      <c r="C241" s="54" t="s">
        <v>522</v>
      </c>
      <c r="D241" s="61">
        <v>7278000</v>
      </c>
      <c r="E241" s="61">
        <v>7278000</v>
      </c>
      <c r="F241" s="61">
        <v>0</v>
      </c>
      <c r="G241" s="61">
        <v>0</v>
      </c>
      <c r="H241" s="61">
        <v>0</v>
      </c>
    </row>
    <row r="242" spans="1:8" ht="24.75" hidden="1" customHeight="1" x14ac:dyDescent="0.2">
      <c r="A242" s="560"/>
      <c r="B242" s="593" t="s">
        <v>336</v>
      </c>
      <c r="C242" s="54" t="s">
        <v>339</v>
      </c>
      <c r="D242" s="61">
        <v>679700000</v>
      </c>
      <c r="E242" s="61">
        <v>679700000</v>
      </c>
      <c r="F242" s="61">
        <v>672552000</v>
      </c>
      <c r="G242" s="61">
        <v>672552000</v>
      </c>
      <c r="H242" s="61">
        <v>74474333</v>
      </c>
    </row>
    <row r="243" spans="1:8" ht="24.75" hidden="1" customHeight="1" x14ac:dyDescent="0.2">
      <c r="A243" s="560"/>
      <c r="B243" s="594"/>
      <c r="C243" s="54" t="s">
        <v>340</v>
      </c>
      <c r="D243" s="61">
        <v>871058000</v>
      </c>
      <c r="E243" s="61">
        <v>871058000</v>
      </c>
      <c r="F243" s="61">
        <v>446731908</v>
      </c>
      <c r="G243" s="61">
        <v>446731908</v>
      </c>
      <c r="H243" s="61">
        <v>0</v>
      </c>
    </row>
    <row r="244" spans="1:8" ht="24.75" hidden="1" customHeight="1" x14ac:dyDescent="0.2">
      <c r="A244" s="560"/>
      <c r="B244" s="595"/>
      <c r="C244" s="54" t="s">
        <v>341</v>
      </c>
      <c r="D244" s="61">
        <v>1813479000</v>
      </c>
      <c r="E244" s="61">
        <v>1813479000</v>
      </c>
      <c r="F244" s="61">
        <v>1465355000</v>
      </c>
      <c r="G244" s="61">
        <v>1465355000</v>
      </c>
      <c r="H244" s="61">
        <v>146878736</v>
      </c>
    </row>
    <row r="245" spans="1:8" ht="24.75" hidden="1" customHeight="1" x14ac:dyDescent="0.2">
      <c r="A245" s="560"/>
      <c r="B245" s="54" t="s">
        <v>337</v>
      </c>
      <c r="C245" s="54" t="s">
        <v>339</v>
      </c>
      <c r="D245" s="61">
        <v>843232000</v>
      </c>
      <c r="E245" s="61">
        <v>843232000</v>
      </c>
      <c r="F245" s="61">
        <v>455184000</v>
      </c>
      <c r="G245" s="61">
        <v>455184000</v>
      </c>
      <c r="H245" s="61">
        <v>52318753</v>
      </c>
    </row>
    <row r="246" spans="1:8" ht="24.75" hidden="1" customHeight="1" x14ac:dyDescent="0.2">
      <c r="A246" s="560"/>
      <c r="B246" s="593" t="s">
        <v>338</v>
      </c>
      <c r="C246" s="54" t="s">
        <v>339</v>
      </c>
      <c r="D246" s="61">
        <v>2180745000</v>
      </c>
      <c r="E246" s="61">
        <v>2180745000</v>
      </c>
      <c r="F246" s="61">
        <v>665963000</v>
      </c>
      <c r="G246" s="61">
        <v>665963000</v>
      </c>
      <c r="H246" s="61">
        <v>83226899</v>
      </c>
    </row>
    <row r="247" spans="1:8" ht="24.75" hidden="1" customHeight="1" x14ac:dyDescent="0.2">
      <c r="A247" s="560"/>
      <c r="B247" s="595"/>
      <c r="C247" s="54" t="s">
        <v>340</v>
      </c>
      <c r="D247" s="61">
        <v>38864000</v>
      </c>
      <c r="E247" s="61">
        <v>38864000</v>
      </c>
      <c r="F247" s="61">
        <v>0</v>
      </c>
      <c r="G247" s="61">
        <v>0</v>
      </c>
      <c r="H247" s="61">
        <v>0</v>
      </c>
    </row>
    <row r="248" spans="1:8" ht="24.75" hidden="1" customHeight="1" x14ac:dyDescent="0.2">
      <c r="A248" s="559" t="s">
        <v>138</v>
      </c>
      <c r="B248" s="54" t="s">
        <v>329</v>
      </c>
      <c r="C248" s="54" t="s">
        <v>339</v>
      </c>
      <c r="D248" s="61">
        <v>588053000</v>
      </c>
      <c r="E248" s="61">
        <v>588053000</v>
      </c>
      <c r="F248" s="61">
        <v>585413000</v>
      </c>
      <c r="G248" s="61">
        <v>585413000</v>
      </c>
      <c r="H248" s="61">
        <v>132502600</v>
      </c>
    </row>
    <row r="249" spans="1:8" ht="24.75" hidden="1" customHeight="1" x14ac:dyDescent="0.2">
      <c r="A249" s="560"/>
      <c r="B249" s="54" t="s">
        <v>330</v>
      </c>
      <c r="C249" s="54" t="s">
        <v>339</v>
      </c>
      <c r="D249" s="61">
        <v>6219259000</v>
      </c>
      <c r="E249" s="61">
        <v>6219259000</v>
      </c>
      <c r="F249" s="61">
        <v>1835843000</v>
      </c>
      <c r="G249" s="61">
        <v>1835843000</v>
      </c>
      <c r="H249" s="61">
        <v>403253902</v>
      </c>
    </row>
    <row r="250" spans="1:8" ht="24.75" hidden="1" customHeight="1" x14ac:dyDescent="0.2">
      <c r="A250" s="560"/>
      <c r="B250" s="54" t="s">
        <v>334</v>
      </c>
      <c r="C250" s="54" t="s">
        <v>339</v>
      </c>
      <c r="D250" s="61">
        <v>1617058000</v>
      </c>
      <c r="E250" s="61">
        <v>1617058000</v>
      </c>
      <c r="F250" s="61">
        <v>1097940000</v>
      </c>
      <c r="G250" s="61">
        <v>1097940000</v>
      </c>
      <c r="H250" s="61">
        <v>261783801</v>
      </c>
    </row>
    <row r="251" spans="1:8" ht="24.75" hidden="1" customHeight="1" x14ac:dyDescent="0.2">
      <c r="A251" s="560"/>
      <c r="B251" s="593" t="s">
        <v>521</v>
      </c>
      <c r="C251" s="54" t="s">
        <v>339</v>
      </c>
      <c r="D251" s="61">
        <v>154846000</v>
      </c>
      <c r="E251" s="61">
        <v>154846000</v>
      </c>
      <c r="F251" s="61">
        <v>154249000</v>
      </c>
      <c r="G251" s="61">
        <v>154249000</v>
      </c>
      <c r="H251" s="61">
        <v>25611201</v>
      </c>
    </row>
    <row r="252" spans="1:8" ht="24.75" hidden="1" customHeight="1" x14ac:dyDescent="0.2">
      <c r="A252" s="560"/>
      <c r="B252" s="594"/>
      <c r="C252" s="54" t="s">
        <v>340</v>
      </c>
      <c r="D252" s="61">
        <v>117874000</v>
      </c>
      <c r="E252" s="61">
        <v>117874000</v>
      </c>
      <c r="F252" s="61">
        <v>0</v>
      </c>
      <c r="G252" s="61">
        <v>0</v>
      </c>
      <c r="H252" s="61">
        <v>0</v>
      </c>
    </row>
    <row r="253" spans="1:8" ht="24.75" hidden="1" customHeight="1" x14ac:dyDescent="0.2">
      <c r="A253" s="560"/>
      <c r="B253" s="594"/>
      <c r="C253" s="54" t="s">
        <v>341</v>
      </c>
      <c r="D253" s="61">
        <v>1336995000</v>
      </c>
      <c r="E253" s="61">
        <v>1336995000</v>
      </c>
      <c r="F253" s="61">
        <v>1333569000</v>
      </c>
      <c r="G253" s="61">
        <v>1333569000</v>
      </c>
      <c r="H253" s="61">
        <v>247675799</v>
      </c>
    </row>
    <row r="254" spans="1:8" ht="24.75" hidden="1" customHeight="1" x14ac:dyDescent="0.2">
      <c r="A254" s="560"/>
      <c r="B254" s="595"/>
      <c r="C254" s="54" t="s">
        <v>522</v>
      </c>
      <c r="D254" s="61">
        <v>7278000</v>
      </c>
      <c r="E254" s="61">
        <v>7278000</v>
      </c>
      <c r="F254" s="61">
        <v>0</v>
      </c>
      <c r="G254" s="61">
        <v>0</v>
      </c>
      <c r="H254" s="61">
        <v>0</v>
      </c>
    </row>
    <row r="255" spans="1:8" ht="24.75" hidden="1" customHeight="1" x14ac:dyDescent="0.2">
      <c r="A255" s="560"/>
      <c r="B255" s="593" t="s">
        <v>336</v>
      </c>
      <c r="C255" s="54" t="s">
        <v>339</v>
      </c>
      <c r="D255" s="61">
        <v>679700000</v>
      </c>
      <c r="E255" s="61">
        <v>679700000</v>
      </c>
      <c r="F255" s="61">
        <v>672552000</v>
      </c>
      <c r="G255" s="61">
        <v>672552000</v>
      </c>
      <c r="H255" s="61">
        <v>158789933</v>
      </c>
    </row>
    <row r="256" spans="1:8" ht="24.75" hidden="1" customHeight="1" x14ac:dyDescent="0.2">
      <c r="A256" s="560"/>
      <c r="B256" s="594"/>
      <c r="C256" s="54" t="s">
        <v>340</v>
      </c>
      <c r="D256" s="61">
        <v>871058000</v>
      </c>
      <c r="E256" s="61">
        <v>871058000</v>
      </c>
      <c r="F256" s="61">
        <v>446731908</v>
      </c>
      <c r="G256" s="61">
        <v>446731908</v>
      </c>
      <c r="H256" s="61">
        <v>123169561</v>
      </c>
    </row>
    <row r="257" spans="1:8" ht="24.75" hidden="1" customHeight="1" x14ac:dyDescent="0.2">
      <c r="A257" s="560"/>
      <c r="B257" s="595"/>
      <c r="C257" s="54" t="s">
        <v>341</v>
      </c>
      <c r="D257" s="61">
        <v>1813479000</v>
      </c>
      <c r="E257" s="61">
        <v>1813479000</v>
      </c>
      <c r="F257" s="61">
        <v>1465355000</v>
      </c>
      <c r="G257" s="61">
        <v>1465355000</v>
      </c>
      <c r="H257" s="61">
        <v>312673403</v>
      </c>
    </row>
    <row r="258" spans="1:8" ht="24.75" hidden="1" customHeight="1" x14ac:dyDescent="0.2">
      <c r="A258" s="560"/>
      <c r="B258" s="54" t="s">
        <v>337</v>
      </c>
      <c r="C258" s="54" t="s">
        <v>339</v>
      </c>
      <c r="D258" s="61">
        <v>843232000</v>
      </c>
      <c r="E258" s="61">
        <v>843232000</v>
      </c>
      <c r="F258" s="61">
        <v>455184000</v>
      </c>
      <c r="G258" s="61">
        <v>455184000</v>
      </c>
      <c r="H258" s="61">
        <v>103810390</v>
      </c>
    </row>
    <row r="259" spans="1:8" ht="24.75" hidden="1" customHeight="1" x14ac:dyDescent="0.2">
      <c r="A259" s="560"/>
      <c r="B259" s="593" t="s">
        <v>338</v>
      </c>
      <c r="C259" s="54" t="s">
        <v>339</v>
      </c>
      <c r="D259" s="61">
        <v>2180745000</v>
      </c>
      <c r="E259" s="61">
        <v>2180745000</v>
      </c>
      <c r="F259" s="61">
        <v>665963000</v>
      </c>
      <c r="G259" s="61">
        <v>665963000</v>
      </c>
      <c r="H259" s="61">
        <v>162085899</v>
      </c>
    </row>
    <row r="260" spans="1:8" ht="24.75" hidden="1" customHeight="1" x14ac:dyDescent="0.2">
      <c r="A260" s="516"/>
      <c r="B260" s="595"/>
      <c r="C260" s="54" t="s">
        <v>340</v>
      </c>
      <c r="D260" s="61">
        <v>38864000</v>
      </c>
      <c r="E260" s="61">
        <v>38864000</v>
      </c>
      <c r="F260" s="61">
        <v>0</v>
      </c>
      <c r="G260" s="61">
        <v>0</v>
      </c>
      <c r="H260" s="61">
        <v>0</v>
      </c>
    </row>
    <row r="261" spans="1:8" ht="24.75" hidden="1" customHeight="1" x14ac:dyDescent="0.2">
      <c r="A261" s="559" t="s">
        <v>139</v>
      </c>
      <c r="B261" s="54" t="s">
        <v>329</v>
      </c>
      <c r="C261" s="54" t="s">
        <v>339</v>
      </c>
      <c r="D261" s="61">
        <v>725040000</v>
      </c>
      <c r="E261" s="61">
        <v>585413000</v>
      </c>
      <c r="F261" s="61">
        <v>585413000</v>
      </c>
      <c r="G261" s="61">
        <v>200085600</v>
      </c>
      <c r="H261" s="61">
        <v>0</v>
      </c>
    </row>
    <row r="262" spans="1:8" ht="24.75" hidden="1" customHeight="1" x14ac:dyDescent="0.2">
      <c r="A262" s="560"/>
      <c r="B262" s="54" t="s">
        <v>330</v>
      </c>
      <c r="C262" s="54" t="s">
        <v>339</v>
      </c>
      <c r="D262" s="61">
        <v>6130432000</v>
      </c>
      <c r="E262" s="61">
        <v>1835843000</v>
      </c>
      <c r="F262" s="61">
        <v>1835843000</v>
      </c>
      <c r="G262" s="61">
        <v>603571835</v>
      </c>
      <c r="H262" s="61">
        <v>0</v>
      </c>
    </row>
    <row r="263" spans="1:8" ht="24.75" hidden="1" customHeight="1" x14ac:dyDescent="0.2">
      <c r="A263" s="560"/>
      <c r="B263" s="54" t="s">
        <v>334</v>
      </c>
      <c r="C263" s="54" t="s">
        <v>339</v>
      </c>
      <c r="D263" s="61">
        <v>1617058000</v>
      </c>
      <c r="E263" s="61">
        <v>1097940000</v>
      </c>
      <c r="F263" s="61">
        <v>1097940000</v>
      </c>
      <c r="G263" s="61">
        <v>382689801</v>
      </c>
      <c r="H263" s="61">
        <v>0</v>
      </c>
    </row>
    <row r="264" spans="1:8" ht="24.75" hidden="1" customHeight="1" x14ac:dyDescent="0.2">
      <c r="A264" s="560"/>
      <c r="B264" s="593" t="s">
        <v>521</v>
      </c>
      <c r="C264" s="54" t="s">
        <v>339</v>
      </c>
      <c r="D264" s="61">
        <v>106686000</v>
      </c>
      <c r="E264" s="61">
        <v>154249000</v>
      </c>
      <c r="F264" s="61">
        <v>154249000</v>
      </c>
      <c r="G264" s="61">
        <v>41032534</v>
      </c>
      <c r="H264" s="61">
        <v>0</v>
      </c>
    </row>
    <row r="265" spans="1:8" ht="24.75" hidden="1" customHeight="1" x14ac:dyDescent="0.2">
      <c r="A265" s="560"/>
      <c r="B265" s="594"/>
      <c r="C265" s="54" t="s">
        <v>340</v>
      </c>
      <c r="D265" s="61">
        <v>117874000</v>
      </c>
      <c r="E265" s="61">
        <v>0</v>
      </c>
      <c r="F265" s="61">
        <v>0</v>
      </c>
      <c r="G265" s="61">
        <v>0</v>
      </c>
      <c r="H265" s="61">
        <v>0</v>
      </c>
    </row>
    <row r="266" spans="1:8" ht="24.75" hidden="1" customHeight="1" x14ac:dyDescent="0.2">
      <c r="A266" s="560"/>
      <c r="B266" s="594"/>
      <c r="C266" s="54" t="s">
        <v>341</v>
      </c>
      <c r="D266" s="61">
        <v>1336995000</v>
      </c>
      <c r="E266" s="61">
        <v>1333569000</v>
      </c>
      <c r="F266" s="61">
        <v>1333569000</v>
      </c>
      <c r="G266" s="61">
        <v>395210799</v>
      </c>
      <c r="H266" s="61">
        <v>0</v>
      </c>
    </row>
    <row r="267" spans="1:8" ht="24.75" hidden="1" customHeight="1" x14ac:dyDescent="0.2">
      <c r="A267" s="560"/>
      <c r="B267" s="595"/>
      <c r="C267" s="54" t="s">
        <v>522</v>
      </c>
      <c r="D267" s="61">
        <v>7278000</v>
      </c>
      <c r="E267" s="61">
        <v>0</v>
      </c>
      <c r="F267" s="61">
        <v>0</v>
      </c>
      <c r="G267" s="61">
        <v>0</v>
      </c>
      <c r="H267" s="61">
        <v>0</v>
      </c>
    </row>
    <row r="268" spans="1:8" ht="24.75" hidden="1" customHeight="1" x14ac:dyDescent="0.2">
      <c r="A268" s="560"/>
      <c r="B268" s="593" t="s">
        <v>336</v>
      </c>
      <c r="C268" s="54" t="s">
        <v>339</v>
      </c>
      <c r="D268" s="61">
        <v>679700000</v>
      </c>
      <c r="E268" s="61">
        <v>672552000</v>
      </c>
      <c r="F268" s="61">
        <v>672552000</v>
      </c>
      <c r="G268" s="61">
        <v>236876433</v>
      </c>
      <c r="H268" s="61">
        <v>0</v>
      </c>
    </row>
    <row r="269" spans="1:8" ht="24.75" hidden="1" customHeight="1" x14ac:dyDescent="0.2">
      <c r="A269" s="560"/>
      <c r="B269" s="594"/>
      <c r="C269" s="54" t="s">
        <v>340</v>
      </c>
      <c r="D269" s="61">
        <v>871058000</v>
      </c>
      <c r="E269" s="61">
        <v>609327908</v>
      </c>
      <c r="F269" s="61">
        <v>609327908</v>
      </c>
      <c r="G269" s="61">
        <v>187142289</v>
      </c>
      <c r="H269" s="61">
        <v>0</v>
      </c>
    </row>
    <row r="270" spans="1:8" ht="24.75" hidden="1" customHeight="1" x14ac:dyDescent="0.2">
      <c r="A270" s="560"/>
      <c r="B270" s="595"/>
      <c r="C270" s="54" t="s">
        <v>341</v>
      </c>
      <c r="D270" s="61">
        <v>1813479000</v>
      </c>
      <c r="E270" s="61">
        <v>1465355000</v>
      </c>
      <c r="F270" s="61">
        <v>1465355000</v>
      </c>
      <c r="G270" s="61">
        <v>469167736</v>
      </c>
      <c r="H270" s="61">
        <v>0</v>
      </c>
    </row>
    <row r="271" spans="1:8" ht="24.75" hidden="1" customHeight="1" x14ac:dyDescent="0.2">
      <c r="A271" s="560"/>
      <c r="B271" s="54" t="s">
        <v>337</v>
      </c>
      <c r="C271" s="54" t="s">
        <v>339</v>
      </c>
      <c r="D271" s="61">
        <v>843232000</v>
      </c>
      <c r="E271" s="61">
        <v>455184000</v>
      </c>
      <c r="F271" s="61">
        <v>455184000</v>
      </c>
      <c r="G271" s="61">
        <v>154210209</v>
      </c>
      <c r="H271" s="61">
        <v>0</v>
      </c>
    </row>
    <row r="272" spans="1:8" ht="24.75" hidden="1" customHeight="1" x14ac:dyDescent="0.2">
      <c r="A272" s="560"/>
      <c r="B272" s="593" t="s">
        <v>338</v>
      </c>
      <c r="C272" s="54" t="s">
        <v>339</v>
      </c>
      <c r="D272" s="61">
        <v>2180745000</v>
      </c>
      <c r="E272" s="61">
        <v>777963000</v>
      </c>
      <c r="F272" s="61">
        <v>777963000</v>
      </c>
      <c r="G272" s="61">
        <v>237031899</v>
      </c>
      <c r="H272" s="61">
        <v>0</v>
      </c>
    </row>
    <row r="273" spans="1:11" ht="24.75" hidden="1" customHeight="1" x14ac:dyDescent="0.2">
      <c r="A273" s="560"/>
      <c r="B273" s="595"/>
      <c r="C273" s="54" t="s">
        <v>340</v>
      </c>
      <c r="D273" s="61">
        <v>38864000</v>
      </c>
      <c r="E273" s="61">
        <v>0</v>
      </c>
      <c r="F273" s="61">
        <v>0</v>
      </c>
      <c r="G273" s="61">
        <v>0</v>
      </c>
      <c r="H273" s="61">
        <v>0</v>
      </c>
    </row>
    <row r="274" spans="1:11" ht="24.75" hidden="1" customHeight="1" x14ac:dyDescent="0.2">
      <c r="A274" s="559" t="s">
        <v>140</v>
      </c>
      <c r="B274" s="54" t="s">
        <v>329</v>
      </c>
      <c r="C274" s="61">
        <v>725040000</v>
      </c>
      <c r="D274" s="61">
        <v>588053000</v>
      </c>
      <c r="E274" s="61">
        <v>585413000</v>
      </c>
      <c r="F274" s="61">
        <v>585413000</v>
      </c>
      <c r="G274" s="61">
        <v>267668600</v>
      </c>
      <c r="H274" s="61">
        <v>0</v>
      </c>
    </row>
    <row r="275" spans="1:11" ht="24.75" hidden="1" customHeight="1" x14ac:dyDescent="0.2">
      <c r="A275" s="560"/>
      <c r="B275" s="54" t="s">
        <v>330</v>
      </c>
      <c r="C275" s="61">
        <v>6130432000</v>
      </c>
      <c r="D275" s="61">
        <v>6219259000</v>
      </c>
      <c r="E275" s="61">
        <v>1925843000</v>
      </c>
      <c r="F275" s="61">
        <v>1925843000</v>
      </c>
      <c r="G275" s="61">
        <v>824517835</v>
      </c>
      <c r="H275" s="61">
        <v>0</v>
      </c>
    </row>
    <row r="276" spans="1:11" ht="24.75" hidden="1" customHeight="1" x14ac:dyDescent="0.2">
      <c r="A276" s="560"/>
      <c r="B276" s="54" t="s">
        <v>334</v>
      </c>
      <c r="C276" s="61">
        <v>1617058000</v>
      </c>
      <c r="D276" s="61">
        <v>1617058000</v>
      </c>
      <c r="E276" s="61">
        <v>1097940000</v>
      </c>
      <c r="F276" s="61">
        <v>1097940000</v>
      </c>
      <c r="G276" s="61">
        <v>511732868</v>
      </c>
      <c r="H276" s="61">
        <v>0</v>
      </c>
    </row>
    <row r="277" spans="1:11" ht="24.75" hidden="1" customHeight="1" x14ac:dyDescent="0.2">
      <c r="A277" s="560"/>
      <c r="B277" s="593" t="s">
        <v>521</v>
      </c>
      <c r="C277" s="61">
        <f>154846000-48160000</f>
        <v>106686000</v>
      </c>
      <c r="D277" s="61">
        <v>161894000</v>
      </c>
      <c r="E277" s="61">
        <v>160269000</v>
      </c>
      <c r="F277" s="61">
        <v>160269000</v>
      </c>
      <c r="G277" s="61">
        <v>61771534</v>
      </c>
      <c r="H277" s="61">
        <v>0</v>
      </c>
    </row>
    <row r="278" spans="1:11" ht="24.75" hidden="1" customHeight="1" x14ac:dyDescent="0.2">
      <c r="A278" s="560"/>
      <c r="B278" s="594"/>
      <c r="C278" s="61">
        <v>117874000</v>
      </c>
      <c r="D278" s="61">
        <v>117874000</v>
      </c>
      <c r="E278" s="61">
        <v>0</v>
      </c>
      <c r="F278" s="61">
        <v>0</v>
      </c>
      <c r="G278" s="61">
        <v>0</v>
      </c>
      <c r="H278" s="61">
        <v>0</v>
      </c>
    </row>
    <row r="279" spans="1:11" ht="24.75" hidden="1" customHeight="1" x14ac:dyDescent="0.2">
      <c r="A279" s="560"/>
      <c r="B279" s="594"/>
      <c r="C279" s="61">
        <v>1336995000</v>
      </c>
      <c r="D279" s="61">
        <v>1336995000</v>
      </c>
      <c r="E279" s="61">
        <v>1333569000</v>
      </c>
      <c r="F279" s="61">
        <v>1333569000</v>
      </c>
      <c r="G279" s="61">
        <v>533977699</v>
      </c>
      <c r="H279" s="61">
        <v>0</v>
      </c>
    </row>
    <row r="280" spans="1:11" ht="24.75" hidden="1" customHeight="1" x14ac:dyDescent="0.2">
      <c r="A280" s="560"/>
      <c r="B280" s="595"/>
      <c r="C280" s="61">
        <v>7278000</v>
      </c>
      <c r="D280" s="61">
        <v>7278000</v>
      </c>
      <c r="E280" s="61">
        <v>0</v>
      </c>
      <c r="F280" s="61">
        <v>0</v>
      </c>
      <c r="G280" s="61">
        <v>0</v>
      </c>
      <c r="H280" s="61">
        <v>0</v>
      </c>
    </row>
    <row r="281" spans="1:11" ht="24.75" hidden="1" customHeight="1" x14ac:dyDescent="0.2">
      <c r="A281" s="560"/>
      <c r="B281" s="593" t="s">
        <v>336</v>
      </c>
      <c r="C281" s="61">
        <v>679700000</v>
      </c>
      <c r="D281" s="61">
        <v>679700000</v>
      </c>
      <c r="E281" s="61">
        <v>672552000</v>
      </c>
      <c r="F281" s="61">
        <v>672552000</v>
      </c>
      <c r="G281" s="61">
        <v>311290133</v>
      </c>
      <c r="H281" s="61">
        <v>0</v>
      </c>
    </row>
    <row r="282" spans="1:11" ht="24.75" hidden="1" customHeight="1" x14ac:dyDescent="0.2">
      <c r="A282" s="560"/>
      <c r="B282" s="594"/>
      <c r="C282" s="61">
        <v>871058000</v>
      </c>
      <c r="D282" s="61">
        <v>871058000</v>
      </c>
      <c r="E282" s="61">
        <v>609327908</v>
      </c>
      <c r="F282" s="61">
        <v>609327908</v>
      </c>
      <c r="G282" s="61">
        <v>225508462</v>
      </c>
      <c r="H282" s="61">
        <v>0</v>
      </c>
    </row>
    <row r="283" spans="1:11" ht="24.75" hidden="1" customHeight="1" x14ac:dyDescent="0.2">
      <c r="A283" s="560"/>
      <c r="B283" s="595"/>
      <c r="C283" s="61">
        <v>1813479000</v>
      </c>
      <c r="D283" s="61">
        <v>1813479000</v>
      </c>
      <c r="E283" s="61">
        <v>1465355000</v>
      </c>
      <c r="F283" s="61">
        <v>1465355000</v>
      </c>
      <c r="G283" s="61">
        <v>625427069</v>
      </c>
      <c r="H283" s="61">
        <v>0</v>
      </c>
    </row>
    <row r="284" spans="1:11" ht="24.75" hidden="1" customHeight="1" x14ac:dyDescent="0.2">
      <c r="A284" s="560"/>
      <c r="B284" s="54" t="s">
        <v>337</v>
      </c>
      <c r="C284" s="61">
        <v>843232000</v>
      </c>
      <c r="D284" s="61">
        <v>836184000</v>
      </c>
      <c r="E284" s="61">
        <v>455184000</v>
      </c>
      <c r="F284" s="61">
        <v>455184000</v>
      </c>
      <c r="G284" s="61">
        <v>204357028</v>
      </c>
      <c r="H284" s="61">
        <v>0</v>
      </c>
    </row>
    <row r="285" spans="1:11" ht="24.75" hidden="1" customHeight="1" x14ac:dyDescent="0.2">
      <c r="A285" s="560"/>
      <c r="B285" s="593" t="s">
        <v>338</v>
      </c>
      <c r="C285" s="61">
        <v>2180745000</v>
      </c>
      <c r="D285" s="61">
        <v>2180745000</v>
      </c>
      <c r="E285" s="61">
        <v>815963000</v>
      </c>
      <c r="F285" s="61">
        <v>815963000</v>
      </c>
      <c r="G285" s="61">
        <v>311977899</v>
      </c>
      <c r="H285" s="61">
        <v>0</v>
      </c>
    </row>
    <row r="286" spans="1:11" ht="24.75" hidden="1" customHeight="1" x14ac:dyDescent="0.2">
      <c r="A286" s="560"/>
      <c r="B286" s="595"/>
      <c r="C286" s="61">
        <v>38864000</v>
      </c>
      <c r="D286" s="61">
        <v>38864000</v>
      </c>
      <c r="E286" s="61">
        <v>0</v>
      </c>
      <c r="F286" s="61">
        <v>0</v>
      </c>
      <c r="G286" s="61">
        <v>0</v>
      </c>
      <c r="H286" s="61">
        <v>0</v>
      </c>
      <c r="I286" s="208"/>
      <c r="J286" s="209"/>
      <c r="K286" s="209"/>
    </row>
    <row r="287" spans="1:11" ht="24.75" hidden="1" customHeight="1" x14ac:dyDescent="0.2">
      <c r="A287" s="559" t="s">
        <v>128</v>
      </c>
      <c r="B287" s="593" t="s">
        <v>338</v>
      </c>
      <c r="C287" s="54" t="s">
        <v>339</v>
      </c>
      <c r="D287" s="61">
        <v>2180745000</v>
      </c>
      <c r="E287" s="61">
        <v>2180745000</v>
      </c>
      <c r="F287" s="61">
        <v>815963000</v>
      </c>
      <c r="G287" s="61">
        <v>815963000</v>
      </c>
      <c r="H287" s="61">
        <v>311977899</v>
      </c>
      <c r="I287" s="203">
        <f>H287/F287</f>
        <v>0.38234319325753741</v>
      </c>
      <c r="J287" s="209"/>
      <c r="K287" s="209"/>
    </row>
    <row r="288" spans="1:11" ht="24.75" hidden="1" customHeight="1" x14ac:dyDescent="0.2">
      <c r="A288" s="560"/>
      <c r="B288" s="595"/>
      <c r="C288" s="54" t="s">
        <v>340</v>
      </c>
      <c r="D288" s="61">
        <v>38864000</v>
      </c>
      <c r="E288" s="61">
        <v>38864000</v>
      </c>
      <c r="F288" s="61">
        <v>0</v>
      </c>
      <c r="G288" s="61">
        <v>0</v>
      </c>
      <c r="H288" s="61">
        <v>0</v>
      </c>
      <c r="I288" s="203" t="e">
        <f>H288/F288</f>
        <v>#DIV/0!</v>
      </c>
      <c r="J288" s="209"/>
      <c r="K288" s="209"/>
    </row>
    <row r="289" spans="1:11" ht="24.75" hidden="1" customHeight="1" x14ac:dyDescent="0.2">
      <c r="A289" s="560"/>
      <c r="B289" s="54" t="s">
        <v>329</v>
      </c>
      <c r="C289" s="54" t="s">
        <v>339</v>
      </c>
      <c r="D289" s="61">
        <v>725040000</v>
      </c>
      <c r="E289" s="61">
        <v>588053000</v>
      </c>
      <c r="F289" s="61">
        <v>585413000</v>
      </c>
      <c r="G289" s="61">
        <v>585413000</v>
      </c>
      <c r="H289" s="61">
        <v>335251600</v>
      </c>
      <c r="I289" s="203">
        <f t="shared" ref="I289:I299" si="1">H289/F289</f>
        <v>0.57267535910545209</v>
      </c>
      <c r="J289" s="209"/>
      <c r="K289" s="209"/>
    </row>
    <row r="290" spans="1:11" ht="24.75" hidden="1" customHeight="1" x14ac:dyDescent="0.2">
      <c r="A290" s="560"/>
      <c r="B290" s="54" t="s">
        <v>330</v>
      </c>
      <c r="C290" s="54" t="s">
        <v>339</v>
      </c>
      <c r="D290" s="61">
        <v>6130432000</v>
      </c>
      <c r="E290" s="61">
        <v>6219259000</v>
      </c>
      <c r="F290" s="61">
        <v>1879977000</v>
      </c>
      <c r="G290" s="61">
        <v>1879977000</v>
      </c>
      <c r="H290" s="61">
        <v>1020807835</v>
      </c>
      <c r="I290" s="203">
        <f t="shared" si="1"/>
        <v>0.54298953391451066</v>
      </c>
      <c r="J290" s="209"/>
      <c r="K290" s="209"/>
    </row>
    <row r="291" spans="1:11" ht="24.75" hidden="1" customHeight="1" x14ac:dyDescent="0.2">
      <c r="A291" s="560"/>
      <c r="B291" s="54" t="s">
        <v>334</v>
      </c>
      <c r="C291" s="54" t="s">
        <v>339</v>
      </c>
      <c r="D291" s="61">
        <v>1617058000</v>
      </c>
      <c r="E291" s="61">
        <v>1617058000</v>
      </c>
      <c r="F291" s="61">
        <v>1097940000</v>
      </c>
      <c r="G291" s="61">
        <v>1097940000</v>
      </c>
      <c r="H291" s="61">
        <v>632638868</v>
      </c>
      <c r="I291" s="203">
        <f t="shared" si="1"/>
        <v>0.57620531905204286</v>
      </c>
      <c r="J291" s="209"/>
      <c r="K291" s="209"/>
    </row>
    <row r="292" spans="1:11" ht="24.75" hidden="1" customHeight="1" x14ac:dyDescent="0.2">
      <c r="A292" s="560"/>
      <c r="B292" s="593" t="s">
        <v>521</v>
      </c>
      <c r="C292" s="54" t="s">
        <v>339</v>
      </c>
      <c r="D292" s="61">
        <f>154846000-48160000</f>
        <v>106686000</v>
      </c>
      <c r="E292" s="61">
        <v>161894000</v>
      </c>
      <c r="F292" s="61">
        <v>160269000</v>
      </c>
      <c r="G292" s="61">
        <v>160269000</v>
      </c>
      <c r="H292" s="61">
        <v>71373534</v>
      </c>
      <c r="I292" s="203">
        <f t="shared" si="1"/>
        <v>0.44533586657432195</v>
      </c>
      <c r="J292" s="209"/>
      <c r="K292" s="209"/>
    </row>
    <row r="293" spans="1:11" ht="24.75" hidden="1" customHeight="1" x14ac:dyDescent="0.2">
      <c r="A293" s="560"/>
      <c r="B293" s="594"/>
      <c r="C293" s="54" t="s">
        <v>340</v>
      </c>
      <c r="D293" s="61">
        <v>117874000</v>
      </c>
      <c r="E293" s="61">
        <v>117874000</v>
      </c>
      <c r="F293" s="61">
        <v>0</v>
      </c>
      <c r="G293" s="61">
        <v>0</v>
      </c>
      <c r="H293" s="61">
        <v>0</v>
      </c>
      <c r="I293" s="203" t="e">
        <f t="shared" si="1"/>
        <v>#DIV/0!</v>
      </c>
      <c r="J293" s="209"/>
      <c r="K293" s="209"/>
    </row>
    <row r="294" spans="1:11" ht="24.75" hidden="1" customHeight="1" x14ac:dyDescent="0.2">
      <c r="A294" s="560"/>
      <c r="B294" s="594"/>
      <c r="C294" s="54" t="s">
        <v>341</v>
      </c>
      <c r="D294" s="61">
        <v>1336995000</v>
      </c>
      <c r="E294" s="61">
        <v>1336995000</v>
      </c>
      <c r="F294" s="61">
        <v>1333569000</v>
      </c>
      <c r="G294" s="61">
        <v>1333569000</v>
      </c>
      <c r="H294" s="61">
        <v>673619699</v>
      </c>
      <c r="I294" s="203">
        <f t="shared" si="1"/>
        <v>0.50512549331905587</v>
      </c>
      <c r="J294" s="209"/>
      <c r="K294" s="209"/>
    </row>
    <row r="295" spans="1:11" ht="24.75" hidden="1" customHeight="1" x14ac:dyDescent="0.2">
      <c r="A295" s="560"/>
      <c r="B295" s="595"/>
      <c r="C295" s="54" t="s">
        <v>522</v>
      </c>
      <c r="D295" s="61">
        <v>7278000</v>
      </c>
      <c r="E295" s="61">
        <v>7278000</v>
      </c>
      <c r="F295" s="61">
        <v>0</v>
      </c>
      <c r="G295" s="61">
        <v>0</v>
      </c>
      <c r="H295" s="61">
        <v>0</v>
      </c>
      <c r="I295" s="203" t="e">
        <f t="shared" si="1"/>
        <v>#DIV/0!</v>
      </c>
      <c r="J295" s="209"/>
      <c r="K295" s="209"/>
    </row>
    <row r="296" spans="1:11" ht="24.75" hidden="1" customHeight="1" x14ac:dyDescent="0.2">
      <c r="A296" s="560"/>
      <c r="B296" s="593" t="s">
        <v>336</v>
      </c>
      <c r="C296" s="54" t="s">
        <v>339</v>
      </c>
      <c r="D296" s="61">
        <v>679700000</v>
      </c>
      <c r="E296" s="61">
        <v>679700000</v>
      </c>
      <c r="F296" s="61">
        <v>672552000</v>
      </c>
      <c r="G296" s="61">
        <v>672552000</v>
      </c>
      <c r="H296" s="61">
        <v>384191933</v>
      </c>
      <c r="I296" s="203">
        <f t="shared" si="1"/>
        <v>0.57124494908943846</v>
      </c>
      <c r="J296" s="209"/>
      <c r="K296" s="209"/>
    </row>
    <row r="297" spans="1:11" ht="24.75" hidden="1" customHeight="1" x14ac:dyDescent="0.2">
      <c r="A297" s="560"/>
      <c r="B297" s="594"/>
      <c r="C297" s="54" t="s">
        <v>340</v>
      </c>
      <c r="D297" s="61">
        <v>871058000</v>
      </c>
      <c r="E297" s="61">
        <v>871058000</v>
      </c>
      <c r="F297" s="61">
        <v>609327908</v>
      </c>
      <c r="G297" s="61">
        <v>609327908</v>
      </c>
      <c r="H297" s="61">
        <v>225508462</v>
      </c>
      <c r="I297" s="203">
        <f t="shared" si="1"/>
        <v>0.3700937689530544</v>
      </c>
      <c r="J297" s="209"/>
      <c r="K297" s="209"/>
    </row>
    <row r="298" spans="1:11" ht="24.75" hidden="1" customHeight="1" x14ac:dyDescent="0.2">
      <c r="A298" s="560"/>
      <c r="B298" s="595"/>
      <c r="C298" s="54" t="s">
        <v>341</v>
      </c>
      <c r="D298" s="61">
        <v>1813479000</v>
      </c>
      <c r="E298" s="61">
        <v>1813479000</v>
      </c>
      <c r="F298" s="61">
        <v>1465355000</v>
      </c>
      <c r="G298" s="61">
        <v>1465355000</v>
      </c>
      <c r="H298" s="61">
        <v>787285169</v>
      </c>
      <c r="I298" s="203">
        <f t="shared" si="1"/>
        <v>0.53726582909943321</v>
      </c>
      <c r="J298" s="209"/>
      <c r="K298" s="209"/>
    </row>
    <row r="299" spans="1:11" ht="24.75" hidden="1" customHeight="1" x14ac:dyDescent="0.2">
      <c r="A299" s="560"/>
      <c r="B299" s="54" t="s">
        <v>337</v>
      </c>
      <c r="C299" s="54" t="s">
        <v>339</v>
      </c>
      <c r="D299" s="61">
        <v>843232000</v>
      </c>
      <c r="E299" s="61">
        <v>836184000</v>
      </c>
      <c r="F299" s="61">
        <v>455184000</v>
      </c>
      <c r="G299" s="61">
        <v>455184000</v>
      </c>
      <c r="H299" s="61">
        <v>255129574</v>
      </c>
      <c r="I299" s="203">
        <f t="shared" si="1"/>
        <v>0.56049767566522546</v>
      </c>
      <c r="J299" s="209"/>
      <c r="K299" s="209"/>
    </row>
    <row r="300" spans="1:11" ht="24.75" hidden="1" customHeight="1" x14ac:dyDescent="0.2">
      <c r="A300" s="198"/>
      <c r="B300" s="593" t="s">
        <v>338</v>
      </c>
      <c r="C300" s="54" t="s">
        <v>339</v>
      </c>
      <c r="D300" s="61">
        <v>2180745000</v>
      </c>
      <c r="E300" s="61">
        <v>2180745000</v>
      </c>
      <c r="F300" s="61">
        <v>815963000</v>
      </c>
      <c r="G300" s="61">
        <v>815963000</v>
      </c>
      <c r="H300" s="61">
        <v>388415818</v>
      </c>
      <c r="I300" s="203">
        <f>H300/F300</f>
        <v>0.47602136126270433</v>
      </c>
      <c r="J300" s="209"/>
      <c r="K300" s="209"/>
    </row>
    <row r="301" spans="1:11" ht="24.75" hidden="1" customHeight="1" x14ac:dyDescent="0.2">
      <c r="A301" s="198"/>
      <c r="B301" s="595"/>
      <c r="C301" s="54" t="s">
        <v>340</v>
      </c>
      <c r="D301" s="61">
        <v>38864000</v>
      </c>
      <c r="E301" s="61">
        <v>38864000</v>
      </c>
      <c r="F301" s="61">
        <v>0</v>
      </c>
      <c r="G301" s="61">
        <v>0</v>
      </c>
      <c r="H301" s="61">
        <v>0</v>
      </c>
      <c r="I301" s="203" t="e">
        <f>H301/F301</f>
        <v>#DIV/0!</v>
      </c>
      <c r="J301" s="209"/>
      <c r="K301" s="209"/>
    </row>
    <row r="302" spans="1:11" ht="24.75" hidden="1" customHeight="1" x14ac:dyDescent="0.2">
      <c r="A302" s="559" t="s">
        <v>129</v>
      </c>
      <c r="B302" s="54" t="s">
        <v>329</v>
      </c>
      <c r="C302" s="61">
        <v>725040000</v>
      </c>
      <c r="D302" s="61">
        <v>588053000</v>
      </c>
      <c r="E302" s="61">
        <v>585413000</v>
      </c>
      <c r="F302" s="61">
        <v>585413000</v>
      </c>
      <c r="G302" s="61">
        <v>394918600</v>
      </c>
      <c r="H302" s="200">
        <v>0</v>
      </c>
      <c r="I302" s="208"/>
      <c r="J302" s="209"/>
      <c r="K302" s="209"/>
    </row>
    <row r="303" spans="1:11" ht="24.75" hidden="1" customHeight="1" x14ac:dyDescent="0.2">
      <c r="A303" s="560"/>
      <c r="B303" s="54" t="s">
        <v>330</v>
      </c>
      <c r="C303" s="61">
        <v>6130432000</v>
      </c>
      <c r="D303" s="61">
        <v>6219259000</v>
      </c>
      <c r="E303" s="61">
        <v>1879977000</v>
      </c>
      <c r="F303" s="61">
        <v>1879977000</v>
      </c>
      <c r="G303" s="61">
        <v>1230598335</v>
      </c>
      <c r="H303" s="200">
        <v>0</v>
      </c>
      <c r="I303" s="208"/>
      <c r="J303" s="209"/>
      <c r="K303" s="209"/>
    </row>
    <row r="304" spans="1:11" ht="24.75" hidden="1" customHeight="1" x14ac:dyDescent="0.2">
      <c r="A304" s="560"/>
      <c r="B304" s="54" t="s">
        <v>334</v>
      </c>
      <c r="C304" s="61">
        <v>1617058000</v>
      </c>
      <c r="D304" s="61">
        <v>1617058000</v>
      </c>
      <c r="E304" s="61">
        <v>1097940000</v>
      </c>
      <c r="F304" s="61">
        <v>1097940000</v>
      </c>
      <c r="G304" s="61">
        <v>753544868</v>
      </c>
      <c r="H304" s="200">
        <v>0</v>
      </c>
      <c r="I304" s="208"/>
      <c r="J304" s="209"/>
      <c r="K304" s="209"/>
    </row>
    <row r="305" spans="1:11" ht="24.75" hidden="1" customHeight="1" x14ac:dyDescent="0.2">
      <c r="A305" s="560"/>
      <c r="B305" s="593" t="s">
        <v>521</v>
      </c>
      <c r="C305" s="61">
        <f>154846000-48160000</f>
        <v>106686000</v>
      </c>
      <c r="D305" s="61">
        <v>161894000</v>
      </c>
      <c r="E305" s="61">
        <v>160269000</v>
      </c>
      <c r="F305" s="61">
        <v>160269000</v>
      </c>
      <c r="G305" s="61">
        <v>86995534</v>
      </c>
      <c r="H305" s="200">
        <v>0</v>
      </c>
      <c r="I305" s="208"/>
      <c r="J305" s="209"/>
      <c r="K305" s="209"/>
    </row>
    <row r="306" spans="1:11" ht="24.75" hidden="1" customHeight="1" x14ac:dyDescent="0.2">
      <c r="A306" s="560"/>
      <c r="B306" s="594"/>
      <c r="C306" s="61">
        <v>117874000</v>
      </c>
      <c r="D306" s="61">
        <v>117874000</v>
      </c>
      <c r="E306" s="61">
        <v>0</v>
      </c>
      <c r="F306" s="61">
        <v>0</v>
      </c>
      <c r="G306" s="61">
        <v>0</v>
      </c>
      <c r="H306" s="200">
        <v>0</v>
      </c>
      <c r="I306" s="208"/>
      <c r="J306" s="209"/>
      <c r="K306" s="209"/>
    </row>
    <row r="307" spans="1:11" ht="24.75" hidden="1" customHeight="1" x14ac:dyDescent="0.2">
      <c r="A307" s="560"/>
      <c r="B307" s="594"/>
      <c r="C307" s="61">
        <v>1336995000</v>
      </c>
      <c r="D307" s="61">
        <v>1336995000</v>
      </c>
      <c r="E307" s="61">
        <v>1333569000</v>
      </c>
      <c r="F307" s="61">
        <v>1333569000</v>
      </c>
      <c r="G307" s="61">
        <v>794413699</v>
      </c>
      <c r="H307" s="200">
        <v>0</v>
      </c>
      <c r="I307" s="208"/>
      <c r="J307" s="209"/>
      <c r="K307" s="209"/>
    </row>
    <row r="308" spans="1:11" ht="24.75" hidden="1" customHeight="1" x14ac:dyDescent="0.2">
      <c r="A308" s="560"/>
      <c r="B308" s="595"/>
      <c r="C308" s="61">
        <v>7278000</v>
      </c>
      <c r="D308" s="61">
        <v>7278000</v>
      </c>
      <c r="E308" s="61">
        <v>0</v>
      </c>
      <c r="F308" s="61">
        <v>0</v>
      </c>
      <c r="G308" s="61">
        <v>0</v>
      </c>
      <c r="H308" s="200">
        <v>0</v>
      </c>
      <c r="I308" s="208"/>
      <c r="J308" s="209"/>
      <c r="K308" s="209"/>
    </row>
    <row r="309" spans="1:11" ht="24.75" hidden="1" customHeight="1" x14ac:dyDescent="0.2">
      <c r="A309" s="560"/>
      <c r="B309" s="593" t="s">
        <v>336</v>
      </c>
      <c r="C309" s="61">
        <v>679700000</v>
      </c>
      <c r="D309" s="61">
        <v>679700000</v>
      </c>
      <c r="E309" s="61">
        <v>672552000</v>
      </c>
      <c r="F309" s="61">
        <v>672552000</v>
      </c>
      <c r="G309" s="61">
        <v>454258933</v>
      </c>
      <c r="H309" s="200">
        <v>0</v>
      </c>
    </row>
    <row r="310" spans="1:11" ht="24.75" hidden="1" customHeight="1" x14ac:dyDescent="0.2">
      <c r="A310" s="560"/>
      <c r="B310" s="594"/>
      <c r="C310" s="61">
        <v>871058000</v>
      </c>
      <c r="D310" s="61">
        <v>871058000</v>
      </c>
      <c r="E310" s="61">
        <v>609327908</v>
      </c>
      <c r="F310" s="61">
        <v>609327908</v>
      </c>
      <c r="G310" s="61">
        <v>266781190</v>
      </c>
      <c r="H310" s="200">
        <v>0</v>
      </c>
    </row>
    <row r="311" spans="1:11" ht="24.75" hidden="1" customHeight="1" x14ac:dyDescent="0.2">
      <c r="A311" s="560"/>
      <c r="B311" s="595"/>
      <c r="C311" s="61">
        <v>1813479000</v>
      </c>
      <c r="D311" s="61">
        <v>1813479000</v>
      </c>
      <c r="E311" s="61">
        <v>1479383000</v>
      </c>
      <c r="F311" s="61">
        <v>1479383000</v>
      </c>
      <c r="G311" s="61">
        <v>945966436</v>
      </c>
      <c r="H311" s="200">
        <v>0</v>
      </c>
    </row>
    <row r="312" spans="1:11" ht="24.75" hidden="1" customHeight="1" x14ac:dyDescent="0.2">
      <c r="A312" s="560"/>
      <c r="B312" s="54" t="s">
        <v>337</v>
      </c>
      <c r="C312" s="61">
        <v>843232000</v>
      </c>
      <c r="D312" s="61">
        <v>836184000</v>
      </c>
      <c r="E312" s="61">
        <v>455184000</v>
      </c>
      <c r="F312" s="61">
        <v>455184000</v>
      </c>
      <c r="G312" s="61">
        <v>304998938</v>
      </c>
      <c r="H312" s="200">
        <v>0</v>
      </c>
    </row>
    <row r="313" spans="1:11" ht="24.75" hidden="1" customHeight="1" x14ac:dyDescent="0.2">
      <c r="A313" s="560"/>
      <c r="B313" s="593" t="s">
        <v>338</v>
      </c>
      <c r="C313" s="61">
        <v>2180745000</v>
      </c>
      <c r="D313" s="61">
        <v>2180745000</v>
      </c>
      <c r="E313" s="61">
        <v>815963000</v>
      </c>
      <c r="F313" s="61">
        <v>815963000</v>
      </c>
      <c r="G313" s="61">
        <v>463887092</v>
      </c>
      <c r="H313" s="200">
        <v>0</v>
      </c>
    </row>
    <row r="314" spans="1:11" ht="24.75" hidden="1" customHeight="1" x14ac:dyDescent="0.2">
      <c r="A314" s="516"/>
      <c r="B314" s="595"/>
      <c r="C314" s="61">
        <v>38864000</v>
      </c>
      <c r="D314" s="61">
        <v>38864000</v>
      </c>
      <c r="E314" s="61">
        <v>0</v>
      </c>
      <c r="F314" s="61">
        <v>0</v>
      </c>
      <c r="G314" s="61">
        <v>0</v>
      </c>
      <c r="H314" s="200">
        <v>0</v>
      </c>
    </row>
    <row r="315" spans="1:11" ht="24.75" hidden="1" customHeight="1" x14ac:dyDescent="0.2">
      <c r="A315" s="559" t="s">
        <v>130</v>
      </c>
      <c r="B315" s="54" t="s">
        <v>329</v>
      </c>
      <c r="C315" s="61">
        <v>725040000</v>
      </c>
      <c r="D315" s="61">
        <v>664856767</v>
      </c>
      <c r="E315" s="61">
        <v>597453000</v>
      </c>
      <c r="F315" s="61">
        <v>597453000</v>
      </c>
      <c r="G315" s="61">
        <v>467407600</v>
      </c>
      <c r="H315" s="97">
        <v>0</v>
      </c>
    </row>
    <row r="316" spans="1:11" ht="24.75" hidden="1" customHeight="1" x14ac:dyDescent="0.2">
      <c r="A316" s="560"/>
      <c r="B316" s="54" t="s">
        <v>330</v>
      </c>
      <c r="C316" s="61">
        <v>6130432000</v>
      </c>
      <c r="D316" s="61">
        <v>5536905968</v>
      </c>
      <c r="E316" s="61">
        <v>2115789834</v>
      </c>
      <c r="F316" s="61">
        <v>2115789834</v>
      </c>
      <c r="G316" s="61">
        <v>1419163968</v>
      </c>
      <c r="H316" s="97">
        <v>0</v>
      </c>
    </row>
    <row r="317" spans="1:11" ht="24.75" hidden="1" customHeight="1" x14ac:dyDescent="0.2">
      <c r="A317" s="560"/>
      <c r="B317" s="54" t="s">
        <v>334</v>
      </c>
      <c r="C317" s="61">
        <v>1617058000</v>
      </c>
      <c r="D317" s="61">
        <v>1898153100</v>
      </c>
      <c r="E317" s="61">
        <v>1137940000</v>
      </c>
      <c r="F317" s="61">
        <v>1137940000</v>
      </c>
      <c r="G317" s="61">
        <v>874450868</v>
      </c>
      <c r="H317" s="97">
        <v>0</v>
      </c>
    </row>
    <row r="318" spans="1:11" ht="24.75" hidden="1" customHeight="1" x14ac:dyDescent="0.2">
      <c r="A318" s="560"/>
      <c r="B318" s="593" t="s">
        <v>521</v>
      </c>
      <c r="C318" s="61">
        <f>154846000-48160000</f>
        <v>106686000</v>
      </c>
      <c r="D318" s="61">
        <v>375716900</v>
      </c>
      <c r="E318" s="61">
        <v>208209200</v>
      </c>
      <c r="F318" s="61">
        <v>208209200</v>
      </c>
      <c r="G318" s="61">
        <v>111747867</v>
      </c>
      <c r="H318" s="97">
        <v>0</v>
      </c>
    </row>
    <row r="319" spans="1:11" ht="24.75" hidden="1" customHeight="1" x14ac:dyDescent="0.2">
      <c r="A319" s="560"/>
      <c r="B319" s="594"/>
      <c r="C319" s="61">
        <v>117874000</v>
      </c>
      <c r="D319" s="61">
        <v>117874000</v>
      </c>
      <c r="E319" s="61">
        <v>0</v>
      </c>
      <c r="F319" s="61">
        <v>0</v>
      </c>
      <c r="G319" s="61">
        <v>0</v>
      </c>
      <c r="H319" s="97">
        <v>0</v>
      </c>
    </row>
    <row r="320" spans="1:11" ht="24.75" hidden="1" customHeight="1" x14ac:dyDescent="0.2">
      <c r="A320" s="560"/>
      <c r="B320" s="594"/>
      <c r="C320" s="61">
        <v>1336995000</v>
      </c>
      <c r="D320" s="61">
        <v>1336995000</v>
      </c>
      <c r="E320" s="61">
        <v>1333569000</v>
      </c>
      <c r="F320" s="61">
        <v>1333569000</v>
      </c>
      <c r="G320" s="61">
        <v>944156966</v>
      </c>
      <c r="H320" s="97">
        <v>0</v>
      </c>
    </row>
    <row r="321" spans="1:8" ht="24.75" hidden="1" customHeight="1" x14ac:dyDescent="0.2">
      <c r="A321" s="560"/>
      <c r="B321" s="595"/>
      <c r="C321" s="61">
        <v>7278000</v>
      </c>
      <c r="D321" s="61">
        <v>7278000</v>
      </c>
      <c r="E321" s="61">
        <v>0</v>
      </c>
      <c r="F321" s="61">
        <v>0</v>
      </c>
      <c r="G321" s="61">
        <v>0</v>
      </c>
      <c r="H321" s="97">
        <v>0</v>
      </c>
    </row>
    <row r="322" spans="1:8" ht="24.75" hidden="1" customHeight="1" x14ac:dyDescent="0.2">
      <c r="A322" s="560"/>
      <c r="B322" s="593" t="s">
        <v>336</v>
      </c>
      <c r="C322" s="61">
        <v>679700000</v>
      </c>
      <c r="D322" s="61">
        <v>833369108</v>
      </c>
      <c r="E322" s="61">
        <v>682060300</v>
      </c>
      <c r="F322" s="61">
        <v>682060300</v>
      </c>
      <c r="G322" s="61">
        <v>527832933</v>
      </c>
      <c r="H322" s="97">
        <v>0</v>
      </c>
    </row>
    <row r="323" spans="1:8" ht="24.75" hidden="1" customHeight="1" x14ac:dyDescent="0.2">
      <c r="A323" s="560"/>
      <c r="B323" s="594"/>
      <c r="C323" s="61">
        <v>871058000</v>
      </c>
      <c r="D323" s="61">
        <v>871058000</v>
      </c>
      <c r="E323" s="61">
        <v>609327908</v>
      </c>
      <c r="F323" s="61">
        <v>609327908</v>
      </c>
      <c r="G323" s="61">
        <v>312323063</v>
      </c>
      <c r="H323" s="97">
        <v>0</v>
      </c>
    </row>
    <row r="324" spans="1:8" ht="24.75" hidden="1" customHeight="1" x14ac:dyDescent="0.2">
      <c r="A324" s="560"/>
      <c r="B324" s="595"/>
      <c r="C324" s="61">
        <v>1813479000</v>
      </c>
      <c r="D324" s="61">
        <v>1813479000</v>
      </c>
      <c r="E324" s="61">
        <v>1536739700</v>
      </c>
      <c r="F324" s="61">
        <v>1536739700</v>
      </c>
      <c r="G324" s="61">
        <v>1109558936</v>
      </c>
      <c r="H324" s="97">
        <v>0</v>
      </c>
    </row>
    <row r="325" spans="1:8" ht="24.75" hidden="1" customHeight="1" x14ac:dyDescent="0.2">
      <c r="A325" s="560"/>
      <c r="B325" s="54" t="s">
        <v>337</v>
      </c>
      <c r="C325" s="61">
        <v>843232000</v>
      </c>
      <c r="D325" s="61">
        <v>953656198</v>
      </c>
      <c r="E325" s="61">
        <v>488561800</v>
      </c>
      <c r="F325" s="61">
        <v>488561800</v>
      </c>
      <c r="G325" s="61">
        <v>354868302</v>
      </c>
      <c r="H325" s="97">
        <v>0</v>
      </c>
    </row>
    <row r="326" spans="1:8" ht="24.75" hidden="1" customHeight="1" x14ac:dyDescent="0.2">
      <c r="A326" s="560"/>
      <c r="B326" s="593" t="s">
        <v>338</v>
      </c>
      <c r="C326" s="61">
        <v>2180745000</v>
      </c>
      <c r="D326" s="61">
        <v>2020234959</v>
      </c>
      <c r="E326" s="61">
        <v>836275000</v>
      </c>
      <c r="F326" s="61">
        <v>836275000</v>
      </c>
      <c r="G326" s="61">
        <v>650070449</v>
      </c>
      <c r="H326" s="97">
        <v>0</v>
      </c>
    </row>
    <row r="327" spans="1:8" ht="24.75" hidden="1" customHeight="1" x14ac:dyDescent="0.2">
      <c r="A327" s="516"/>
      <c r="B327" s="595"/>
      <c r="C327" s="61">
        <v>38864000</v>
      </c>
      <c r="D327" s="61">
        <v>38864000</v>
      </c>
      <c r="E327" s="61">
        <v>0</v>
      </c>
      <c r="F327" s="61">
        <v>0</v>
      </c>
      <c r="G327" s="61">
        <v>0</v>
      </c>
      <c r="H327" s="97">
        <v>0</v>
      </c>
    </row>
    <row r="328" spans="1:8" ht="24.75" hidden="1" customHeight="1" x14ac:dyDescent="0.2">
      <c r="A328" s="559" t="s">
        <v>131</v>
      </c>
      <c r="B328" s="54" t="s">
        <v>329</v>
      </c>
      <c r="C328" s="61">
        <v>725040000</v>
      </c>
      <c r="D328" s="61">
        <v>664063000</v>
      </c>
      <c r="E328" s="61">
        <v>644162200</v>
      </c>
      <c r="F328" s="61">
        <v>644162200</v>
      </c>
      <c r="G328" s="61">
        <v>515166600</v>
      </c>
      <c r="H328" s="97">
        <v>0</v>
      </c>
    </row>
    <row r="329" spans="1:8" ht="24.75" hidden="1" customHeight="1" x14ac:dyDescent="0.2">
      <c r="A329" s="560"/>
      <c r="B329" s="593" t="s">
        <v>330</v>
      </c>
      <c r="C329" s="61">
        <v>6130432000</v>
      </c>
      <c r="D329" s="61">
        <v>3432133334</v>
      </c>
      <c r="E329" s="61">
        <v>2336563534</v>
      </c>
      <c r="F329" s="61">
        <v>2336563534</v>
      </c>
      <c r="G329" s="61">
        <v>1615859560</v>
      </c>
      <c r="H329" s="97">
        <v>0</v>
      </c>
    </row>
    <row r="330" spans="1:8" ht="24.75" hidden="1" customHeight="1" x14ac:dyDescent="0.2">
      <c r="A330" s="560"/>
      <c r="B330" s="594"/>
      <c r="C330" s="61">
        <v>0</v>
      </c>
      <c r="D330" s="61">
        <v>942550113</v>
      </c>
      <c r="E330" s="61">
        <v>0</v>
      </c>
      <c r="F330" s="61">
        <v>0</v>
      </c>
      <c r="G330" s="61">
        <v>0</v>
      </c>
      <c r="H330" s="97">
        <v>0</v>
      </c>
    </row>
    <row r="331" spans="1:8" ht="24.75" hidden="1" customHeight="1" x14ac:dyDescent="0.2">
      <c r="A331" s="560"/>
      <c r="B331" s="594"/>
      <c r="C331" s="61">
        <v>0</v>
      </c>
      <c r="D331" s="61">
        <v>106931000</v>
      </c>
      <c r="E331" s="61">
        <v>0</v>
      </c>
      <c r="F331" s="61">
        <v>0</v>
      </c>
      <c r="G331" s="61">
        <v>0</v>
      </c>
      <c r="H331" s="97">
        <v>0</v>
      </c>
    </row>
    <row r="332" spans="1:8" ht="24.75" hidden="1" customHeight="1" x14ac:dyDescent="0.2">
      <c r="A332" s="560"/>
      <c r="B332" s="594"/>
      <c r="C332" s="61">
        <v>0</v>
      </c>
      <c r="D332" s="61">
        <v>1243207000</v>
      </c>
      <c r="E332" s="61">
        <v>0</v>
      </c>
      <c r="F332" s="61">
        <v>0</v>
      </c>
      <c r="G332" s="61">
        <v>0</v>
      </c>
      <c r="H332" s="97">
        <v>0</v>
      </c>
    </row>
    <row r="333" spans="1:8" ht="24.75" hidden="1" customHeight="1" x14ac:dyDescent="0.2">
      <c r="A333" s="560"/>
      <c r="B333" s="594"/>
      <c r="C333" s="61">
        <v>0</v>
      </c>
      <c r="D333" s="61">
        <v>49887783</v>
      </c>
      <c r="E333" s="61">
        <v>0</v>
      </c>
      <c r="F333" s="61">
        <v>0</v>
      </c>
      <c r="G333" s="61">
        <v>0</v>
      </c>
      <c r="H333" s="97">
        <v>0</v>
      </c>
    </row>
    <row r="334" spans="1:8" ht="24.75" hidden="1" customHeight="1" x14ac:dyDescent="0.2">
      <c r="A334" s="560"/>
      <c r="B334" s="595"/>
      <c r="C334" s="61">
        <v>0</v>
      </c>
      <c r="D334" s="61">
        <v>461999876</v>
      </c>
      <c r="E334" s="61">
        <v>0</v>
      </c>
      <c r="F334" s="61">
        <v>0</v>
      </c>
      <c r="G334" s="61">
        <v>0</v>
      </c>
      <c r="H334" s="97">
        <v>0</v>
      </c>
    </row>
    <row r="335" spans="1:8" ht="24.75" hidden="1" customHeight="1" x14ac:dyDescent="0.2">
      <c r="A335" s="560"/>
      <c r="B335" s="54" t="s">
        <v>334</v>
      </c>
      <c r="C335" s="61">
        <v>1617058000</v>
      </c>
      <c r="D335" s="61">
        <v>1951122100</v>
      </c>
      <c r="E335" s="61">
        <v>1685938200</v>
      </c>
      <c r="F335" s="61">
        <v>1685938200</v>
      </c>
      <c r="G335" s="61">
        <v>993332868</v>
      </c>
      <c r="H335" s="97">
        <v>0</v>
      </c>
    </row>
    <row r="336" spans="1:8" ht="24.75" hidden="1" customHeight="1" x14ac:dyDescent="0.2">
      <c r="A336" s="560"/>
      <c r="B336" s="593" t="s">
        <v>521</v>
      </c>
      <c r="C336" s="61">
        <f>154846000-48160000</f>
        <v>106686000</v>
      </c>
      <c r="D336" s="61">
        <v>523043100</v>
      </c>
      <c r="E336" s="61">
        <v>366388600</v>
      </c>
      <c r="F336" s="61">
        <v>366388600</v>
      </c>
      <c r="G336" s="61">
        <v>125148401</v>
      </c>
      <c r="H336" s="97">
        <v>0</v>
      </c>
    </row>
    <row r="337" spans="1:8" ht="24.75" hidden="1" customHeight="1" x14ac:dyDescent="0.2">
      <c r="A337" s="560"/>
      <c r="B337" s="594"/>
      <c r="C337" s="61">
        <v>117874000</v>
      </c>
      <c r="D337" s="61">
        <v>75039600</v>
      </c>
      <c r="E337" s="61">
        <v>65708600</v>
      </c>
      <c r="F337" s="61">
        <v>65708600</v>
      </c>
      <c r="G337" s="61">
        <v>0</v>
      </c>
      <c r="H337" s="97">
        <v>0</v>
      </c>
    </row>
    <row r="338" spans="1:8" ht="24.75" hidden="1" customHeight="1" x14ac:dyDescent="0.2">
      <c r="A338" s="560"/>
      <c r="B338" s="594"/>
      <c r="C338" s="61">
        <v>1336995000</v>
      </c>
      <c r="D338" s="61">
        <v>1340583000</v>
      </c>
      <c r="E338" s="61">
        <v>1333569000</v>
      </c>
      <c r="F338" s="61">
        <v>1333569000</v>
      </c>
      <c r="G338" s="61">
        <v>1093410766</v>
      </c>
      <c r="H338" s="97">
        <v>0</v>
      </c>
    </row>
    <row r="339" spans="1:8" ht="24.75" hidden="1" customHeight="1" x14ac:dyDescent="0.2">
      <c r="A339" s="560"/>
      <c r="B339" s="594"/>
      <c r="C339" s="61">
        <v>0</v>
      </c>
      <c r="D339" s="61">
        <v>7442298</v>
      </c>
      <c r="E339" s="61">
        <v>0</v>
      </c>
      <c r="F339" s="61">
        <v>0</v>
      </c>
      <c r="G339" s="61">
        <v>0</v>
      </c>
      <c r="H339" s="97">
        <v>0</v>
      </c>
    </row>
    <row r="340" spans="1:8" ht="24.75" hidden="1" customHeight="1" x14ac:dyDescent="0.2">
      <c r="A340" s="560"/>
      <c r="B340" s="595"/>
      <c r="C340" s="61">
        <v>7278000</v>
      </c>
      <c r="D340" s="61">
        <v>7279900</v>
      </c>
      <c r="E340" s="61">
        <v>0</v>
      </c>
      <c r="F340" s="61">
        <v>0</v>
      </c>
      <c r="G340" s="61">
        <v>0</v>
      </c>
      <c r="H340" s="97">
        <v>0</v>
      </c>
    </row>
    <row r="341" spans="1:8" ht="24.75" hidden="1" customHeight="1" x14ac:dyDescent="0.2">
      <c r="A341" s="560"/>
      <c r="B341" s="593" t="s">
        <v>336</v>
      </c>
      <c r="C341" s="61">
        <v>679700000</v>
      </c>
      <c r="D341" s="61">
        <v>1104438709</v>
      </c>
      <c r="E341" s="61">
        <v>688022200</v>
      </c>
      <c r="F341" s="61">
        <v>688022200</v>
      </c>
      <c r="G341" s="61">
        <v>590640200</v>
      </c>
      <c r="H341" s="97">
        <v>0</v>
      </c>
    </row>
    <row r="342" spans="1:8" ht="24.75" hidden="1" customHeight="1" x14ac:dyDescent="0.2">
      <c r="A342" s="560"/>
      <c r="B342" s="594"/>
      <c r="C342" s="61">
        <v>871058000</v>
      </c>
      <c r="D342" s="61">
        <v>913892400</v>
      </c>
      <c r="E342" s="61">
        <v>609327908</v>
      </c>
      <c r="F342" s="61">
        <v>609327908</v>
      </c>
      <c r="G342" s="61">
        <v>421334140</v>
      </c>
      <c r="H342" s="97">
        <v>0</v>
      </c>
    </row>
    <row r="343" spans="1:8" ht="24.75" hidden="1" customHeight="1" x14ac:dyDescent="0.2">
      <c r="A343" s="560"/>
      <c r="B343" s="595"/>
      <c r="C343" s="61">
        <v>1813479000</v>
      </c>
      <c r="D343" s="61">
        <v>1809891000</v>
      </c>
      <c r="E343" s="61">
        <v>1652704700</v>
      </c>
      <c r="F343" s="61">
        <v>1652704700</v>
      </c>
      <c r="G343" s="61">
        <v>1284261969</v>
      </c>
      <c r="H343" s="97">
        <v>0</v>
      </c>
    </row>
    <row r="344" spans="1:8" ht="24.75" hidden="1" customHeight="1" x14ac:dyDescent="0.2">
      <c r="A344" s="560"/>
      <c r="B344" s="54" t="s">
        <v>337</v>
      </c>
      <c r="C344" s="61">
        <v>843232000</v>
      </c>
      <c r="D344" s="61">
        <v>1087886300</v>
      </c>
      <c r="E344" s="61">
        <v>532681660</v>
      </c>
      <c r="F344" s="61">
        <v>532681660</v>
      </c>
      <c r="G344" s="61">
        <v>405798576</v>
      </c>
      <c r="H344" s="97">
        <v>0</v>
      </c>
    </row>
    <row r="345" spans="1:8" ht="24.75" hidden="1" customHeight="1" x14ac:dyDescent="0.2">
      <c r="A345" s="560"/>
      <c r="B345" s="593" t="s">
        <v>338</v>
      </c>
      <c r="C345" s="61">
        <v>2180745000</v>
      </c>
      <c r="D345" s="61">
        <v>2085874600</v>
      </c>
      <c r="E345" s="61">
        <v>940253600</v>
      </c>
      <c r="F345" s="61">
        <v>940253600</v>
      </c>
      <c r="G345" s="61">
        <v>727454805</v>
      </c>
      <c r="H345" s="97">
        <v>0</v>
      </c>
    </row>
    <row r="346" spans="1:8" ht="24.75" hidden="1" customHeight="1" x14ac:dyDescent="0.2">
      <c r="A346" s="516"/>
      <c r="B346" s="595"/>
      <c r="C346" s="61">
        <v>38864000</v>
      </c>
      <c r="D346" s="61">
        <v>38864000</v>
      </c>
      <c r="E346" s="61">
        <v>0</v>
      </c>
      <c r="F346" s="61">
        <v>0</v>
      </c>
      <c r="G346" s="61">
        <v>0</v>
      </c>
      <c r="H346" s="97">
        <v>0</v>
      </c>
    </row>
    <row r="347" spans="1:8" ht="24.75" hidden="1" customHeight="1" x14ac:dyDescent="0.2">
      <c r="A347" s="559" t="s">
        <v>132</v>
      </c>
      <c r="B347" s="54" t="s">
        <v>329</v>
      </c>
      <c r="C347" s="97">
        <v>725040000</v>
      </c>
      <c r="D347" s="97">
        <v>664063000</v>
      </c>
      <c r="E347" s="97">
        <v>664063000</v>
      </c>
      <c r="F347" s="97">
        <v>664063000</v>
      </c>
      <c r="G347" s="97">
        <v>560428600</v>
      </c>
      <c r="H347" s="97">
        <v>0</v>
      </c>
    </row>
    <row r="348" spans="1:8" ht="24.75" hidden="1" customHeight="1" x14ac:dyDescent="0.2">
      <c r="A348" s="560"/>
      <c r="B348" s="593" t="s">
        <v>330</v>
      </c>
      <c r="C348" s="97">
        <v>6130432000</v>
      </c>
      <c r="D348" s="97">
        <v>3432133334</v>
      </c>
      <c r="E348" s="97">
        <v>2473286401</v>
      </c>
      <c r="F348" s="97">
        <v>2473286401</v>
      </c>
      <c r="G348" s="97">
        <v>1816913895</v>
      </c>
      <c r="H348" s="97">
        <v>0</v>
      </c>
    </row>
    <row r="349" spans="1:8" ht="24.75" hidden="1" customHeight="1" x14ac:dyDescent="0.2">
      <c r="A349" s="560"/>
      <c r="B349" s="594"/>
      <c r="C349" s="97">
        <v>0</v>
      </c>
      <c r="D349" s="97">
        <v>942550113</v>
      </c>
      <c r="E349" s="97">
        <v>942550113</v>
      </c>
      <c r="F349" s="97">
        <v>942550113</v>
      </c>
      <c r="G349" s="97">
        <v>942550113</v>
      </c>
      <c r="H349" s="97">
        <v>0</v>
      </c>
    </row>
    <row r="350" spans="1:8" ht="24.75" hidden="1" customHeight="1" x14ac:dyDescent="0.2">
      <c r="A350" s="560"/>
      <c r="B350" s="594"/>
      <c r="C350" s="97">
        <v>0</v>
      </c>
      <c r="D350" s="97">
        <v>211140743</v>
      </c>
      <c r="E350" s="97">
        <v>0</v>
      </c>
      <c r="F350" s="97">
        <v>0</v>
      </c>
      <c r="G350" s="97">
        <v>0</v>
      </c>
      <c r="H350" s="97">
        <v>0</v>
      </c>
    </row>
    <row r="351" spans="1:8" ht="24.75" hidden="1" customHeight="1" x14ac:dyDescent="0.2">
      <c r="A351" s="560"/>
      <c r="B351" s="594"/>
      <c r="C351" s="97">
        <v>0</v>
      </c>
      <c r="D351" s="97">
        <v>106931000</v>
      </c>
      <c r="E351" s="97">
        <v>106931000</v>
      </c>
      <c r="F351" s="97">
        <v>106931000</v>
      </c>
      <c r="G351" s="97">
        <v>106931000</v>
      </c>
      <c r="H351" s="97">
        <v>0</v>
      </c>
    </row>
    <row r="352" spans="1:8" ht="24.75" hidden="1" customHeight="1" x14ac:dyDescent="0.2">
      <c r="A352" s="560"/>
      <c r="B352" s="594"/>
      <c r="C352" s="97">
        <v>0</v>
      </c>
      <c r="D352" s="97">
        <v>1243207000</v>
      </c>
      <c r="E352" s="97">
        <v>1243207000</v>
      </c>
      <c r="F352" s="97">
        <v>1243207000</v>
      </c>
      <c r="G352" s="97">
        <v>1243207000</v>
      </c>
      <c r="H352" s="97">
        <v>0</v>
      </c>
    </row>
    <row r="353" spans="1:8" ht="24.75" hidden="1" customHeight="1" x14ac:dyDescent="0.2">
      <c r="A353" s="560"/>
      <c r="B353" s="595"/>
      <c r="C353" s="97">
        <v>0</v>
      </c>
      <c r="D353" s="97">
        <v>49887783</v>
      </c>
      <c r="E353" s="97">
        <v>49887783</v>
      </c>
      <c r="F353" s="97">
        <v>49887783</v>
      </c>
      <c r="G353" s="97">
        <v>0</v>
      </c>
      <c r="H353" s="97">
        <v>0</v>
      </c>
    </row>
    <row r="354" spans="1:8" ht="24.75" hidden="1" customHeight="1" x14ac:dyDescent="0.2">
      <c r="A354" s="560"/>
      <c r="B354" s="54" t="s">
        <v>334</v>
      </c>
      <c r="C354" s="97">
        <v>0</v>
      </c>
      <c r="D354" s="97">
        <v>461999876</v>
      </c>
      <c r="E354" s="97">
        <v>461999876</v>
      </c>
      <c r="F354" s="97">
        <v>461999876</v>
      </c>
      <c r="G354" s="97">
        <v>461999876</v>
      </c>
      <c r="H354" s="97">
        <v>0</v>
      </c>
    </row>
    <row r="355" spans="1:8" ht="24.75" hidden="1" customHeight="1" x14ac:dyDescent="0.2">
      <c r="A355" s="560"/>
      <c r="B355" s="593" t="s">
        <v>521</v>
      </c>
      <c r="C355" s="97">
        <v>1617058000</v>
      </c>
      <c r="D355" s="97">
        <v>1951122100</v>
      </c>
      <c r="E355" s="97">
        <v>1772031700</v>
      </c>
      <c r="F355" s="97">
        <v>1772031700</v>
      </c>
      <c r="G355" s="97">
        <v>1097562968</v>
      </c>
      <c r="H355" s="97">
        <v>0</v>
      </c>
    </row>
    <row r="356" spans="1:8" ht="24.75" hidden="1" customHeight="1" x14ac:dyDescent="0.2">
      <c r="A356" s="560"/>
      <c r="B356" s="594"/>
      <c r="C356" s="97">
        <v>106686000</v>
      </c>
      <c r="D356" s="97">
        <v>523043100</v>
      </c>
      <c r="E356" s="97">
        <v>481750500</v>
      </c>
      <c r="F356" s="97">
        <v>481750500</v>
      </c>
      <c r="G356" s="97">
        <v>164669101</v>
      </c>
      <c r="H356" s="97">
        <v>0</v>
      </c>
    </row>
    <row r="357" spans="1:8" ht="24.75" hidden="1" customHeight="1" x14ac:dyDescent="0.2">
      <c r="A357" s="560"/>
      <c r="B357" s="594"/>
      <c r="C357" s="97">
        <v>117874000</v>
      </c>
      <c r="D357" s="97">
        <v>75039600</v>
      </c>
      <c r="E357" s="97">
        <v>65708600</v>
      </c>
      <c r="F357" s="97">
        <v>65708600</v>
      </c>
      <c r="G357" s="97">
        <v>5119466</v>
      </c>
      <c r="H357" s="97">
        <v>0</v>
      </c>
    </row>
    <row r="358" spans="1:8" ht="24.75" hidden="1" customHeight="1" x14ac:dyDescent="0.2">
      <c r="A358" s="560"/>
      <c r="B358" s="594"/>
      <c r="C358" s="97">
        <v>1336995000</v>
      </c>
      <c r="D358" s="97">
        <v>1340583000</v>
      </c>
      <c r="E358" s="97">
        <v>1340583000</v>
      </c>
      <c r="F358" s="97">
        <v>1340583000</v>
      </c>
      <c r="G358" s="97">
        <v>1211544800</v>
      </c>
      <c r="H358" s="97">
        <v>0</v>
      </c>
    </row>
    <row r="359" spans="1:8" ht="24.75" hidden="1" customHeight="1" x14ac:dyDescent="0.2">
      <c r="A359" s="560"/>
      <c r="B359" s="595"/>
      <c r="C359" s="97">
        <v>0</v>
      </c>
      <c r="D359" s="97">
        <v>7442298</v>
      </c>
      <c r="E359" s="97">
        <v>0</v>
      </c>
      <c r="F359" s="97">
        <v>0</v>
      </c>
      <c r="G359" s="97">
        <v>0</v>
      </c>
      <c r="H359" s="97">
        <v>0</v>
      </c>
    </row>
    <row r="360" spans="1:8" ht="24.75" hidden="1" customHeight="1" x14ac:dyDescent="0.2">
      <c r="A360" s="560"/>
      <c r="B360" s="593" t="s">
        <v>336</v>
      </c>
      <c r="C360" s="97">
        <v>7278000</v>
      </c>
      <c r="D360" s="97">
        <v>7279900</v>
      </c>
      <c r="E360" s="97">
        <v>0</v>
      </c>
      <c r="F360" s="97">
        <v>0</v>
      </c>
      <c r="G360" s="97">
        <v>0</v>
      </c>
      <c r="H360" s="97">
        <v>0</v>
      </c>
    </row>
    <row r="361" spans="1:8" ht="24.75" hidden="1" customHeight="1" x14ac:dyDescent="0.2">
      <c r="A361" s="560"/>
      <c r="B361" s="594"/>
      <c r="C361" s="97">
        <v>679700000</v>
      </c>
      <c r="D361" s="97">
        <v>1104438709</v>
      </c>
      <c r="E361" s="97">
        <v>975798100</v>
      </c>
      <c r="F361" s="97">
        <v>975798100</v>
      </c>
      <c r="G361" s="97">
        <v>654657067</v>
      </c>
      <c r="H361" s="97">
        <v>0</v>
      </c>
    </row>
    <row r="362" spans="1:8" ht="24.75" hidden="1" customHeight="1" x14ac:dyDescent="0.2">
      <c r="A362" s="560"/>
      <c r="B362" s="595"/>
      <c r="C362" s="97">
        <v>871058000</v>
      </c>
      <c r="D362" s="97">
        <v>913892400</v>
      </c>
      <c r="E362" s="97">
        <v>687303908</v>
      </c>
      <c r="F362" s="97">
        <v>687303908</v>
      </c>
      <c r="G362" s="97">
        <v>504555181</v>
      </c>
      <c r="H362" s="97">
        <v>0</v>
      </c>
    </row>
    <row r="363" spans="1:8" ht="24.75" hidden="1" customHeight="1" x14ac:dyDescent="0.2">
      <c r="A363" s="560"/>
      <c r="B363" s="54" t="s">
        <v>337</v>
      </c>
      <c r="C363" s="97">
        <v>1813479000</v>
      </c>
      <c r="D363" s="97">
        <v>1809891000</v>
      </c>
      <c r="E363" s="97">
        <v>1662860700</v>
      </c>
      <c r="F363" s="97">
        <v>1662860700</v>
      </c>
      <c r="G363" s="97">
        <v>1438188102</v>
      </c>
      <c r="H363" s="97">
        <v>0</v>
      </c>
    </row>
    <row r="364" spans="1:8" ht="24.75" hidden="1" customHeight="1" x14ac:dyDescent="0.2">
      <c r="A364" s="560"/>
      <c r="B364" s="593" t="s">
        <v>338</v>
      </c>
      <c r="C364" s="97">
        <v>843232000</v>
      </c>
      <c r="D364" s="97">
        <v>1087886300</v>
      </c>
      <c r="E364" s="97">
        <v>640649460</v>
      </c>
      <c r="F364" s="97">
        <v>640649460</v>
      </c>
      <c r="G364" s="97">
        <v>454609783</v>
      </c>
      <c r="H364" s="97">
        <v>0</v>
      </c>
    </row>
    <row r="365" spans="1:8" ht="24.75" hidden="1" customHeight="1" x14ac:dyDescent="0.2">
      <c r="A365" s="516"/>
      <c r="B365" s="595"/>
      <c r="C365" s="210">
        <v>2180745000</v>
      </c>
      <c r="D365" s="210">
        <v>2085874600</v>
      </c>
      <c r="E365" s="210">
        <v>1062739500</v>
      </c>
      <c r="F365" s="210">
        <v>1062739500</v>
      </c>
      <c r="G365" s="210">
        <v>798374729</v>
      </c>
      <c r="H365" s="97">
        <v>0</v>
      </c>
    </row>
    <row r="366" spans="1:8" ht="24.75" hidden="1" customHeight="1" x14ac:dyDescent="0.2">
      <c r="A366" s="560" t="s">
        <v>133</v>
      </c>
      <c r="B366" s="54" t="s">
        <v>329</v>
      </c>
      <c r="C366" s="61">
        <v>725040000</v>
      </c>
      <c r="D366" s="61">
        <v>664063000</v>
      </c>
      <c r="E366" s="61">
        <v>664063000</v>
      </c>
      <c r="F366" s="61">
        <v>664063000</v>
      </c>
      <c r="G366" s="61">
        <v>629739500</v>
      </c>
      <c r="H366" s="97">
        <v>0</v>
      </c>
    </row>
    <row r="367" spans="1:8" ht="24.75" hidden="1" customHeight="1" x14ac:dyDescent="0.2">
      <c r="A367" s="560"/>
      <c r="B367" s="593" t="s">
        <v>330</v>
      </c>
      <c r="C367" s="61">
        <v>6130432000</v>
      </c>
      <c r="D367" s="61">
        <v>2976133334</v>
      </c>
      <c r="E367" s="61">
        <v>2901320089</v>
      </c>
      <c r="F367" s="61">
        <v>2901320089</v>
      </c>
      <c r="G367" s="61">
        <v>2129197884</v>
      </c>
      <c r="H367" s="97">
        <v>0</v>
      </c>
    </row>
    <row r="368" spans="1:8" ht="24.75" hidden="1" customHeight="1" x14ac:dyDescent="0.2">
      <c r="A368" s="560"/>
      <c r="B368" s="594"/>
      <c r="C368" s="61">
        <v>0</v>
      </c>
      <c r="D368" s="61">
        <v>942550113</v>
      </c>
      <c r="E368" s="61">
        <v>942550113</v>
      </c>
      <c r="F368" s="61">
        <v>942550113</v>
      </c>
      <c r="G368" s="61">
        <v>942550113</v>
      </c>
      <c r="H368" s="97">
        <v>0</v>
      </c>
    </row>
    <row r="369" spans="1:8" ht="24.75" hidden="1" customHeight="1" x14ac:dyDescent="0.2">
      <c r="A369" s="560"/>
      <c r="B369" s="594"/>
      <c r="C369" s="61">
        <v>0</v>
      </c>
      <c r="D369" s="61">
        <v>211140743</v>
      </c>
      <c r="E369" s="61">
        <v>0</v>
      </c>
      <c r="F369" s="61">
        <v>0</v>
      </c>
      <c r="G369" s="61">
        <v>0</v>
      </c>
      <c r="H369" s="97">
        <v>0</v>
      </c>
    </row>
    <row r="370" spans="1:8" ht="24.75" hidden="1" customHeight="1" x14ac:dyDescent="0.2">
      <c r="A370" s="560"/>
      <c r="B370" s="594"/>
      <c r="C370" s="61">
        <v>0</v>
      </c>
      <c r="D370" s="61">
        <v>106931000</v>
      </c>
      <c r="E370" s="61">
        <v>106931000</v>
      </c>
      <c r="F370" s="61">
        <v>106931000</v>
      </c>
      <c r="G370" s="61">
        <v>106931000</v>
      </c>
      <c r="H370" s="97">
        <v>0</v>
      </c>
    </row>
    <row r="371" spans="1:8" ht="24.75" hidden="1" customHeight="1" x14ac:dyDescent="0.2">
      <c r="A371" s="560"/>
      <c r="B371" s="594"/>
      <c r="C371" s="61">
        <v>0</v>
      </c>
      <c r="D371" s="61">
        <v>1243207000</v>
      </c>
      <c r="E371" s="61">
        <v>1243207000</v>
      </c>
      <c r="F371" s="61">
        <v>1243207000</v>
      </c>
      <c r="G371" s="61">
        <v>1243207000</v>
      </c>
      <c r="H371" s="97">
        <v>0</v>
      </c>
    </row>
    <row r="372" spans="1:8" ht="24.75" hidden="1" customHeight="1" x14ac:dyDescent="0.2">
      <c r="A372" s="560"/>
      <c r="B372" s="595"/>
      <c r="C372" s="61">
        <v>0</v>
      </c>
      <c r="D372" s="61">
        <v>49887783</v>
      </c>
      <c r="E372" s="61">
        <v>49887783</v>
      </c>
      <c r="F372" s="61">
        <v>49887783</v>
      </c>
      <c r="G372" s="61">
        <v>49887783</v>
      </c>
      <c r="H372" s="97">
        <v>0</v>
      </c>
    </row>
    <row r="373" spans="1:8" ht="24.75" hidden="1" customHeight="1" x14ac:dyDescent="0.2">
      <c r="A373" s="560"/>
      <c r="B373" s="54" t="s">
        <v>334</v>
      </c>
      <c r="C373" s="61">
        <v>0</v>
      </c>
      <c r="D373" s="61">
        <v>461999876</v>
      </c>
      <c r="E373" s="61">
        <v>461999876</v>
      </c>
      <c r="F373" s="61">
        <v>461999876</v>
      </c>
      <c r="G373" s="61">
        <v>461999876</v>
      </c>
      <c r="H373" s="97">
        <v>0</v>
      </c>
    </row>
    <row r="374" spans="1:8" ht="24.75" hidden="1" customHeight="1" x14ac:dyDescent="0.2">
      <c r="A374" s="560"/>
      <c r="B374" s="593" t="s">
        <v>521</v>
      </c>
      <c r="C374" s="61">
        <v>1617058000</v>
      </c>
      <c r="D374" s="61">
        <v>1908372100</v>
      </c>
      <c r="E374" s="61">
        <v>1857893447.8183219</v>
      </c>
      <c r="F374" s="61">
        <v>1857893447.8183219</v>
      </c>
      <c r="G374" s="61">
        <v>1285077105</v>
      </c>
      <c r="H374" s="97">
        <v>0</v>
      </c>
    </row>
    <row r="375" spans="1:8" ht="24.75" hidden="1" customHeight="1" x14ac:dyDescent="0.2">
      <c r="A375" s="560"/>
      <c r="B375" s="594"/>
      <c r="C375" s="61">
        <f>154846000-48160000</f>
        <v>106686000</v>
      </c>
      <c r="D375" s="61">
        <v>607793100</v>
      </c>
      <c r="E375" s="61">
        <v>585867000</v>
      </c>
      <c r="F375" s="61">
        <v>585867000</v>
      </c>
      <c r="G375" s="61">
        <v>326873801</v>
      </c>
      <c r="H375" s="97">
        <v>0</v>
      </c>
    </row>
    <row r="376" spans="1:8" ht="24.75" hidden="1" customHeight="1" x14ac:dyDescent="0.2">
      <c r="A376" s="560"/>
      <c r="B376" s="594"/>
      <c r="C376" s="61">
        <v>117874000</v>
      </c>
      <c r="D376" s="61">
        <v>75039600</v>
      </c>
      <c r="E376" s="61">
        <v>74738600</v>
      </c>
      <c r="F376" s="61">
        <v>74738600</v>
      </c>
      <c r="G376" s="61">
        <v>46365466</v>
      </c>
      <c r="H376" s="97">
        <v>0</v>
      </c>
    </row>
    <row r="377" spans="1:8" ht="24.75" hidden="1" customHeight="1" x14ac:dyDescent="0.2">
      <c r="A377" s="560"/>
      <c r="B377" s="594"/>
      <c r="C377" s="61">
        <v>1336995000</v>
      </c>
      <c r="D377" s="61">
        <v>1340583000</v>
      </c>
      <c r="E377" s="61">
        <v>1340583000</v>
      </c>
      <c r="F377" s="61">
        <v>1340583000</v>
      </c>
      <c r="G377" s="61">
        <v>1237915300</v>
      </c>
      <c r="H377" s="97">
        <v>0</v>
      </c>
    </row>
    <row r="378" spans="1:8" ht="24.75" hidden="1" customHeight="1" x14ac:dyDescent="0.2">
      <c r="A378" s="560"/>
      <c r="B378" s="595"/>
      <c r="C378" s="61">
        <v>0</v>
      </c>
      <c r="D378" s="61">
        <v>7442298</v>
      </c>
      <c r="E378" s="61">
        <v>4305733</v>
      </c>
      <c r="F378" s="61">
        <v>4305733</v>
      </c>
      <c r="G378" s="61">
        <v>4305733</v>
      </c>
      <c r="H378" s="97">
        <v>0</v>
      </c>
    </row>
    <row r="379" spans="1:8" ht="24.75" hidden="1" customHeight="1" x14ac:dyDescent="0.2">
      <c r="A379" s="560"/>
      <c r="B379" s="593" t="s">
        <v>336</v>
      </c>
      <c r="C379" s="61">
        <v>7278000</v>
      </c>
      <c r="D379" s="61">
        <v>7279900</v>
      </c>
      <c r="E379" s="61">
        <v>7279900</v>
      </c>
      <c r="F379" s="61">
        <v>7279900</v>
      </c>
      <c r="G379" s="61">
        <v>7279900</v>
      </c>
      <c r="H379" s="97">
        <v>0</v>
      </c>
    </row>
    <row r="380" spans="1:8" ht="24.75" hidden="1" customHeight="1" x14ac:dyDescent="0.2">
      <c r="A380" s="560"/>
      <c r="B380" s="594"/>
      <c r="C380" s="61">
        <v>679700000</v>
      </c>
      <c r="D380" s="61">
        <v>1286438709</v>
      </c>
      <c r="E380" s="61">
        <v>1203589444</v>
      </c>
      <c r="F380" s="61">
        <v>1203589444</v>
      </c>
      <c r="G380" s="61">
        <v>859096735</v>
      </c>
      <c r="H380" s="97">
        <v>0</v>
      </c>
    </row>
    <row r="381" spans="1:8" ht="24.75" hidden="1" customHeight="1" x14ac:dyDescent="0.2">
      <c r="A381" s="560"/>
      <c r="B381" s="595"/>
      <c r="C381" s="61">
        <v>871058000</v>
      </c>
      <c r="D381" s="61">
        <v>913892400</v>
      </c>
      <c r="E381" s="61">
        <v>880309908</v>
      </c>
      <c r="F381" s="61">
        <v>880309908</v>
      </c>
      <c r="G381" s="61">
        <v>609070032</v>
      </c>
      <c r="H381" s="97">
        <v>0</v>
      </c>
    </row>
    <row r="382" spans="1:8" ht="24.75" hidden="1" customHeight="1" x14ac:dyDescent="0.2">
      <c r="A382" s="560"/>
      <c r="B382" s="54" t="s">
        <v>337</v>
      </c>
      <c r="C382" s="61">
        <v>1813479000</v>
      </c>
      <c r="D382" s="61">
        <v>1809891000</v>
      </c>
      <c r="E382" s="61">
        <v>1727280436</v>
      </c>
      <c r="F382" s="61">
        <v>1727280436</v>
      </c>
      <c r="G382" s="61">
        <v>1577150501</v>
      </c>
      <c r="H382" s="97">
        <v>0</v>
      </c>
    </row>
    <row r="383" spans="1:8" ht="24.75" hidden="1" customHeight="1" x14ac:dyDescent="0.2">
      <c r="A383" s="560"/>
      <c r="B383" s="593" t="s">
        <v>338</v>
      </c>
      <c r="C383" s="61">
        <v>843232000</v>
      </c>
      <c r="D383" s="61">
        <v>1053886300</v>
      </c>
      <c r="E383" s="61">
        <v>1023760508</v>
      </c>
      <c r="F383" s="61">
        <v>1023760508</v>
      </c>
      <c r="G383" s="61">
        <v>599508847</v>
      </c>
      <c r="H383" s="97">
        <v>0</v>
      </c>
    </row>
    <row r="384" spans="1:8" ht="24.75" hidden="1" customHeight="1" x14ac:dyDescent="0.2">
      <c r="A384" s="516"/>
      <c r="B384" s="595"/>
      <c r="C384" s="61">
        <v>2180745000</v>
      </c>
      <c r="D384" s="61">
        <v>2101874600</v>
      </c>
      <c r="E384" s="61">
        <v>1875387950.1816781</v>
      </c>
      <c r="F384" s="61">
        <v>1875387950.1816781</v>
      </c>
      <c r="G384" s="61">
        <v>926164380</v>
      </c>
      <c r="H384" s="97">
        <v>0</v>
      </c>
    </row>
    <row r="385" spans="1:8" ht="24.75" hidden="1" customHeight="1" x14ac:dyDescent="0.2">
      <c r="C385" s="61">
        <v>38864000</v>
      </c>
      <c r="D385" s="61">
        <v>38864000</v>
      </c>
      <c r="E385" s="61">
        <v>38864000</v>
      </c>
      <c r="F385" s="61">
        <v>38864000</v>
      </c>
      <c r="G385" s="61">
        <v>0</v>
      </c>
    </row>
    <row r="386" spans="1:8" ht="24.75" customHeight="1" x14ac:dyDescent="0.2">
      <c r="C386" s="204"/>
      <c r="D386" s="204"/>
      <c r="E386" s="204"/>
      <c r="F386" s="204"/>
      <c r="G386" s="204"/>
    </row>
    <row r="387" spans="1:8" ht="24.75" customHeight="1" x14ac:dyDescent="0.2">
      <c r="A387" s="587" t="s">
        <v>142</v>
      </c>
      <c r="B387" s="587"/>
      <c r="C387" s="587"/>
      <c r="D387" s="587"/>
      <c r="E387" s="587"/>
      <c r="F387" s="587"/>
      <c r="G387" s="587"/>
      <c r="H387" s="587"/>
    </row>
    <row r="388" spans="1:8" ht="24.75" customHeight="1" x14ac:dyDescent="0.2">
      <c r="A388" s="74" t="s">
        <v>62</v>
      </c>
      <c r="B388" s="29" t="s">
        <v>121</v>
      </c>
      <c r="C388" s="29" t="s">
        <v>122</v>
      </c>
      <c r="D388" s="29" t="s">
        <v>123</v>
      </c>
      <c r="E388" s="29" t="s">
        <v>124</v>
      </c>
      <c r="F388" s="29" t="s">
        <v>125</v>
      </c>
      <c r="G388" s="29" t="s">
        <v>126</v>
      </c>
      <c r="H388" s="29" t="s">
        <v>127</v>
      </c>
    </row>
    <row r="389" spans="1:8" ht="24.75" hidden="1" customHeight="1" x14ac:dyDescent="0.2">
      <c r="A389" s="564" t="s">
        <v>135</v>
      </c>
      <c r="B389" s="163" t="s">
        <v>611</v>
      </c>
      <c r="C389" s="164">
        <v>835827000</v>
      </c>
      <c r="D389" s="164">
        <v>835827000</v>
      </c>
      <c r="E389" s="164">
        <v>0</v>
      </c>
      <c r="F389" s="164">
        <v>0</v>
      </c>
      <c r="G389" s="164">
        <v>0</v>
      </c>
      <c r="H389" s="211" t="e">
        <f>G389/E389</f>
        <v>#DIV/0!</v>
      </c>
    </row>
    <row r="390" spans="1:8" ht="24.75" hidden="1" customHeight="1" x14ac:dyDescent="0.2">
      <c r="A390" s="565"/>
      <c r="B390" s="163" t="s">
        <v>611</v>
      </c>
      <c r="C390" s="164">
        <v>2638047000</v>
      </c>
      <c r="D390" s="164">
        <v>2638047000</v>
      </c>
      <c r="E390" s="164">
        <v>0</v>
      </c>
      <c r="F390" s="164">
        <v>0</v>
      </c>
      <c r="G390" s="164">
        <v>0</v>
      </c>
      <c r="H390" s="211" t="e">
        <f>G390/E390</f>
        <v>#DIV/0!</v>
      </c>
    </row>
    <row r="391" spans="1:8" ht="24.75" hidden="1" customHeight="1" x14ac:dyDescent="0.2">
      <c r="A391" s="565"/>
      <c r="B391" s="163" t="s">
        <v>612</v>
      </c>
      <c r="C391" s="164">
        <v>967153000</v>
      </c>
      <c r="D391" s="164">
        <v>967153000</v>
      </c>
      <c r="E391" s="164">
        <v>0</v>
      </c>
      <c r="F391" s="164">
        <v>0</v>
      </c>
      <c r="G391" s="164">
        <v>0</v>
      </c>
      <c r="H391" s="211" t="e">
        <f t="shared" ref="H391:H405" si="2">G391/E391</f>
        <v>#DIV/0!</v>
      </c>
    </row>
    <row r="392" spans="1:8" ht="24.75" hidden="1" customHeight="1" x14ac:dyDescent="0.2">
      <c r="A392" s="565"/>
      <c r="B392" s="163" t="s">
        <v>613</v>
      </c>
      <c r="C392" s="164">
        <v>29282000</v>
      </c>
      <c r="D392" s="164">
        <v>29282000</v>
      </c>
      <c r="E392" s="164">
        <v>0</v>
      </c>
      <c r="F392" s="164">
        <v>0</v>
      </c>
      <c r="G392" s="164">
        <v>0</v>
      </c>
      <c r="H392" s="211" t="e">
        <f t="shared" si="2"/>
        <v>#DIV/0!</v>
      </c>
    </row>
    <row r="393" spans="1:8" ht="24.75" hidden="1" customHeight="1" x14ac:dyDescent="0.2">
      <c r="A393" s="565"/>
      <c r="B393" s="163" t="s">
        <v>611</v>
      </c>
      <c r="C393" s="164">
        <v>1187599500</v>
      </c>
      <c r="D393" s="164">
        <v>1187599500</v>
      </c>
      <c r="E393" s="164">
        <v>0</v>
      </c>
      <c r="F393" s="164">
        <v>0</v>
      </c>
      <c r="G393" s="164">
        <v>0</v>
      </c>
      <c r="H393" s="211" t="e">
        <f t="shared" si="2"/>
        <v>#DIV/0!</v>
      </c>
    </row>
    <row r="394" spans="1:8" ht="24.75" hidden="1" customHeight="1" x14ac:dyDescent="0.2">
      <c r="A394" s="565"/>
      <c r="B394" s="163" t="s">
        <v>611</v>
      </c>
      <c r="C394" s="164">
        <v>1630204500</v>
      </c>
      <c r="D394" s="164">
        <v>1630204500</v>
      </c>
      <c r="E394" s="164">
        <v>0</v>
      </c>
      <c r="F394" s="164">
        <v>0</v>
      </c>
      <c r="G394" s="164">
        <v>0</v>
      </c>
      <c r="H394" s="211" t="e">
        <f t="shared" si="2"/>
        <v>#DIV/0!</v>
      </c>
    </row>
    <row r="395" spans="1:8" ht="24.75" hidden="1" customHeight="1" x14ac:dyDescent="0.2">
      <c r="A395" s="565"/>
      <c r="B395" s="163" t="s">
        <v>611</v>
      </c>
      <c r="C395" s="164">
        <v>2834765500</v>
      </c>
      <c r="D395" s="164">
        <v>2834765500</v>
      </c>
      <c r="E395" s="164">
        <v>0</v>
      </c>
      <c r="F395" s="164">
        <v>0</v>
      </c>
      <c r="G395" s="164">
        <v>0</v>
      </c>
      <c r="H395" s="211" t="e">
        <f t="shared" si="2"/>
        <v>#DIV/0!</v>
      </c>
    </row>
    <row r="396" spans="1:8" ht="24.75" hidden="1" customHeight="1" x14ac:dyDescent="0.2">
      <c r="A396" s="565"/>
      <c r="B396" s="163" t="s">
        <v>611</v>
      </c>
      <c r="C396" s="164">
        <v>540599000</v>
      </c>
      <c r="D396" s="164">
        <v>540599000</v>
      </c>
      <c r="E396" s="164">
        <v>0</v>
      </c>
      <c r="F396" s="164">
        <v>0</v>
      </c>
      <c r="G396" s="164">
        <v>0</v>
      </c>
      <c r="H396" s="211" t="e">
        <f t="shared" si="2"/>
        <v>#DIV/0!</v>
      </c>
    </row>
    <row r="397" spans="1:8" ht="24.75" hidden="1" customHeight="1" x14ac:dyDescent="0.2">
      <c r="A397" s="566"/>
      <c r="B397" s="163" t="s">
        <v>611</v>
      </c>
      <c r="C397" s="164">
        <v>1722404500</v>
      </c>
      <c r="D397" s="164">
        <v>1722404500</v>
      </c>
      <c r="E397" s="164">
        <v>46330000</v>
      </c>
      <c r="F397" s="164">
        <v>46330000</v>
      </c>
      <c r="G397" s="164">
        <v>0</v>
      </c>
      <c r="H397" s="211">
        <f t="shared" si="2"/>
        <v>0</v>
      </c>
    </row>
    <row r="398" spans="1:8" ht="24.75" hidden="1" customHeight="1" x14ac:dyDescent="0.2">
      <c r="A398" s="564" t="s">
        <v>136</v>
      </c>
      <c r="B398" s="163" t="s">
        <v>611</v>
      </c>
      <c r="C398" s="164">
        <v>835827000</v>
      </c>
      <c r="D398" s="164">
        <v>835827000</v>
      </c>
      <c r="E398" s="164">
        <v>366737000</v>
      </c>
      <c r="F398" s="164">
        <v>366737000</v>
      </c>
      <c r="G398" s="164">
        <v>0</v>
      </c>
      <c r="H398" s="192">
        <f t="shared" si="2"/>
        <v>0</v>
      </c>
    </row>
    <row r="399" spans="1:8" ht="24.75" hidden="1" customHeight="1" x14ac:dyDescent="0.2">
      <c r="A399" s="565"/>
      <c r="B399" s="163" t="s">
        <v>611</v>
      </c>
      <c r="C399" s="164">
        <v>2638047000</v>
      </c>
      <c r="D399" s="164">
        <v>2638047000</v>
      </c>
      <c r="E399" s="164">
        <v>584274500</v>
      </c>
      <c r="F399" s="164">
        <v>584274500</v>
      </c>
      <c r="G399" s="164">
        <v>0</v>
      </c>
      <c r="H399" s="192">
        <f t="shared" si="2"/>
        <v>0</v>
      </c>
    </row>
    <row r="400" spans="1:8" ht="24.75" hidden="1" customHeight="1" x14ac:dyDescent="0.2">
      <c r="A400" s="565"/>
      <c r="B400" s="163" t="s">
        <v>612</v>
      </c>
      <c r="C400" s="164">
        <v>967153000</v>
      </c>
      <c r="D400" s="164">
        <v>756012257</v>
      </c>
      <c r="E400" s="164">
        <v>0</v>
      </c>
      <c r="F400" s="164">
        <v>0</v>
      </c>
      <c r="G400" s="164">
        <v>0</v>
      </c>
      <c r="H400" s="192" t="e">
        <f t="shared" si="2"/>
        <v>#DIV/0!</v>
      </c>
    </row>
    <row r="401" spans="1:8" ht="24.75" hidden="1" customHeight="1" x14ac:dyDescent="0.2">
      <c r="A401" s="565"/>
      <c r="B401" s="163" t="s">
        <v>613</v>
      </c>
      <c r="C401" s="164">
        <v>29282000</v>
      </c>
      <c r="D401" s="164">
        <v>240422743</v>
      </c>
      <c r="E401" s="164">
        <v>0</v>
      </c>
      <c r="F401" s="164">
        <v>0</v>
      </c>
      <c r="G401" s="164">
        <v>0</v>
      </c>
      <c r="H401" s="192" t="e">
        <f t="shared" si="2"/>
        <v>#DIV/0!</v>
      </c>
    </row>
    <row r="402" spans="1:8" ht="24.75" hidden="1" customHeight="1" x14ac:dyDescent="0.2">
      <c r="A402" s="565"/>
      <c r="B402" s="163" t="s">
        <v>611</v>
      </c>
      <c r="C402" s="164">
        <v>1187599500</v>
      </c>
      <c r="D402" s="164">
        <v>1187599500</v>
      </c>
      <c r="E402" s="164">
        <v>499703500</v>
      </c>
      <c r="F402" s="164">
        <v>499703500</v>
      </c>
      <c r="G402" s="164">
        <v>0</v>
      </c>
      <c r="H402" s="192">
        <f t="shared" si="2"/>
        <v>0</v>
      </c>
    </row>
    <row r="403" spans="1:8" ht="24.75" hidden="1" customHeight="1" x14ac:dyDescent="0.2">
      <c r="A403" s="565"/>
      <c r="B403" s="163" t="s">
        <v>611</v>
      </c>
      <c r="C403" s="164">
        <v>1630204500</v>
      </c>
      <c r="D403" s="164">
        <v>1630204500</v>
      </c>
      <c r="E403" s="164">
        <v>411740000</v>
      </c>
      <c r="F403" s="164">
        <v>411740000</v>
      </c>
      <c r="G403" s="164">
        <v>0</v>
      </c>
      <c r="H403" s="192">
        <f t="shared" si="2"/>
        <v>0</v>
      </c>
    </row>
    <row r="404" spans="1:8" ht="24.75" hidden="1" customHeight="1" x14ac:dyDescent="0.2">
      <c r="A404" s="565"/>
      <c r="B404" s="163" t="s">
        <v>611</v>
      </c>
      <c r="C404" s="164">
        <v>2834765500</v>
      </c>
      <c r="D404" s="164">
        <v>2834765500</v>
      </c>
      <c r="E404" s="164">
        <v>756020000</v>
      </c>
      <c r="F404" s="164">
        <v>756020000</v>
      </c>
      <c r="G404" s="164">
        <v>0</v>
      </c>
      <c r="H404" s="192">
        <f t="shared" si="2"/>
        <v>0</v>
      </c>
    </row>
    <row r="405" spans="1:8" ht="24.75" hidden="1" customHeight="1" x14ac:dyDescent="0.2">
      <c r="A405" s="565"/>
      <c r="B405" s="163" t="s">
        <v>611</v>
      </c>
      <c r="C405" s="164">
        <v>540599000</v>
      </c>
      <c r="D405" s="164">
        <v>540599000</v>
      </c>
      <c r="E405" s="164">
        <v>183154500</v>
      </c>
      <c r="F405" s="164">
        <v>183154500</v>
      </c>
      <c r="G405" s="164">
        <v>0</v>
      </c>
      <c r="H405" s="192">
        <f t="shared" si="2"/>
        <v>0</v>
      </c>
    </row>
    <row r="406" spans="1:8" ht="24.75" hidden="1" customHeight="1" x14ac:dyDescent="0.2">
      <c r="A406" s="566"/>
      <c r="B406" s="163" t="s">
        <v>611</v>
      </c>
      <c r="C406" s="164">
        <v>1722404500</v>
      </c>
      <c r="D406" s="164">
        <v>1722404500</v>
      </c>
      <c r="E406" s="164">
        <v>446430000</v>
      </c>
      <c r="F406" s="164">
        <v>446430000</v>
      </c>
      <c r="G406" s="164">
        <v>0</v>
      </c>
      <c r="H406" s="192">
        <f>G406/E406</f>
        <v>0</v>
      </c>
    </row>
    <row r="407" spans="1:8" ht="24.75" hidden="1" customHeight="1" x14ac:dyDescent="0.2">
      <c r="A407" s="564" t="s">
        <v>137</v>
      </c>
      <c r="B407" s="163" t="s">
        <v>611</v>
      </c>
      <c r="C407" s="164">
        <v>835827000</v>
      </c>
      <c r="D407" s="164">
        <v>835827000</v>
      </c>
      <c r="E407" s="164">
        <v>691465000</v>
      </c>
      <c r="F407" s="164">
        <v>691465000</v>
      </c>
      <c r="G407" s="164">
        <v>16333866</v>
      </c>
      <c r="H407" s="192">
        <f t="shared" ref="H407:H414" si="3">G407/E407</f>
        <v>2.3622115363756663E-2</v>
      </c>
    </row>
    <row r="408" spans="1:8" ht="24.75" hidden="1" customHeight="1" x14ac:dyDescent="0.2">
      <c r="A408" s="565"/>
      <c r="B408" s="163" t="s">
        <v>611</v>
      </c>
      <c r="C408" s="164">
        <v>2638047000</v>
      </c>
      <c r="D408" s="164">
        <v>2626047000</v>
      </c>
      <c r="E408" s="164">
        <v>1329272000</v>
      </c>
      <c r="F408" s="164">
        <v>1329272000</v>
      </c>
      <c r="G408" s="164">
        <v>31425433</v>
      </c>
      <c r="H408" s="192">
        <f t="shared" si="3"/>
        <v>2.3641085496422101E-2</v>
      </c>
    </row>
    <row r="409" spans="1:8" ht="24.75" hidden="1" customHeight="1" x14ac:dyDescent="0.2">
      <c r="A409" s="565"/>
      <c r="B409" s="163" t="s">
        <v>612</v>
      </c>
      <c r="C409" s="164">
        <v>967153000</v>
      </c>
      <c r="D409" s="164">
        <v>756012257</v>
      </c>
      <c r="E409" s="164">
        <v>0</v>
      </c>
      <c r="F409" s="164">
        <v>0</v>
      </c>
      <c r="G409" s="164">
        <v>0</v>
      </c>
      <c r="H409" s="192" t="e">
        <f>G409/E409</f>
        <v>#DIV/0!</v>
      </c>
    </row>
    <row r="410" spans="1:8" ht="24.75" hidden="1" customHeight="1" x14ac:dyDescent="0.2">
      <c r="A410" s="565"/>
      <c r="B410" s="163" t="s">
        <v>613</v>
      </c>
      <c r="C410" s="164">
        <v>29282000</v>
      </c>
      <c r="D410" s="164">
        <v>240422743</v>
      </c>
      <c r="E410" s="164">
        <v>0</v>
      </c>
      <c r="F410" s="164">
        <v>0</v>
      </c>
      <c r="G410" s="164">
        <v>0</v>
      </c>
      <c r="H410" s="192" t="e">
        <f>G410/E410</f>
        <v>#DIV/0!</v>
      </c>
    </row>
    <row r="411" spans="1:8" ht="24.75" hidden="1" customHeight="1" x14ac:dyDescent="0.2">
      <c r="A411" s="565"/>
      <c r="B411" s="163" t="s">
        <v>611</v>
      </c>
      <c r="C411" s="164">
        <v>1187599500</v>
      </c>
      <c r="D411" s="164">
        <v>1187599500</v>
      </c>
      <c r="E411" s="164">
        <v>957552500</v>
      </c>
      <c r="F411" s="164">
        <v>957552500</v>
      </c>
      <c r="G411" s="164">
        <v>20523200</v>
      </c>
      <c r="H411" s="192">
        <f t="shared" si="3"/>
        <v>2.1432976259787323E-2</v>
      </c>
    </row>
    <row r="412" spans="1:8" ht="24.75" hidden="1" customHeight="1" x14ac:dyDescent="0.2">
      <c r="A412" s="565"/>
      <c r="B412" s="163" t="s">
        <v>611</v>
      </c>
      <c r="C412" s="164">
        <v>1630204500</v>
      </c>
      <c r="D412" s="164">
        <v>1630204500</v>
      </c>
      <c r="E412" s="164">
        <v>1268093500</v>
      </c>
      <c r="F412" s="164">
        <v>1268093500</v>
      </c>
      <c r="G412" s="164">
        <v>10565366</v>
      </c>
      <c r="H412" s="192">
        <f t="shared" si="3"/>
        <v>8.3316932071649287E-3</v>
      </c>
    </row>
    <row r="413" spans="1:8" ht="24.75" hidden="1" customHeight="1" x14ac:dyDescent="0.2">
      <c r="A413" s="565"/>
      <c r="B413" s="163" t="s">
        <v>611</v>
      </c>
      <c r="C413" s="164">
        <v>2834765500</v>
      </c>
      <c r="D413" s="164">
        <v>2834765500</v>
      </c>
      <c r="E413" s="164">
        <v>2050885000</v>
      </c>
      <c r="F413" s="164">
        <v>2050885000</v>
      </c>
      <c r="G413" s="164">
        <v>12747000</v>
      </c>
      <c r="H413" s="192">
        <f t="shared" si="3"/>
        <v>6.2153655616965361E-3</v>
      </c>
    </row>
    <row r="414" spans="1:8" ht="24.75" hidden="1" customHeight="1" x14ac:dyDescent="0.2">
      <c r="A414" s="565"/>
      <c r="B414" s="163" t="s">
        <v>611</v>
      </c>
      <c r="C414" s="164">
        <v>540599000</v>
      </c>
      <c r="D414" s="164">
        <v>540599000</v>
      </c>
      <c r="E414" s="164">
        <v>420858043</v>
      </c>
      <c r="F414" s="164">
        <v>420858043</v>
      </c>
      <c r="G414" s="164">
        <v>9010633</v>
      </c>
      <c r="H414" s="192">
        <f t="shared" si="3"/>
        <v>2.1410148029415231E-2</v>
      </c>
    </row>
    <row r="415" spans="1:8" ht="24.75" hidden="1" customHeight="1" x14ac:dyDescent="0.2">
      <c r="A415" s="566"/>
      <c r="B415" s="163" t="s">
        <v>611</v>
      </c>
      <c r="C415" s="164">
        <v>1722404500</v>
      </c>
      <c r="D415" s="164">
        <v>1734404500</v>
      </c>
      <c r="E415" s="164">
        <v>753613000</v>
      </c>
      <c r="F415" s="164">
        <v>753613000</v>
      </c>
      <c r="G415" s="164">
        <v>28638634</v>
      </c>
      <c r="H415" s="192">
        <f>G415/E415</f>
        <v>3.8001778100961635E-2</v>
      </c>
    </row>
    <row r="416" spans="1:8" ht="24.75" hidden="1" customHeight="1" x14ac:dyDescent="0.2">
      <c r="A416" s="564" t="s">
        <v>138</v>
      </c>
      <c r="B416" s="163" t="s">
        <v>611</v>
      </c>
      <c r="C416" s="164">
        <v>835827000</v>
      </c>
      <c r="D416" s="164">
        <v>835827000</v>
      </c>
      <c r="E416" s="164">
        <v>713657000</v>
      </c>
      <c r="F416" s="164">
        <v>713657000</v>
      </c>
      <c r="G416" s="164">
        <v>69824066</v>
      </c>
      <c r="H416" s="192">
        <f t="shared" ref="H416:H423" si="4">G416/E416</f>
        <v>9.7839811001643642E-2</v>
      </c>
    </row>
    <row r="417" spans="1:8" ht="24.75" hidden="1" customHeight="1" x14ac:dyDescent="0.2">
      <c r="A417" s="565"/>
      <c r="B417" s="163" t="s">
        <v>611</v>
      </c>
      <c r="C417" s="164">
        <v>2638047000</v>
      </c>
      <c r="D417" s="164">
        <v>2626047000</v>
      </c>
      <c r="E417" s="164">
        <v>1489212500</v>
      </c>
      <c r="F417" s="164">
        <v>1489212500</v>
      </c>
      <c r="G417" s="164">
        <v>121928199</v>
      </c>
      <c r="H417" s="192">
        <f t="shared" si="4"/>
        <v>8.1874278519687413E-2</v>
      </c>
    </row>
    <row r="418" spans="1:8" ht="24.75" hidden="1" customHeight="1" x14ac:dyDescent="0.2">
      <c r="A418" s="565"/>
      <c r="B418" s="186" t="s">
        <v>336</v>
      </c>
      <c r="C418" s="164">
        <v>967153000</v>
      </c>
      <c r="D418" s="164">
        <v>756012257</v>
      </c>
      <c r="E418" s="164">
        <v>0</v>
      </c>
      <c r="F418" s="164">
        <v>0</v>
      </c>
      <c r="G418" s="164">
        <v>0</v>
      </c>
      <c r="H418" s="192" t="e">
        <f t="shared" si="4"/>
        <v>#DIV/0!</v>
      </c>
    </row>
    <row r="419" spans="1:8" ht="24.75" hidden="1" customHeight="1" x14ac:dyDescent="0.2">
      <c r="A419" s="565"/>
      <c r="B419" s="163" t="s">
        <v>613</v>
      </c>
      <c r="C419" s="164">
        <v>29282000</v>
      </c>
      <c r="D419" s="164">
        <v>240422743</v>
      </c>
      <c r="E419" s="164">
        <v>0</v>
      </c>
      <c r="F419" s="164">
        <v>0</v>
      </c>
      <c r="G419" s="164">
        <v>0</v>
      </c>
      <c r="H419" s="192" t="e">
        <f t="shared" si="4"/>
        <v>#DIV/0!</v>
      </c>
    </row>
    <row r="420" spans="1:8" ht="24.75" hidden="1" customHeight="1" x14ac:dyDescent="0.2">
      <c r="A420" s="565"/>
      <c r="B420" s="163" t="s">
        <v>611</v>
      </c>
      <c r="C420" s="164">
        <v>1187599500</v>
      </c>
      <c r="D420" s="164">
        <v>1187599500</v>
      </c>
      <c r="E420" s="164">
        <v>1033691000</v>
      </c>
      <c r="F420" s="164">
        <v>1033691000</v>
      </c>
      <c r="G420" s="164">
        <v>98603405.313861847</v>
      </c>
      <c r="H420" s="192">
        <f t="shared" si="4"/>
        <v>9.5389633182316427E-2</v>
      </c>
    </row>
    <row r="421" spans="1:8" ht="24.75" hidden="1" customHeight="1" x14ac:dyDescent="0.2">
      <c r="A421" s="565"/>
      <c r="B421" s="163" t="s">
        <v>611</v>
      </c>
      <c r="C421" s="164">
        <v>1630204500</v>
      </c>
      <c r="D421" s="164">
        <v>1630204500</v>
      </c>
      <c r="E421" s="164">
        <v>1456148500</v>
      </c>
      <c r="F421" s="164">
        <v>1456148500</v>
      </c>
      <c r="G421" s="164">
        <v>89124533</v>
      </c>
      <c r="H421" s="192">
        <f t="shared" si="4"/>
        <v>6.1205662059879193E-2</v>
      </c>
    </row>
    <row r="422" spans="1:8" ht="24.75" hidden="1" customHeight="1" x14ac:dyDescent="0.2">
      <c r="A422" s="565"/>
      <c r="B422" s="163" t="s">
        <v>611</v>
      </c>
      <c r="C422" s="164">
        <v>2834765500</v>
      </c>
      <c r="D422" s="164">
        <v>2834765500</v>
      </c>
      <c r="E422" s="164">
        <v>2146184000</v>
      </c>
      <c r="F422" s="164">
        <v>2146184000</v>
      </c>
      <c r="G422" s="164">
        <v>133954810.39871383</v>
      </c>
      <c r="H422" s="192">
        <f t="shared" si="4"/>
        <v>6.2415342952288261E-2</v>
      </c>
    </row>
    <row r="423" spans="1:8" ht="24.75" hidden="1" customHeight="1" x14ac:dyDescent="0.2">
      <c r="A423" s="565"/>
      <c r="B423" s="163" t="s">
        <v>611</v>
      </c>
      <c r="C423" s="164">
        <v>540599000</v>
      </c>
      <c r="D423" s="164">
        <v>540599000</v>
      </c>
      <c r="E423" s="164">
        <v>444818944</v>
      </c>
      <c r="F423" s="164">
        <v>444818944</v>
      </c>
      <c r="G423" s="164">
        <v>28378733</v>
      </c>
      <c r="H423" s="192">
        <f t="shared" si="4"/>
        <v>6.37983911944182E-2</v>
      </c>
    </row>
    <row r="424" spans="1:8" ht="24.75" hidden="1" customHeight="1" x14ac:dyDescent="0.2">
      <c r="A424" s="566"/>
      <c r="B424" s="163" t="s">
        <v>611</v>
      </c>
      <c r="C424" s="164">
        <v>1722404500</v>
      </c>
      <c r="D424" s="164">
        <v>1734404500</v>
      </c>
      <c r="E424" s="164">
        <v>890603000</v>
      </c>
      <c r="F424" s="164">
        <v>890603000</v>
      </c>
      <c r="G424" s="164">
        <v>110194475.28742433</v>
      </c>
      <c r="H424" s="192">
        <f>G424/E424</f>
        <v>0.12373018649996051</v>
      </c>
    </row>
    <row r="425" spans="1:8" ht="24.75" hidden="1" customHeight="1" x14ac:dyDescent="0.2">
      <c r="A425" s="564" t="s">
        <v>139</v>
      </c>
      <c r="B425" s="163" t="s">
        <v>611</v>
      </c>
      <c r="C425" s="164">
        <v>835827000</v>
      </c>
      <c r="D425" s="164">
        <v>835827000</v>
      </c>
      <c r="E425" s="164">
        <v>713657000</v>
      </c>
      <c r="F425" s="164">
        <v>713657000</v>
      </c>
      <c r="G425" s="164">
        <v>137340199</v>
      </c>
      <c r="H425" s="192">
        <f>G425/E425</f>
        <v>0.19244566927809859</v>
      </c>
    </row>
    <row r="426" spans="1:8" ht="24.75" hidden="1" customHeight="1" x14ac:dyDescent="0.2">
      <c r="A426" s="565"/>
      <c r="B426" s="163" t="s">
        <v>611</v>
      </c>
      <c r="C426" s="164">
        <v>2638047000</v>
      </c>
      <c r="D426" s="164">
        <v>2626047000</v>
      </c>
      <c r="E426" s="164">
        <v>1639198000</v>
      </c>
      <c r="F426" s="164">
        <v>1639198000</v>
      </c>
      <c r="G426" s="164">
        <v>259673999</v>
      </c>
      <c r="H426" s="192">
        <f t="shared" ref="H426:H432" si="5">G426/E426</f>
        <v>0.15841527320067497</v>
      </c>
    </row>
    <row r="427" spans="1:8" ht="24.75" hidden="1" customHeight="1" x14ac:dyDescent="0.2">
      <c r="A427" s="565"/>
      <c r="B427" s="163" t="s">
        <v>612</v>
      </c>
      <c r="C427" s="164">
        <v>967153000</v>
      </c>
      <c r="D427" s="164">
        <v>756012257</v>
      </c>
      <c r="E427" s="164">
        <v>0</v>
      </c>
      <c r="F427" s="164">
        <v>0</v>
      </c>
      <c r="G427" s="164">
        <v>0</v>
      </c>
      <c r="H427" s="192" t="e">
        <f t="shared" si="5"/>
        <v>#DIV/0!</v>
      </c>
    </row>
    <row r="428" spans="1:8" ht="24.75" hidden="1" customHeight="1" x14ac:dyDescent="0.2">
      <c r="A428" s="565"/>
      <c r="B428" s="163" t="s">
        <v>613</v>
      </c>
      <c r="C428" s="164">
        <v>29282000</v>
      </c>
      <c r="D428" s="164">
        <v>240422743</v>
      </c>
      <c r="E428" s="164">
        <v>0</v>
      </c>
      <c r="F428" s="164">
        <v>0</v>
      </c>
      <c r="G428" s="164">
        <v>0</v>
      </c>
      <c r="H428" s="192" t="e">
        <f t="shared" si="5"/>
        <v>#DIV/0!</v>
      </c>
    </row>
    <row r="429" spans="1:8" ht="24.75" hidden="1" customHeight="1" x14ac:dyDescent="0.2">
      <c r="A429" s="565"/>
      <c r="B429" s="163" t="s">
        <v>611</v>
      </c>
      <c r="C429" s="164">
        <v>1187599500</v>
      </c>
      <c r="D429" s="164">
        <v>1187599500</v>
      </c>
      <c r="E429" s="164">
        <v>1057771000</v>
      </c>
      <c r="F429" s="164">
        <v>1057771000</v>
      </c>
      <c r="G429" s="164">
        <v>200589054.91979602</v>
      </c>
      <c r="H429" s="192">
        <f t="shared" si="5"/>
        <v>0.1896337249932131</v>
      </c>
    </row>
    <row r="430" spans="1:8" ht="24.75" hidden="1" customHeight="1" x14ac:dyDescent="0.2">
      <c r="A430" s="565"/>
      <c r="B430" s="163" t="s">
        <v>611</v>
      </c>
      <c r="C430" s="164">
        <v>1630204500</v>
      </c>
      <c r="D430" s="164">
        <v>1630204500</v>
      </c>
      <c r="E430" s="164">
        <v>1499381500</v>
      </c>
      <c r="F430" s="164">
        <v>1499381500</v>
      </c>
      <c r="G430" s="164">
        <v>230987501</v>
      </c>
      <c r="H430" s="192">
        <f t="shared" si="5"/>
        <v>0.15405518942310545</v>
      </c>
    </row>
    <row r="431" spans="1:8" ht="24.75" hidden="1" customHeight="1" x14ac:dyDescent="0.2">
      <c r="A431" s="565"/>
      <c r="B431" s="163" t="s">
        <v>611</v>
      </c>
      <c r="C431" s="164">
        <v>2834765500</v>
      </c>
      <c r="D431" s="164">
        <v>2834765500</v>
      </c>
      <c r="E431" s="164">
        <v>2238680695</v>
      </c>
      <c r="F431" s="164">
        <v>2238680695</v>
      </c>
      <c r="G431" s="164">
        <v>366131981.33118969</v>
      </c>
      <c r="H431" s="192">
        <f t="shared" si="5"/>
        <v>0.16354810319708846</v>
      </c>
    </row>
    <row r="432" spans="1:8" ht="24.75" hidden="1" customHeight="1" x14ac:dyDescent="0.2">
      <c r="A432" s="565"/>
      <c r="B432" s="163" t="s">
        <v>611</v>
      </c>
      <c r="C432" s="164">
        <v>540599000</v>
      </c>
      <c r="D432" s="164">
        <v>540599000</v>
      </c>
      <c r="E432" s="164">
        <v>444818944</v>
      </c>
      <c r="F432" s="164">
        <v>444818944</v>
      </c>
      <c r="G432" s="164">
        <v>69986967</v>
      </c>
      <c r="H432" s="192">
        <f t="shared" si="5"/>
        <v>0.15733809889175943</v>
      </c>
    </row>
    <row r="433" spans="1:8" ht="24.75" hidden="1" customHeight="1" x14ac:dyDescent="0.2">
      <c r="A433" s="566"/>
      <c r="B433" s="163" t="s">
        <v>611</v>
      </c>
      <c r="C433" s="164">
        <v>1722404500</v>
      </c>
      <c r="D433" s="164">
        <v>1734404500</v>
      </c>
      <c r="E433" s="164">
        <v>921907000</v>
      </c>
      <c r="F433" s="164">
        <v>921907000</v>
      </c>
      <c r="G433" s="164">
        <v>200099220.74901426</v>
      </c>
      <c r="H433" s="192">
        <f>G433/E433</f>
        <v>0.21704924764538533</v>
      </c>
    </row>
    <row r="434" spans="1:8" ht="24.75" hidden="1" customHeight="1" x14ac:dyDescent="0.2">
      <c r="A434" s="564" t="s">
        <v>684</v>
      </c>
      <c r="B434" s="163" t="s">
        <v>611</v>
      </c>
      <c r="C434" s="164">
        <v>835827000</v>
      </c>
      <c r="D434" s="164">
        <v>835827000</v>
      </c>
      <c r="E434" s="164">
        <v>725843000</v>
      </c>
      <c r="F434" s="164">
        <v>725843000</v>
      </c>
      <c r="G434" s="164">
        <v>205660499</v>
      </c>
      <c r="H434" s="192">
        <f>G434/E434</f>
        <v>0.28334019753583073</v>
      </c>
    </row>
    <row r="435" spans="1:8" ht="24.75" hidden="1" customHeight="1" x14ac:dyDescent="0.2">
      <c r="A435" s="565"/>
      <c r="B435" s="163" t="s">
        <v>611</v>
      </c>
      <c r="C435" s="164">
        <v>2638047000</v>
      </c>
      <c r="D435" s="164">
        <v>2627047000</v>
      </c>
      <c r="E435" s="164">
        <v>1750940398</v>
      </c>
      <c r="F435" s="164">
        <v>1750940398</v>
      </c>
      <c r="G435" s="164">
        <v>409871664</v>
      </c>
      <c r="H435" s="192">
        <f t="shared" ref="H435:H450" si="6">G435/E435</f>
        <v>0.23408658825176071</v>
      </c>
    </row>
    <row r="436" spans="1:8" ht="24.75" hidden="1" customHeight="1" x14ac:dyDescent="0.2">
      <c r="A436" s="565"/>
      <c r="B436" s="163" t="s">
        <v>612</v>
      </c>
      <c r="C436" s="164">
        <v>967153000</v>
      </c>
      <c r="D436" s="164">
        <v>756012257</v>
      </c>
      <c r="E436" s="164">
        <v>26454000</v>
      </c>
      <c r="F436" s="164">
        <v>26454000</v>
      </c>
      <c r="G436" s="164">
        <v>0</v>
      </c>
      <c r="H436" s="192">
        <f t="shared" si="6"/>
        <v>0</v>
      </c>
    </row>
    <row r="437" spans="1:8" ht="24.75" hidden="1" customHeight="1" x14ac:dyDescent="0.2">
      <c r="A437" s="565"/>
      <c r="B437" s="163" t="s">
        <v>613</v>
      </c>
      <c r="C437" s="164">
        <v>29282000</v>
      </c>
      <c r="D437" s="164">
        <v>240422743</v>
      </c>
      <c r="E437" s="164">
        <v>0</v>
      </c>
      <c r="F437" s="164">
        <v>0</v>
      </c>
      <c r="G437" s="164">
        <v>0</v>
      </c>
      <c r="H437" s="192" t="e">
        <f t="shared" si="6"/>
        <v>#DIV/0!</v>
      </c>
    </row>
    <row r="438" spans="1:8" ht="24.75" hidden="1" customHeight="1" x14ac:dyDescent="0.2">
      <c r="A438" s="565"/>
      <c r="B438" s="163" t="s">
        <v>611</v>
      </c>
      <c r="C438" s="164">
        <v>1187599500</v>
      </c>
      <c r="D438" s="164">
        <v>1187599500</v>
      </c>
      <c r="E438" s="164">
        <v>1033289666</v>
      </c>
      <c r="F438" s="164">
        <v>1033289666</v>
      </c>
      <c r="G438" s="164">
        <v>315863329.32869726</v>
      </c>
      <c r="H438" s="192">
        <f t="shared" si="6"/>
        <v>0.3056871076156657</v>
      </c>
    </row>
    <row r="439" spans="1:8" ht="24.75" hidden="1" customHeight="1" x14ac:dyDescent="0.2">
      <c r="A439" s="565"/>
      <c r="B439" s="163" t="s">
        <v>611</v>
      </c>
      <c r="C439" s="164">
        <v>1630204500</v>
      </c>
      <c r="D439" s="164">
        <v>1630204500</v>
      </c>
      <c r="E439" s="164">
        <v>1517441500</v>
      </c>
      <c r="F439" s="164">
        <v>1517441500</v>
      </c>
      <c r="G439" s="164">
        <v>351103201</v>
      </c>
      <c r="H439" s="192">
        <f t="shared" si="6"/>
        <v>0.23137840964544598</v>
      </c>
    </row>
    <row r="440" spans="1:8" ht="24.75" hidden="1" customHeight="1" x14ac:dyDescent="0.2">
      <c r="A440" s="565"/>
      <c r="B440" s="163" t="s">
        <v>611</v>
      </c>
      <c r="C440" s="164">
        <v>2834765500</v>
      </c>
      <c r="D440" s="164">
        <v>2834765500</v>
      </c>
      <c r="E440" s="164">
        <v>2560103695</v>
      </c>
      <c r="F440" s="164">
        <v>2560103695</v>
      </c>
      <c r="G440" s="164">
        <v>551337552.26366568</v>
      </c>
      <c r="H440" s="192">
        <f t="shared" si="6"/>
        <v>0.21535750811205548</v>
      </c>
    </row>
    <row r="441" spans="1:8" ht="24.75" hidden="1" customHeight="1" x14ac:dyDescent="0.2">
      <c r="A441" s="565"/>
      <c r="B441" s="163" t="s">
        <v>611</v>
      </c>
      <c r="C441" s="164">
        <v>540599000</v>
      </c>
      <c r="D441" s="164">
        <v>540599000</v>
      </c>
      <c r="E441" s="164">
        <v>444818944</v>
      </c>
      <c r="F441" s="164">
        <v>444818944</v>
      </c>
      <c r="G441" s="164">
        <v>114670967</v>
      </c>
      <c r="H441" s="192">
        <f t="shared" si="6"/>
        <v>0.25779245364154274</v>
      </c>
    </row>
    <row r="442" spans="1:8" ht="24.75" hidden="1" customHeight="1" x14ac:dyDescent="0.2">
      <c r="A442" s="566"/>
      <c r="B442" s="163" t="s">
        <v>611</v>
      </c>
      <c r="C442" s="164">
        <v>1722404500</v>
      </c>
      <c r="D442" s="164">
        <v>1733404500</v>
      </c>
      <c r="E442" s="164">
        <v>921907000</v>
      </c>
      <c r="F442" s="164">
        <v>921907000</v>
      </c>
      <c r="G442" s="164">
        <v>282378446.40763712</v>
      </c>
      <c r="H442" s="192">
        <f t="shared" si="6"/>
        <v>0.30629819104056821</v>
      </c>
    </row>
    <row r="443" spans="1:8" ht="24.75" hidden="1" customHeight="1" x14ac:dyDescent="0.2">
      <c r="A443" s="564" t="s">
        <v>686</v>
      </c>
      <c r="B443" s="228" t="s">
        <v>611</v>
      </c>
      <c r="C443" s="229">
        <v>835827000</v>
      </c>
      <c r="D443" s="229">
        <v>835827000</v>
      </c>
      <c r="E443" s="229">
        <v>753209000</v>
      </c>
      <c r="F443" s="229">
        <v>753209000</v>
      </c>
      <c r="G443" s="229">
        <v>292931266</v>
      </c>
      <c r="H443" s="230">
        <f t="shared" si="6"/>
        <v>0.38891100079791929</v>
      </c>
    </row>
    <row r="444" spans="1:8" ht="24.75" hidden="1" customHeight="1" x14ac:dyDescent="0.2">
      <c r="A444" s="565"/>
      <c r="B444" s="228" t="s">
        <v>611</v>
      </c>
      <c r="C444" s="229">
        <v>2638047000</v>
      </c>
      <c r="D444" s="229">
        <v>2590579500</v>
      </c>
      <c r="E444" s="229">
        <v>1751666178</v>
      </c>
      <c r="F444" s="229">
        <v>1751666178</v>
      </c>
      <c r="G444" s="229">
        <v>590508044</v>
      </c>
      <c r="H444" s="230">
        <f t="shared" si="6"/>
        <v>0.33711220289371824</v>
      </c>
    </row>
    <row r="445" spans="1:8" ht="24.75" hidden="1" customHeight="1" x14ac:dyDescent="0.2">
      <c r="A445" s="565"/>
      <c r="B445" s="228" t="s">
        <v>612</v>
      </c>
      <c r="C445" s="229">
        <v>967153000</v>
      </c>
      <c r="D445" s="229">
        <v>756012257</v>
      </c>
      <c r="E445" s="229">
        <v>26454000</v>
      </c>
      <c r="F445" s="229">
        <v>26454000</v>
      </c>
      <c r="G445" s="229">
        <v>2057533</v>
      </c>
      <c r="H445" s="230">
        <f t="shared" si="6"/>
        <v>7.7777765177288877E-2</v>
      </c>
    </row>
    <row r="446" spans="1:8" ht="24.75" hidden="1" customHeight="1" x14ac:dyDescent="0.2">
      <c r="A446" s="565"/>
      <c r="B446" s="228" t="s">
        <v>613</v>
      </c>
      <c r="C446" s="229">
        <v>29282000</v>
      </c>
      <c r="D446" s="229">
        <v>240422743</v>
      </c>
      <c r="E446" s="229">
        <v>0</v>
      </c>
      <c r="F446" s="229">
        <v>0</v>
      </c>
      <c r="G446" s="229">
        <v>0</v>
      </c>
      <c r="H446" s="230" t="e">
        <f t="shared" si="6"/>
        <v>#DIV/0!</v>
      </c>
    </row>
    <row r="447" spans="1:8" ht="24.75" hidden="1" customHeight="1" x14ac:dyDescent="0.2">
      <c r="A447" s="565"/>
      <c r="B447" s="228" t="s">
        <v>611</v>
      </c>
      <c r="C447" s="229">
        <v>1187599500</v>
      </c>
      <c r="D447" s="229">
        <v>1163612666</v>
      </c>
      <c r="E447" s="229">
        <v>1066399666</v>
      </c>
      <c r="F447" s="229">
        <v>1066399666</v>
      </c>
      <c r="G447" s="229">
        <v>421036689.72786278</v>
      </c>
      <c r="H447" s="230">
        <f t="shared" si="6"/>
        <v>0.39482072542946839</v>
      </c>
    </row>
    <row r="448" spans="1:8" ht="24.75" hidden="1" customHeight="1" x14ac:dyDescent="0.2">
      <c r="A448" s="565"/>
      <c r="B448" s="228" t="s">
        <v>611</v>
      </c>
      <c r="C448" s="229">
        <v>1630204500</v>
      </c>
      <c r="D448" s="229">
        <v>1594299000</v>
      </c>
      <c r="E448" s="229">
        <v>1517441500</v>
      </c>
      <c r="F448" s="229">
        <v>1517441500</v>
      </c>
      <c r="G448" s="229">
        <v>504237801</v>
      </c>
      <c r="H448" s="230">
        <f t="shared" si="6"/>
        <v>0.33229472174050861</v>
      </c>
    </row>
    <row r="449" spans="1:8" ht="24.75" hidden="1" customHeight="1" x14ac:dyDescent="0.2">
      <c r="A449" s="565"/>
      <c r="B449" s="228" t="s">
        <v>611</v>
      </c>
      <c r="C449" s="229">
        <v>2834765500</v>
      </c>
      <c r="D449" s="229">
        <v>2917453000</v>
      </c>
      <c r="E449" s="229">
        <v>2560103695</v>
      </c>
      <c r="F449" s="229">
        <v>2560103695</v>
      </c>
      <c r="G449" s="229">
        <v>801735056.19614148</v>
      </c>
      <c r="H449" s="230">
        <f t="shared" si="6"/>
        <v>0.3131650713062783</v>
      </c>
    </row>
    <row r="450" spans="1:8" ht="24.75" hidden="1" customHeight="1" x14ac:dyDescent="0.2">
      <c r="A450" s="565"/>
      <c r="B450" s="228" t="s">
        <v>611</v>
      </c>
      <c r="C450" s="229">
        <v>540599000</v>
      </c>
      <c r="D450" s="229">
        <v>540599000</v>
      </c>
      <c r="E450" s="229">
        <v>481666944</v>
      </c>
      <c r="F450" s="229">
        <v>481666944</v>
      </c>
      <c r="G450" s="229">
        <v>159354967</v>
      </c>
      <c r="H450" s="230">
        <f t="shared" si="6"/>
        <v>0.33084057144681284</v>
      </c>
    </row>
    <row r="451" spans="1:8" ht="24.75" hidden="1" customHeight="1" x14ac:dyDescent="0.2">
      <c r="A451" s="566"/>
      <c r="B451" s="228" t="s">
        <v>611</v>
      </c>
      <c r="C451" s="229">
        <v>1722404500</v>
      </c>
      <c r="D451" s="229">
        <v>1747076834</v>
      </c>
      <c r="E451" s="229">
        <v>921907000</v>
      </c>
      <c r="F451" s="229">
        <v>921907000</v>
      </c>
      <c r="G451" s="229">
        <v>380610827.07599574</v>
      </c>
      <c r="H451" s="230">
        <f>G451/E451</f>
        <v>0.41285165106241273</v>
      </c>
    </row>
    <row r="452" spans="1:8" ht="24.75" hidden="1" customHeight="1" x14ac:dyDescent="0.2">
      <c r="A452" s="564" t="s">
        <v>688</v>
      </c>
      <c r="B452" s="228" t="s">
        <v>611</v>
      </c>
      <c r="C452" s="229">
        <v>835827000</v>
      </c>
      <c r="D452" s="229">
        <v>809640000</v>
      </c>
      <c r="E452" s="229">
        <v>753209000</v>
      </c>
      <c r="F452" s="229">
        <v>753209000</v>
      </c>
      <c r="G452" s="229">
        <v>377647666</v>
      </c>
      <c r="H452" s="230">
        <f t="shared" ref="H452:H461" si="7">G452/E452</f>
        <v>0.50138496220836448</v>
      </c>
    </row>
    <row r="453" spans="1:8" ht="24.75" hidden="1" customHeight="1" x14ac:dyDescent="0.2">
      <c r="A453" s="565"/>
      <c r="B453" s="228" t="s">
        <v>611</v>
      </c>
      <c r="C453" s="229">
        <v>2638047000</v>
      </c>
      <c r="D453" s="229">
        <v>2533721000</v>
      </c>
      <c r="E453" s="229">
        <v>1752391958</v>
      </c>
      <c r="F453" s="229">
        <v>1752391958</v>
      </c>
      <c r="G453" s="229">
        <v>783211091</v>
      </c>
      <c r="H453" s="230">
        <f t="shared" si="7"/>
        <v>0.44693830476937169</v>
      </c>
    </row>
    <row r="454" spans="1:8" ht="24.75" hidden="1" customHeight="1" x14ac:dyDescent="0.2">
      <c r="A454" s="565"/>
      <c r="B454" s="228" t="s">
        <v>612</v>
      </c>
      <c r="C454" s="229">
        <v>967153000</v>
      </c>
      <c r="D454" s="229">
        <v>756012257</v>
      </c>
      <c r="E454" s="229">
        <v>26454000</v>
      </c>
      <c r="F454" s="229">
        <v>26454000</v>
      </c>
      <c r="G454" s="229">
        <v>2057533</v>
      </c>
      <c r="H454" s="230">
        <f t="shared" si="7"/>
        <v>7.7777765177288877E-2</v>
      </c>
    </row>
    <row r="455" spans="1:8" ht="24.75" hidden="1" customHeight="1" x14ac:dyDescent="0.2">
      <c r="A455" s="565"/>
      <c r="B455" s="228" t="s">
        <v>613</v>
      </c>
      <c r="C455" s="229">
        <v>29282000</v>
      </c>
      <c r="D455" s="229">
        <v>240422743</v>
      </c>
      <c r="E455" s="229">
        <v>0</v>
      </c>
      <c r="F455" s="229">
        <v>0</v>
      </c>
      <c r="G455" s="229">
        <v>0</v>
      </c>
      <c r="H455" s="230" t="e">
        <f t="shared" si="7"/>
        <v>#DIV/0!</v>
      </c>
    </row>
    <row r="456" spans="1:8" ht="24.75" hidden="1" customHeight="1" x14ac:dyDescent="0.2">
      <c r="A456" s="565"/>
      <c r="B456" s="228" t="s">
        <v>611</v>
      </c>
      <c r="C456" s="229">
        <v>1187599500</v>
      </c>
      <c r="D456" s="229">
        <v>1161874533</v>
      </c>
      <c r="E456" s="229">
        <v>1066399666</v>
      </c>
      <c r="F456" s="229">
        <v>1066399666</v>
      </c>
      <c r="G456" s="229">
        <v>541812973.27862775</v>
      </c>
      <c r="H456" s="230">
        <f t="shared" si="7"/>
        <v>0.50807684075046189</v>
      </c>
    </row>
    <row r="457" spans="1:8" ht="24.75" hidden="1" customHeight="1" x14ac:dyDescent="0.2">
      <c r="A457" s="565"/>
      <c r="B457" s="228" t="s">
        <v>695</v>
      </c>
      <c r="C457" s="229">
        <v>0</v>
      </c>
      <c r="D457" s="229">
        <v>1738133</v>
      </c>
      <c r="E457" s="229">
        <v>0</v>
      </c>
      <c r="F457" s="229">
        <v>0</v>
      </c>
      <c r="G457" s="229">
        <v>0</v>
      </c>
      <c r="H457" s="230" t="e">
        <f t="shared" si="7"/>
        <v>#DIV/0!</v>
      </c>
    </row>
    <row r="458" spans="1:8" ht="24.75" hidden="1" customHeight="1" x14ac:dyDescent="0.2">
      <c r="A458" s="565"/>
      <c r="B458" s="228" t="s">
        <v>611</v>
      </c>
      <c r="C458" s="229">
        <v>1630204500</v>
      </c>
      <c r="D458" s="229">
        <v>1555946068</v>
      </c>
      <c r="E458" s="229">
        <v>1517441500</v>
      </c>
      <c r="F458" s="229">
        <v>1517441500</v>
      </c>
      <c r="G458" s="229">
        <v>656296134</v>
      </c>
      <c r="H458" s="230">
        <f t="shared" si="7"/>
        <v>0.43250176959045866</v>
      </c>
    </row>
    <row r="459" spans="1:8" ht="24.75" hidden="1" customHeight="1" x14ac:dyDescent="0.2">
      <c r="A459" s="565"/>
      <c r="B459" s="228" t="s">
        <v>695</v>
      </c>
      <c r="C459" s="229">
        <v>0</v>
      </c>
      <c r="D459" s="229">
        <v>1398432</v>
      </c>
      <c r="E459" s="229">
        <v>0</v>
      </c>
      <c r="F459" s="229">
        <v>0</v>
      </c>
      <c r="G459" s="229">
        <v>0</v>
      </c>
      <c r="H459" s="230" t="e">
        <f t="shared" si="7"/>
        <v>#DIV/0!</v>
      </c>
    </row>
    <row r="460" spans="1:8" ht="24.75" hidden="1" customHeight="1" x14ac:dyDescent="0.2">
      <c r="A460" s="565"/>
      <c r="B460" s="228" t="s">
        <v>611</v>
      </c>
      <c r="C460" s="229">
        <v>2834765500</v>
      </c>
      <c r="D460" s="229">
        <v>3037453000</v>
      </c>
      <c r="E460" s="229">
        <v>2577120695</v>
      </c>
      <c r="F460" s="229">
        <v>2577120695</v>
      </c>
      <c r="G460" s="229">
        <v>1209077382.8906753</v>
      </c>
      <c r="H460" s="230">
        <f t="shared" si="7"/>
        <v>0.46915822966167881</v>
      </c>
    </row>
    <row r="461" spans="1:8" ht="24.75" hidden="1" customHeight="1" x14ac:dyDescent="0.2">
      <c r="A461" s="565"/>
      <c r="B461" s="228" t="s">
        <v>611</v>
      </c>
      <c r="C461" s="229">
        <v>540599000</v>
      </c>
      <c r="D461" s="229">
        <v>540599000</v>
      </c>
      <c r="E461" s="229">
        <v>481666944</v>
      </c>
      <c r="F461" s="229">
        <v>481666944</v>
      </c>
      <c r="G461" s="229">
        <v>208101367</v>
      </c>
      <c r="H461" s="230">
        <f t="shared" si="7"/>
        <v>0.43204411179190244</v>
      </c>
    </row>
    <row r="462" spans="1:8" ht="24.75" hidden="1" customHeight="1" x14ac:dyDescent="0.2">
      <c r="A462" s="566"/>
      <c r="B462" s="228" t="s">
        <v>611</v>
      </c>
      <c r="C462" s="229">
        <v>1722404500</v>
      </c>
      <c r="D462" s="229">
        <v>1747076834</v>
      </c>
      <c r="E462" s="229">
        <v>942907000</v>
      </c>
      <c r="F462" s="229">
        <v>942907000</v>
      </c>
      <c r="G462" s="229">
        <v>495558542.83069706</v>
      </c>
      <c r="H462" s="230">
        <f>G462/E462</f>
        <v>0.52556460269220295</v>
      </c>
    </row>
    <row r="463" spans="1:8" ht="24.75" hidden="1" customHeight="1" x14ac:dyDescent="0.2">
      <c r="A463" s="564" t="s">
        <v>697</v>
      </c>
      <c r="B463" s="228" t="s">
        <v>611</v>
      </c>
      <c r="C463" s="229">
        <v>835827000</v>
      </c>
      <c r="D463" s="229">
        <v>769139000</v>
      </c>
      <c r="E463" s="229">
        <v>753209000</v>
      </c>
      <c r="F463" s="229">
        <v>753209000</v>
      </c>
      <c r="G463" s="229">
        <v>456465666</v>
      </c>
      <c r="H463" s="230">
        <f t="shared" ref="H463:H469" si="8">G463/E463</f>
        <v>0.60602789663957812</v>
      </c>
    </row>
    <row r="464" spans="1:8" ht="24.75" hidden="1" customHeight="1" x14ac:dyDescent="0.2">
      <c r="A464" s="565"/>
      <c r="B464" s="228" t="s">
        <v>611</v>
      </c>
      <c r="C464" s="229">
        <v>2638047000</v>
      </c>
      <c r="D464" s="229">
        <v>2501515000</v>
      </c>
      <c r="E464" s="229">
        <v>1776937947</v>
      </c>
      <c r="F464" s="229">
        <v>1776937947</v>
      </c>
      <c r="G464" s="229">
        <v>976184238</v>
      </c>
      <c r="H464" s="230">
        <f t="shared" si="8"/>
        <v>0.54936315567355032</v>
      </c>
    </row>
    <row r="465" spans="1:8" ht="24.75" hidden="1" customHeight="1" x14ac:dyDescent="0.2">
      <c r="A465" s="565"/>
      <c r="B465" s="228" t="s">
        <v>612</v>
      </c>
      <c r="C465" s="229">
        <v>967153000</v>
      </c>
      <c r="D465" s="229">
        <v>756012257</v>
      </c>
      <c r="E465" s="229">
        <v>47691000</v>
      </c>
      <c r="F465" s="229">
        <v>47691000</v>
      </c>
      <c r="G465" s="229">
        <v>10875533</v>
      </c>
      <c r="H465" s="230">
        <f t="shared" si="8"/>
        <v>0.22804162210899331</v>
      </c>
    </row>
    <row r="466" spans="1:8" ht="24.75" hidden="1" customHeight="1" x14ac:dyDescent="0.2">
      <c r="A466" s="565"/>
      <c r="B466" s="228" t="s">
        <v>613</v>
      </c>
      <c r="C466" s="229">
        <v>29282000</v>
      </c>
      <c r="D466" s="229">
        <v>240422743</v>
      </c>
      <c r="E466" s="229">
        <v>0</v>
      </c>
      <c r="F466" s="229">
        <v>0</v>
      </c>
      <c r="G466" s="229">
        <v>0</v>
      </c>
      <c r="H466" s="230" t="e">
        <f t="shared" si="8"/>
        <v>#DIV/0!</v>
      </c>
    </row>
    <row r="467" spans="1:8" ht="24.75" hidden="1" customHeight="1" x14ac:dyDescent="0.2">
      <c r="A467" s="565"/>
      <c r="B467" s="228" t="s">
        <v>611</v>
      </c>
      <c r="C467" s="229">
        <v>1187599500</v>
      </c>
      <c r="D467" s="229">
        <v>1144220533</v>
      </c>
      <c r="E467" s="229">
        <v>1066399666</v>
      </c>
      <c r="F467" s="229">
        <v>1066399666</v>
      </c>
      <c r="G467" s="229">
        <v>660370298.11914694</v>
      </c>
      <c r="H467" s="230">
        <f t="shared" si="8"/>
        <v>0.61925216143039086</v>
      </c>
    </row>
    <row r="468" spans="1:8" ht="24.75" hidden="1" customHeight="1" x14ac:dyDescent="0.2">
      <c r="A468" s="565"/>
      <c r="B468" s="228" t="s">
        <v>695</v>
      </c>
      <c r="C468" s="229">
        <v>0</v>
      </c>
      <c r="D468" s="229">
        <v>1738133</v>
      </c>
      <c r="E468" s="229">
        <v>0</v>
      </c>
      <c r="F468" s="229">
        <v>0</v>
      </c>
      <c r="G468" s="229">
        <v>0</v>
      </c>
      <c r="H468" s="230" t="e">
        <f t="shared" si="8"/>
        <v>#DIV/0!</v>
      </c>
    </row>
    <row r="469" spans="1:8" ht="24.75" hidden="1" customHeight="1" x14ac:dyDescent="0.2">
      <c r="A469" s="565"/>
      <c r="B469" s="228" t="s">
        <v>611</v>
      </c>
      <c r="C469" s="229">
        <v>1630204500</v>
      </c>
      <c r="D469" s="229">
        <v>1535188068</v>
      </c>
      <c r="E469" s="229">
        <v>1517441500</v>
      </c>
      <c r="F469" s="229">
        <v>1517441500</v>
      </c>
      <c r="G469" s="229">
        <v>801336235</v>
      </c>
      <c r="H469" s="230">
        <f t="shared" si="8"/>
        <v>0.52808377456396183</v>
      </c>
    </row>
    <row r="470" spans="1:8" ht="24.75" hidden="1" customHeight="1" x14ac:dyDescent="0.2">
      <c r="A470" s="565"/>
      <c r="B470" s="228" t="s">
        <v>695</v>
      </c>
      <c r="C470" s="229">
        <v>0</v>
      </c>
      <c r="D470" s="229">
        <v>1398432</v>
      </c>
      <c r="E470" s="229">
        <v>0</v>
      </c>
      <c r="F470" s="229">
        <v>0</v>
      </c>
      <c r="G470" s="229">
        <v>0</v>
      </c>
      <c r="H470" s="230"/>
    </row>
    <row r="471" spans="1:8" ht="24.75" hidden="1" customHeight="1" x14ac:dyDescent="0.2">
      <c r="A471" s="565"/>
      <c r="B471" s="228" t="s">
        <v>611</v>
      </c>
      <c r="C471" s="229">
        <v>2834765500</v>
      </c>
      <c r="D471" s="229">
        <v>2991544000</v>
      </c>
      <c r="E471" s="229">
        <v>2745120695</v>
      </c>
      <c r="F471" s="229">
        <v>2745120695</v>
      </c>
      <c r="G471" s="229">
        <v>1475620334</v>
      </c>
      <c r="H471" s="230">
        <f>G471/E471</f>
        <v>0.53754297094758519</v>
      </c>
    </row>
    <row r="472" spans="1:8" ht="24.75" hidden="1" customHeight="1" x14ac:dyDescent="0.2">
      <c r="A472" s="565"/>
      <c r="B472" s="228" t="s">
        <v>611</v>
      </c>
      <c r="C472" s="229">
        <v>540599000</v>
      </c>
      <c r="D472" s="229">
        <v>540599000</v>
      </c>
      <c r="E472" s="229">
        <v>481666944</v>
      </c>
      <c r="F472" s="229">
        <v>481666944</v>
      </c>
      <c r="G472" s="229">
        <v>257863367</v>
      </c>
      <c r="H472" s="230">
        <f>G472/E472</f>
        <v>0.53535616303368327</v>
      </c>
    </row>
    <row r="473" spans="1:8" ht="24.75" hidden="1" customHeight="1" x14ac:dyDescent="0.2">
      <c r="A473" s="566"/>
      <c r="B473" s="228" t="s">
        <v>611</v>
      </c>
      <c r="C473" s="229">
        <v>1722404500</v>
      </c>
      <c r="D473" s="229">
        <v>1904104834</v>
      </c>
      <c r="E473" s="229">
        <v>1085607000</v>
      </c>
      <c r="F473" s="229">
        <v>1085607000</v>
      </c>
      <c r="G473" s="229">
        <v>591809020.88085306</v>
      </c>
      <c r="H473" s="230">
        <f>G473/E473</f>
        <v>0.54514112462507436</v>
      </c>
    </row>
    <row r="474" spans="1:8" ht="24.75" hidden="1" customHeight="1" x14ac:dyDescent="0.2">
      <c r="A474" s="564" t="s">
        <v>713</v>
      </c>
      <c r="B474" s="228" t="s">
        <v>611</v>
      </c>
      <c r="C474" s="229">
        <v>835827000</v>
      </c>
      <c r="D474" s="229">
        <v>794087053</v>
      </c>
      <c r="E474" s="229">
        <v>757691652</v>
      </c>
      <c r="F474" s="229">
        <v>757691652</v>
      </c>
      <c r="G474" s="229">
        <v>533295666</v>
      </c>
      <c r="H474" s="230">
        <f>G474/E474</f>
        <v>0.70384260482785421</v>
      </c>
    </row>
    <row r="475" spans="1:8" ht="24.75" hidden="1" customHeight="1" x14ac:dyDescent="0.2">
      <c r="A475" s="565"/>
      <c r="B475" s="228" t="s">
        <v>611</v>
      </c>
      <c r="C475" s="229">
        <v>2638047000</v>
      </c>
      <c r="D475" s="229">
        <v>2567223800</v>
      </c>
      <c r="E475" s="229">
        <v>1828087901</v>
      </c>
      <c r="F475" s="229">
        <v>1828087901</v>
      </c>
      <c r="G475" s="229">
        <v>1193174958</v>
      </c>
      <c r="H475" s="230">
        <f t="shared" ref="H475:H480" si="9">G475/E475</f>
        <v>0.65269014545050585</v>
      </c>
    </row>
    <row r="476" spans="1:8" ht="24.75" hidden="1" customHeight="1" x14ac:dyDescent="0.2">
      <c r="A476" s="565"/>
      <c r="B476" s="228" t="s">
        <v>612</v>
      </c>
      <c r="C476" s="229">
        <v>967153000</v>
      </c>
      <c r="D476" s="229">
        <v>756012257</v>
      </c>
      <c r="E476" s="229">
        <v>47691000</v>
      </c>
      <c r="F476" s="229">
        <v>47691000</v>
      </c>
      <c r="G476" s="229">
        <v>18352100</v>
      </c>
      <c r="H476" s="230">
        <f t="shared" si="9"/>
        <v>0.38481264808873794</v>
      </c>
    </row>
    <row r="477" spans="1:8" ht="24.75" hidden="1" customHeight="1" x14ac:dyDescent="0.2">
      <c r="A477" s="565"/>
      <c r="B477" s="228" t="s">
        <v>613</v>
      </c>
      <c r="C477" s="229">
        <v>29282000</v>
      </c>
      <c r="D477" s="229">
        <v>240422743</v>
      </c>
      <c r="E477" s="229">
        <v>222786743</v>
      </c>
      <c r="F477" s="229">
        <v>222786743</v>
      </c>
      <c r="G477" s="229"/>
      <c r="H477" s="230">
        <f t="shared" si="9"/>
        <v>0</v>
      </c>
    </row>
    <row r="478" spans="1:8" ht="24.75" hidden="1" customHeight="1" x14ac:dyDescent="0.2">
      <c r="A478" s="565"/>
      <c r="B478" s="228" t="s">
        <v>611</v>
      </c>
      <c r="C478" s="229">
        <v>1187599500</v>
      </c>
      <c r="D478" s="229">
        <v>1203160966</v>
      </c>
      <c r="E478" s="229">
        <v>1066399666</v>
      </c>
      <c r="F478" s="229">
        <v>1066399666</v>
      </c>
      <c r="G478" s="229">
        <v>772830134.23412144</v>
      </c>
      <c r="H478" s="230">
        <f t="shared" si="9"/>
        <v>0.72470965518299535</v>
      </c>
    </row>
    <row r="479" spans="1:8" ht="24.75" hidden="1" customHeight="1" x14ac:dyDescent="0.2">
      <c r="A479" s="565"/>
      <c r="B479" s="228" t="s">
        <v>695</v>
      </c>
      <c r="C479" s="229">
        <v>0</v>
      </c>
      <c r="D479" s="229">
        <v>1738133</v>
      </c>
      <c r="E479" s="229">
        <v>0</v>
      </c>
      <c r="F479" s="229">
        <v>0</v>
      </c>
      <c r="G479" s="229">
        <v>0</v>
      </c>
      <c r="H479" s="230" t="e">
        <f t="shared" si="9"/>
        <v>#DIV/0!</v>
      </c>
    </row>
    <row r="480" spans="1:8" ht="24.75" hidden="1" customHeight="1" x14ac:dyDescent="0.2">
      <c r="A480" s="565"/>
      <c r="B480" s="228" t="s">
        <v>611</v>
      </c>
      <c r="C480" s="229">
        <v>1630204500</v>
      </c>
      <c r="D480" s="229">
        <v>1593483500</v>
      </c>
      <c r="E480" s="229">
        <v>1517441500</v>
      </c>
      <c r="F480" s="229">
        <v>1517441500</v>
      </c>
      <c r="G480" s="229">
        <v>969273501</v>
      </c>
      <c r="H480" s="230">
        <f t="shared" si="9"/>
        <v>0.63875510258550328</v>
      </c>
    </row>
    <row r="481" spans="1:8" ht="24.75" hidden="1" customHeight="1" x14ac:dyDescent="0.2">
      <c r="A481" s="565"/>
      <c r="B481" s="228" t="s">
        <v>695</v>
      </c>
      <c r="C481" s="229">
        <v>0</v>
      </c>
      <c r="D481" s="229">
        <v>1398432</v>
      </c>
      <c r="E481" s="229">
        <v>0</v>
      </c>
      <c r="F481" s="229">
        <v>0</v>
      </c>
      <c r="G481" s="229">
        <v>0</v>
      </c>
      <c r="H481" s="230"/>
    </row>
    <row r="482" spans="1:8" ht="24.75" hidden="1" customHeight="1" x14ac:dyDescent="0.2">
      <c r="A482" s="565"/>
      <c r="B482" s="228" t="s">
        <v>611</v>
      </c>
      <c r="C482" s="229">
        <v>2834765500</v>
      </c>
      <c r="D482" s="229">
        <v>3053478695</v>
      </c>
      <c r="E482" s="229">
        <v>2752134695</v>
      </c>
      <c r="F482" s="229">
        <v>2752134695</v>
      </c>
      <c r="G482" s="229">
        <v>1770344713</v>
      </c>
      <c r="H482" s="230">
        <f>G482/E482</f>
        <v>0.64326237964163302</v>
      </c>
    </row>
    <row r="483" spans="1:8" ht="24.75" hidden="1" customHeight="1" x14ac:dyDescent="0.2">
      <c r="A483" s="565"/>
      <c r="B483" s="228" t="s">
        <v>611</v>
      </c>
      <c r="C483" s="229">
        <v>540599000</v>
      </c>
      <c r="D483" s="229">
        <v>558846267</v>
      </c>
      <c r="E483" s="229">
        <v>481666944</v>
      </c>
      <c r="F483" s="229">
        <v>481666944</v>
      </c>
      <c r="G483" s="229">
        <v>318163485</v>
      </c>
      <c r="H483" s="230">
        <f>G483/E483</f>
        <v>0.66054664735307222</v>
      </c>
    </row>
    <row r="484" spans="1:8" ht="24.75" hidden="1" customHeight="1" x14ac:dyDescent="0.2">
      <c r="A484" s="566"/>
      <c r="B484" s="228" t="s">
        <v>611</v>
      </c>
      <c r="C484" s="229">
        <v>1722404500</v>
      </c>
      <c r="D484" s="229">
        <v>1616030154</v>
      </c>
      <c r="E484" s="229">
        <v>1085607000</v>
      </c>
      <c r="F484" s="229">
        <v>1085607000</v>
      </c>
      <c r="G484" s="229">
        <v>686539547.76587856</v>
      </c>
      <c r="H484" s="230">
        <f>G484/E484</f>
        <v>0.63240154841105345</v>
      </c>
    </row>
    <row r="485" spans="1:8" ht="24.75" hidden="1" customHeight="1" x14ac:dyDescent="0.2">
      <c r="A485" s="564" t="s">
        <v>132</v>
      </c>
      <c r="B485" s="228" t="s">
        <v>611</v>
      </c>
      <c r="C485" s="229">
        <v>835827000</v>
      </c>
      <c r="D485" s="229">
        <v>785712653</v>
      </c>
      <c r="E485" s="229">
        <v>785712653</v>
      </c>
      <c r="F485" s="229">
        <v>785712653</v>
      </c>
      <c r="G485" s="229">
        <v>601445318</v>
      </c>
      <c r="H485" s="230">
        <f>G485/E485</f>
        <v>0.76547744993486821</v>
      </c>
    </row>
    <row r="486" spans="1:8" ht="24.75" hidden="1" customHeight="1" x14ac:dyDescent="0.2">
      <c r="A486" s="565"/>
      <c r="B486" s="228" t="s">
        <v>611</v>
      </c>
      <c r="C486" s="229">
        <v>2638047000</v>
      </c>
      <c r="D486" s="229">
        <v>2575598200</v>
      </c>
      <c r="E486" s="229">
        <v>1854063081</v>
      </c>
      <c r="F486" s="229">
        <v>1854063081</v>
      </c>
      <c r="G486" s="229">
        <v>1436659888</v>
      </c>
      <c r="H486" s="230">
        <f t="shared" ref="H486:H496" si="10">G486/E486</f>
        <v>0.77487109404342858</v>
      </c>
    </row>
    <row r="487" spans="1:8" ht="24.75" hidden="1" customHeight="1" x14ac:dyDescent="0.2">
      <c r="A487" s="565"/>
      <c r="B487" s="228" t="s">
        <v>612</v>
      </c>
      <c r="C487" s="229">
        <v>967153000</v>
      </c>
      <c r="D487" s="229">
        <v>756012257</v>
      </c>
      <c r="E487" s="229">
        <v>47691000</v>
      </c>
      <c r="F487" s="229">
        <v>47691000</v>
      </c>
      <c r="G487" s="229">
        <v>29840100</v>
      </c>
      <c r="H487" s="230">
        <f t="shared" si="10"/>
        <v>0.62569667232811221</v>
      </c>
    </row>
    <row r="488" spans="1:8" ht="24.75" hidden="1" customHeight="1" x14ac:dyDescent="0.2">
      <c r="A488" s="565"/>
      <c r="B488" s="228" t="s">
        <v>613</v>
      </c>
      <c r="C488" s="229">
        <v>29282000</v>
      </c>
      <c r="D488" s="229">
        <v>240422743</v>
      </c>
      <c r="E488" s="229">
        <v>222786743</v>
      </c>
      <c r="F488" s="229">
        <v>222786743</v>
      </c>
      <c r="G488" s="229">
        <v>0</v>
      </c>
      <c r="H488" s="230">
        <f t="shared" si="10"/>
        <v>0</v>
      </c>
    </row>
    <row r="489" spans="1:8" ht="24.75" hidden="1" customHeight="1" x14ac:dyDescent="0.2">
      <c r="A489" s="565"/>
      <c r="B489" s="228" t="s">
        <v>611</v>
      </c>
      <c r="C489" s="229">
        <v>1187599500</v>
      </c>
      <c r="D489" s="229">
        <v>1206419466</v>
      </c>
      <c r="E489" s="229">
        <v>1128719166</v>
      </c>
      <c r="F489" s="229">
        <v>1128719166</v>
      </c>
      <c r="G489" s="229">
        <v>894815730.15438104</v>
      </c>
      <c r="H489" s="230">
        <f t="shared" si="10"/>
        <v>0.79277091867365446</v>
      </c>
    </row>
    <row r="490" spans="1:8" ht="24.75" hidden="1" customHeight="1" x14ac:dyDescent="0.2">
      <c r="A490" s="565"/>
      <c r="B490" s="228" t="s">
        <v>695</v>
      </c>
      <c r="C490" s="229">
        <v>0</v>
      </c>
      <c r="D490" s="229">
        <v>1738133</v>
      </c>
      <c r="E490" s="229">
        <v>0</v>
      </c>
      <c r="F490" s="229">
        <v>0</v>
      </c>
      <c r="G490" s="229">
        <v>0</v>
      </c>
      <c r="H490" s="230" t="e">
        <f t="shared" si="10"/>
        <v>#DIV/0!</v>
      </c>
    </row>
    <row r="491" spans="1:8" ht="24.75" hidden="1" customHeight="1" x14ac:dyDescent="0.2">
      <c r="A491" s="565"/>
      <c r="B491" s="228" t="s">
        <v>611</v>
      </c>
      <c r="C491" s="229">
        <v>1630204500</v>
      </c>
      <c r="D491" s="229">
        <v>1598182400</v>
      </c>
      <c r="E491" s="229">
        <v>1567170300</v>
      </c>
      <c r="F491" s="229">
        <v>1567170300</v>
      </c>
      <c r="G491" s="229">
        <v>1141259235</v>
      </c>
      <c r="H491" s="230">
        <f t="shared" si="10"/>
        <v>0.72822923903037218</v>
      </c>
    </row>
    <row r="492" spans="1:8" ht="24.75" hidden="1" customHeight="1" x14ac:dyDescent="0.2">
      <c r="A492" s="565"/>
      <c r="B492" s="228" t="s">
        <v>695</v>
      </c>
      <c r="C492" s="229">
        <v>0</v>
      </c>
      <c r="D492" s="229">
        <v>1398432</v>
      </c>
      <c r="E492" s="229">
        <v>0</v>
      </c>
      <c r="F492" s="229">
        <v>0</v>
      </c>
      <c r="G492" s="229">
        <v>0</v>
      </c>
      <c r="H492" s="230" t="e">
        <f t="shared" si="10"/>
        <v>#DIV/0!</v>
      </c>
    </row>
    <row r="493" spans="1:8" ht="24.75" hidden="1" customHeight="1" x14ac:dyDescent="0.2">
      <c r="A493" s="565"/>
      <c r="B493" s="228" t="s">
        <v>611</v>
      </c>
      <c r="C493" s="229">
        <v>2834765500</v>
      </c>
      <c r="D493" s="229">
        <v>3064957095</v>
      </c>
      <c r="E493" s="229">
        <v>2796009795</v>
      </c>
      <c r="F493" s="229">
        <v>2796009795</v>
      </c>
      <c r="G493" s="229">
        <v>2044238251</v>
      </c>
      <c r="H493" s="230">
        <f t="shared" si="10"/>
        <v>0.73112699914558066</v>
      </c>
    </row>
    <row r="494" spans="1:8" ht="24.75" hidden="1" customHeight="1" x14ac:dyDescent="0.2">
      <c r="A494" s="565"/>
      <c r="B494" s="228" t="s">
        <v>611</v>
      </c>
      <c r="C494" s="229">
        <v>540599000</v>
      </c>
      <c r="D494" s="229">
        <v>554202067</v>
      </c>
      <c r="E494" s="229">
        <v>513434344</v>
      </c>
      <c r="F494" s="229">
        <v>513434344</v>
      </c>
      <c r="G494" s="229">
        <v>368205909</v>
      </c>
      <c r="H494" s="230">
        <f t="shared" si="10"/>
        <v>0.71714312317214213</v>
      </c>
    </row>
    <row r="495" spans="1:8" ht="24.75" hidden="1" customHeight="1" x14ac:dyDescent="0.2">
      <c r="A495" s="565"/>
      <c r="B495" s="228" t="s">
        <v>611</v>
      </c>
      <c r="C495" s="229">
        <v>0</v>
      </c>
      <c r="D495" s="229">
        <v>4644200</v>
      </c>
      <c r="E495" s="229">
        <v>0</v>
      </c>
      <c r="F495" s="229">
        <v>0</v>
      </c>
      <c r="G495" s="229">
        <v>0</v>
      </c>
      <c r="H495" s="230" t="e">
        <f t="shared" si="10"/>
        <v>#DIV/0!</v>
      </c>
    </row>
    <row r="496" spans="1:8" ht="24.75" hidden="1" customHeight="1" x14ac:dyDescent="0.2">
      <c r="A496" s="566"/>
      <c r="B496" s="228" t="s">
        <v>611</v>
      </c>
      <c r="C496" s="258">
        <v>1722404500</v>
      </c>
      <c r="D496" s="258">
        <v>1596594354</v>
      </c>
      <c r="E496" s="258">
        <v>1129378400</v>
      </c>
      <c r="F496" s="258">
        <v>1129378400</v>
      </c>
      <c r="G496" s="258">
        <v>777401058.84561896</v>
      </c>
      <c r="H496" s="230">
        <f t="shared" si="10"/>
        <v>0.68834418902080907</v>
      </c>
    </row>
    <row r="497" spans="1:9" ht="24.75" hidden="1" customHeight="1" x14ac:dyDescent="0.2">
      <c r="A497" s="564" t="s">
        <v>722</v>
      </c>
      <c r="B497" s="228" t="s">
        <v>611</v>
      </c>
      <c r="C497" s="229">
        <v>2638047000</v>
      </c>
      <c r="D497" s="229">
        <v>1947311700</v>
      </c>
      <c r="E497" s="229">
        <v>1931747161</v>
      </c>
      <c r="F497" s="229">
        <v>1931747161</v>
      </c>
      <c r="G497" s="229">
        <v>1695144635</v>
      </c>
      <c r="H497" s="230">
        <f>G497/E497</f>
        <v>0.87751889544513739</v>
      </c>
    </row>
    <row r="498" spans="1:9" ht="24.75" hidden="1" customHeight="1" x14ac:dyDescent="0.2">
      <c r="A498" s="565"/>
      <c r="B498" s="228" t="s">
        <v>611</v>
      </c>
      <c r="C498" s="229">
        <v>967153000</v>
      </c>
      <c r="D498" s="229">
        <v>756012257</v>
      </c>
      <c r="E498" s="229">
        <v>144781019</v>
      </c>
      <c r="F498" s="229">
        <v>144781019</v>
      </c>
      <c r="G498" s="229">
        <v>49748533</v>
      </c>
      <c r="H498" s="230">
        <f t="shared" ref="H498:H507" si="11">G498/E498</f>
        <v>0.34361225900751535</v>
      </c>
    </row>
    <row r="499" spans="1:9" ht="24.75" hidden="1" customHeight="1" x14ac:dyDescent="0.2">
      <c r="A499" s="565"/>
      <c r="B499" s="228" t="s">
        <v>612</v>
      </c>
      <c r="C499" s="229">
        <v>29282000</v>
      </c>
      <c r="D499" s="229">
        <v>240422743</v>
      </c>
      <c r="E499" s="229">
        <v>240422743</v>
      </c>
      <c r="F499" s="229">
        <v>240422743</v>
      </c>
      <c r="G499" s="229">
        <v>0</v>
      </c>
      <c r="H499" s="230">
        <f t="shared" si="11"/>
        <v>0</v>
      </c>
    </row>
    <row r="500" spans="1:9" ht="24.75" hidden="1" customHeight="1" x14ac:dyDescent="0.2">
      <c r="A500" s="565"/>
      <c r="B500" s="228" t="s">
        <v>613</v>
      </c>
      <c r="C500" s="229">
        <v>1187599500</v>
      </c>
      <c r="D500" s="229">
        <v>1222248566</v>
      </c>
      <c r="E500" s="229">
        <v>1222018466</v>
      </c>
      <c r="F500" s="229">
        <v>1222018466</v>
      </c>
      <c r="G500" s="229">
        <v>1072852097.154381</v>
      </c>
      <c r="H500" s="230">
        <f t="shared" si="11"/>
        <v>0.87793443962112849</v>
      </c>
    </row>
    <row r="501" spans="1:9" ht="24.75" hidden="1" customHeight="1" x14ac:dyDescent="0.2">
      <c r="A501" s="565"/>
      <c r="B501" s="228" t="s">
        <v>611</v>
      </c>
      <c r="C501" s="229">
        <v>0</v>
      </c>
      <c r="D501" s="229">
        <v>1738133</v>
      </c>
      <c r="E501" s="229">
        <v>0</v>
      </c>
      <c r="F501" s="229">
        <v>0</v>
      </c>
      <c r="G501" s="229">
        <v>0</v>
      </c>
      <c r="H501" s="230" t="e">
        <f t="shared" si="11"/>
        <v>#DIV/0!</v>
      </c>
    </row>
    <row r="502" spans="1:9" ht="24.75" hidden="1" customHeight="1" x14ac:dyDescent="0.2">
      <c r="A502" s="565"/>
      <c r="B502" s="228" t="s">
        <v>695</v>
      </c>
      <c r="C502" s="229">
        <v>1630204500</v>
      </c>
      <c r="D502" s="229">
        <v>1623699400</v>
      </c>
      <c r="E502" s="229">
        <v>1616580500</v>
      </c>
      <c r="F502" s="229">
        <v>1616580500</v>
      </c>
      <c r="G502" s="229">
        <v>1362539235</v>
      </c>
      <c r="H502" s="230">
        <f t="shared" si="11"/>
        <v>0.84285269740665558</v>
      </c>
    </row>
    <row r="503" spans="1:9" ht="24.75" hidden="1" customHeight="1" x14ac:dyDescent="0.2">
      <c r="A503" s="565"/>
      <c r="B503" s="228" t="s">
        <v>611</v>
      </c>
      <c r="C503" s="229">
        <v>0</v>
      </c>
      <c r="D503" s="229">
        <v>1398432</v>
      </c>
      <c r="E503" s="229">
        <v>0</v>
      </c>
      <c r="F503" s="229">
        <v>0</v>
      </c>
      <c r="G503" s="229">
        <v>0</v>
      </c>
      <c r="H503" s="230" t="e">
        <f t="shared" si="11"/>
        <v>#DIV/0!</v>
      </c>
    </row>
    <row r="504" spans="1:9" ht="24.75" hidden="1" customHeight="1" x14ac:dyDescent="0.2">
      <c r="A504" s="565"/>
      <c r="B504" s="228" t="s">
        <v>695</v>
      </c>
      <c r="C504" s="229">
        <v>2834765500</v>
      </c>
      <c r="D504" s="229">
        <v>3019226595</v>
      </c>
      <c r="E504" s="229">
        <v>3013503988</v>
      </c>
      <c r="F504" s="229">
        <v>3013503988</v>
      </c>
      <c r="G504" s="229">
        <v>2495257268</v>
      </c>
      <c r="H504" s="230">
        <f t="shared" si="11"/>
        <v>0.82802520850687522</v>
      </c>
    </row>
    <row r="505" spans="1:9" ht="24.75" hidden="1" customHeight="1" x14ac:dyDescent="0.2">
      <c r="A505" s="565"/>
      <c r="B505" s="228" t="s">
        <v>611</v>
      </c>
      <c r="C505" s="229">
        <v>540599000</v>
      </c>
      <c r="D505" s="229">
        <v>545636967</v>
      </c>
      <c r="E505" s="229">
        <v>538000786</v>
      </c>
      <c r="F505" s="229">
        <v>538000786</v>
      </c>
      <c r="G505" s="229">
        <v>455643360</v>
      </c>
      <c r="H505" s="230">
        <f t="shared" si="11"/>
        <v>0.84691950617336087</v>
      </c>
    </row>
    <row r="506" spans="1:9" ht="24.75" hidden="1" customHeight="1" x14ac:dyDescent="0.2">
      <c r="A506" s="565"/>
      <c r="B506" s="228" t="s">
        <v>611</v>
      </c>
      <c r="C506" s="229">
        <v>0</v>
      </c>
      <c r="D506" s="229">
        <v>4644200</v>
      </c>
      <c r="E506" s="229">
        <v>0</v>
      </c>
      <c r="F506" s="229">
        <v>0</v>
      </c>
      <c r="G506" s="229">
        <v>0</v>
      </c>
      <c r="H506" s="230" t="e">
        <f t="shared" si="11"/>
        <v>#DIV/0!</v>
      </c>
    </row>
    <row r="507" spans="1:9" ht="24.75" hidden="1" customHeight="1" x14ac:dyDescent="0.2">
      <c r="A507" s="565"/>
      <c r="B507" s="228" t="s">
        <v>611</v>
      </c>
      <c r="C507" s="229">
        <v>1722404500</v>
      </c>
      <c r="D507" s="229">
        <v>1587830354</v>
      </c>
      <c r="E507" s="229">
        <v>1581509471</v>
      </c>
      <c r="F507" s="229">
        <v>1581509471</v>
      </c>
      <c r="G507" s="229">
        <v>922082780.84561896</v>
      </c>
      <c r="H507" s="230">
        <f t="shared" si="11"/>
        <v>0.58303968313422705</v>
      </c>
    </row>
    <row r="508" spans="1:9" ht="24.75" customHeight="1" x14ac:dyDescent="0.2">
      <c r="A508" s="298"/>
      <c r="B508" s="232"/>
      <c r="C508" s="299"/>
      <c r="D508" s="299"/>
      <c r="E508" s="299"/>
      <c r="F508" s="299"/>
      <c r="G508" s="299"/>
      <c r="H508" s="233"/>
    </row>
    <row r="509" spans="1:9" ht="24.75" customHeight="1" x14ac:dyDescent="0.2">
      <c r="A509" s="584" t="s">
        <v>767</v>
      </c>
      <c r="B509" s="584"/>
      <c r="C509" s="584"/>
      <c r="D509" s="584"/>
      <c r="E509" s="584"/>
      <c r="F509" s="584"/>
      <c r="G509" s="584"/>
      <c r="H509" s="584"/>
      <c r="I509" s="584"/>
    </row>
    <row r="510" spans="1:9" ht="24.75" customHeight="1" x14ac:dyDescent="0.2">
      <c r="A510" s="74" t="s">
        <v>63</v>
      </c>
      <c r="B510" s="294" t="s">
        <v>328</v>
      </c>
      <c r="C510" s="29" t="s">
        <v>121</v>
      </c>
      <c r="D510" s="295" t="s">
        <v>122</v>
      </c>
      <c r="E510" s="295" t="s">
        <v>123</v>
      </c>
      <c r="F510" s="295" t="s">
        <v>124</v>
      </c>
      <c r="G510" s="295" t="s">
        <v>125</v>
      </c>
      <c r="H510" s="295" t="s">
        <v>126</v>
      </c>
      <c r="I510" s="295" t="s">
        <v>127</v>
      </c>
    </row>
    <row r="511" spans="1:9" ht="30.95" customHeight="1" x14ac:dyDescent="0.2">
      <c r="A511" s="576" t="s">
        <v>135</v>
      </c>
      <c r="B511" s="317" t="s">
        <v>329</v>
      </c>
      <c r="C511" s="228" t="s">
        <v>611</v>
      </c>
      <c r="D511" s="229">
        <v>1031774000</v>
      </c>
      <c r="E511" s="229">
        <v>1031774000</v>
      </c>
      <c r="F511" s="229">
        <v>120278000</v>
      </c>
      <c r="G511" s="229">
        <v>120278000</v>
      </c>
      <c r="H511" s="229">
        <v>0</v>
      </c>
      <c r="I511" s="230">
        <v>0</v>
      </c>
    </row>
    <row r="512" spans="1:9" ht="24.75" customHeight="1" x14ac:dyDescent="0.2">
      <c r="A512" s="576"/>
      <c r="B512" s="574" t="s">
        <v>330</v>
      </c>
      <c r="C512" s="228" t="s">
        <v>611</v>
      </c>
      <c r="D512" s="229">
        <v>3989830000</v>
      </c>
      <c r="E512" s="229">
        <v>3989830000</v>
      </c>
      <c r="F512" s="229">
        <v>41290000</v>
      </c>
      <c r="G512" s="229">
        <v>41290000</v>
      </c>
      <c r="H512" s="229">
        <v>0</v>
      </c>
      <c r="I512" s="230">
        <v>0</v>
      </c>
    </row>
    <row r="513" spans="1:9" ht="24.75" customHeight="1" x14ac:dyDescent="0.2">
      <c r="A513" s="576"/>
      <c r="B513" s="577"/>
      <c r="C513" s="228" t="s">
        <v>612</v>
      </c>
      <c r="D513" s="229">
        <v>138880000</v>
      </c>
      <c r="E513" s="229">
        <v>138880000</v>
      </c>
      <c r="F513" s="229">
        <v>0</v>
      </c>
      <c r="G513" s="229">
        <v>0</v>
      </c>
      <c r="H513" s="229">
        <v>0</v>
      </c>
      <c r="I513" s="230">
        <v>0</v>
      </c>
    </row>
    <row r="514" spans="1:9" ht="24.75" customHeight="1" x14ac:dyDescent="0.2">
      <c r="A514" s="576"/>
      <c r="B514" s="575"/>
      <c r="C514" s="228" t="s">
        <v>613</v>
      </c>
      <c r="D514" s="229">
        <v>156600000</v>
      </c>
      <c r="E514" s="229">
        <v>156600000</v>
      </c>
      <c r="F514" s="229">
        <v>0</v>
      </c>
      <c r="G514" s="229">
        <v>0</v>
      </c>
      <c r="H514" s="229">
        <v>0</v>
      </c>
      <c r="I514" s="230">
        <v>0</v>
      </c>
    </row>
    <row r="515" spans="1:9" ht="24.75" customHeight="1" x14ac:dyDescent="0.2">
      <c r="A515" s="576"/>
      <c r="B515" s="317" t="s">
        <v>334</v>
      </c>
      <c r="C515" s="228" t="s">
        <v>611</v>
      </c>
      <c r="D515" s="229">
        <v>1752800000</v>
      </c>
      <c r="E515" s="229">
        <v>1752800000</v>
      </c>
      <c r="F515" s="229">
        <v>114638000</v>
      </c>
      <c r="G515" s="229">
        <v>114638000</v>
      </c>
      <c r="H515" s="229">
        <v>0</v>
      </c>
      <c r="I515" s="230">
        <v>0</v>
      </c>
    </row>
    <row r="516" spans="1:9" ht="24.75" customHeight="1" x14ac:dyDescent="0.2">
      <c r="A516" s="576"/>
      <c r="B516" s="318" t="s">
        <v>521</v>
      </c>
      <c r="C516" s="228" t="s">
        <v>611</v>
      </c>
      <c r="D516" s="229">
        <v>1832612000</v>
      </c>
      <c r="E516" s="229">
        <v>1832612000</v>
      </c>
      <c r="F516" s="229">
        <v>47492000</v>
      </c>
      <c r="G516" s="229">
        <v>47492000</v>
      </c>
      <c r="H516" s="229">
        <v>0</v>
      </c>
      <c r="I516" s="230">
        <v>0</v>
      </c>
    </row>
    <row r="517" spans="1:9" ht="24.75" customHeight="1" x14ac:dyDescent="0.2">
      <c r="A517" s="576"/>
      <c r="B517" s="318" t="s">
        <v>336</v>
      </c>
      <c r="C517" s="228" t="s">
        <v>611</v>
      </c>
      <c r="D517" s="229">
        <v>3706434000</v>
      </c>
      <c r="E517" s="229">
        <v>3706434000</v>
      </c>
      <c r="F517" s="229">
        <v>164965845</v>
      </c>
      <c r="G517" s="229">
        <v>164965845</v>
      </c>
      <c r="H517" s="229">
        <v>0</v>
      </c>
      <c r="I517" s="230">
        <v>0</v>
      </c>
    </row>
    <row r="518" spans="1:9" ht="24.75" customHeight="1" x14ac:dyDescent="0.2">
      <c r="A518" s="576"/>
      <c r="B518" s="317" t="s">
        <v>337</v>
      </c>
      <c r="C518" s="228" t="s">
        <v>611</v>
      </c>
      <c r="D518" s="229">
        <v>1153561000</v>
      </c>
      <c r="E518" s="229">
        <v>1153561000</v>
      </c>
      <c r="F518" s="229">
        <v>43152000</v>
      </c>
      <c r="G518" s="229">
        <v>43152000</v>
      </c>
      <c r="H518" s="229">
        <v>0</v>
      </c>
      <c r="I518" s="230">
        <v>0</v>
      </c>
    </row>
    <row r="519" spans="1:9" ht="24.75" customHeight="1" x14ac:dyDescent="0.2">
      <c r="A519" s="576"/>
      <c r="B519" s="574" t="s">
        <v>338</v>
      </c>
      <c r="C519" s="228" t="s">
        <v>611</v>
      </c>
      <c r="D519" s="229">
        <v>3532894000</v>
      </c>
      <c r="E519" s="229">
        <v>3532894000</v>
      </c>
      <c r="F519" s="229">
        <v>203290632</v>
      </c>
      <c r="G519" s="229">
        <v>203290632</v>
      </c>
      <c r="H519" s="229">
        <v>0</v>
      </c>
      <c r="I519" s="230">
        <v>0</v>
      </c>
    </row>
    <row r="520" spans="1:9" ht="24.75" customHeight="1" x14ac:dyDescent="0.2">
      <c r="A520" s="576"/>
      <c r="B520" s="575"/>
      <c r="C520" s="228" t="s">
        <v>613</v>
      </c>
      <c r="D520" s="229">
        <v>43400000</v>
      </c>
      <c r="E520" s="229">
        <v>43400000</v>
      </c>
      <c r="F520" s="229">
        <v>0</v>
      </c>
      <c r="G520" s="229">
        <v>0</v>
      </c>
      <c r="H520" s="229">
        <v>0</v>
      </c>
      <c r="I520" s="230">
        <v>0</v>
      </c>
    </row>
    <row r="521" spans="1:9" ht="30.95" customHeight="1" x14ac:dyDescent="0.2">
      <c r="A521" s="576" t="s">
        <v>136</v>
      </c>
      <c r="B521" s="317" t="s">
        <v>329</v>
      </c>
      <c r="C521" s="228" t="s">
        <v>611</v>
      </c>
      <c r="D521" s="229">
        <v>1031774000</v>
      </c>
      <c r="E521" s="229">
        <v>1031774000</v>
      </c>
      <c r="F521" s="229">
        <v>198628000</v>
      </c>
      <c r="G521" s="229">
        <v>198628000</v>
      </c>
      <c r="H521" s="229">
        <v>1294533</v>
      </c>
      <c r="I521" s="230">
        <v>6.5173741869222869E-3</v>
      </c>
    </row>
    <row r="522" spans="1:9" ht="24.75" customHeight="1" x14ac:dyDescent="0.2">
      <c r="A522" s="576"/>
      <c r="B522" s="574" t="s">
        <v>330</v>
      </c>
      <c r="C522" s="228" t="s">
        <v>611</v>
      </c>
      <c r="D522" s="229">
        <v>3989830000</v>
      </c>
      <c r="E522" s="229">
        <v>3989830000</v>
      </c>
      <c r="F522" s="229">
        <v>451754500</v>
      </c>
      <c r="G522" s="229">
        <v>451754500</v>
      </c>
      <c r="H522" s="229">
        <v>0</v>
      </c>
      <c r="I522" s="230">
        <v>0</v>
      </c>
    </row>
    <row r="523" spans="1:9" ht="24.75" customHeight="1" x14ac:dyDescent="0.2">
      <c r="A523" s="576"/>
      <c r="B523" s="577"/>
      <c r="C523" s="228" t="s">
        <v>612</v>
      </c>
      <c r="D523" s="229">
        <v>138880000</v>
      </c>
      <c r="E523" s="229">
        <v>138880000</v>
      </c>
      <c r="F523" s="229">
        <v>0</v>
      </c>
      <c r="G523" s="229">
        <v>0</v>
      </c>
      <c r="H523" s="229">
        <v>0</v>
      </c>
      <c r="I523" s="230" t="e">
        <v>#DIV/0!</v>
      </c>
    </row>
    <row r="524" spans="1:9" ht="24.75" customHeight="1" x14ac:dyDescent="0.2">
      <c r="A524" s="576"/>
      <c r="B524" s="575"/>
      <c r="C524" s="228" t="s">
        <v>613</v>
      </c>
      <c r="D524" s="229">
        <v>156600000</v>
      </c>
      <c r="E524" s="229">
        <v>156600000</v>
      </c>
      <c r="F524" s="229">
        <v>0</v>
      </c>
      <c r="G524" s="229">
        <v>0</v>
      </c>
      <c r="H524" s="229">
        <v>0</v>
      </c>
      <c r="I524" s="230" t="e">
        <v>#DIV/0!</v>
      </c>
    </row>
    <row r="525" spans="1:9" ht="24.75" customHeight="1" x14ac:dyDescent="0.2">
      <c r="A525" s="576"/>
      <c r="B525" s="317" t="s">
        <v>334</v>
      </c>
      <c r="C525" s="228" t="s">
        <v>611</v>
      </c>
      <c r="D525" s="229">
        <v>1752800000</v>
      </c>
      <c r="E525" s="229">
        <v>1752800000</v>
      </c>
      <c r="F525" s="229">
        <v>466982000</v>
      </c>
      <c r="G525" s="229">
        <v>466982000</v>
      </c>
      <c r="H525" s="229">
        <v>2283400</v>
      </c>
      <c r="I525" s="230">
        <v>4.8896959625852818E-3</v>
      </c>
    </row>
    <row r="526" spans="1:9" ht="24.75" customHeight="1" x14ac:dyDescent="0.2">
      <c r="A526" s="576"/>
      <c r="B526" s="318" t="s">
        <v>521</v>
      </c>
      <c r="C526" s="228" t="s">
        <v>611</v>
      </c>
      <c r="D526" s="229">
        <v>1832612000</v>
      </c>
      <c r="E526" s="229">
        <v>1832612000</v>
      </c>
      <c r="F526" s="229">
        <v>277716000</v>
      </c>
      <c r="G526" s="229">
        <v>277716000</v>
      </c>
      <c r="H526" s="229">
        <v>4784433</v>
      </c>
      <c r="I526" s="230">
        <v>1.7227790260553946E-2</v>
      </c>
    </row>
    <row r="527" spans="1:9" ht="24.75" customHeight="1" x14ac:dyDescent="0.2">
      <c r="A527" s="576"/>
      <c r="B527" s="318" t="s">
        <v>336</v>
      </c>
      <c r="C527" s="228" t="s">
        <v>611</v>
      </c>
      <c r="D527" s="229">
        <v>3706434000</v>
      </c>
      <c r="E527" s="229">
        <v>3706434000</v>
      </c>
      <c r="F527" s="229">
        <v>891367845</v>
      </c>
      <c r="G527" s="229">
        <v>891367845</v>
      </c>
      <c r="H527" s="229">
        <v>1645722.0377992895</v>
      </c>
      <c r="I527" s="230">
        <v>1.8462883163564078E-3</v>
      </c>
    </row>
    <row r="528" spans="1:9" ht="24.75" customHeight="1" x14ac:dyDescent="0.2">
      <c r="A528" s="576"/>
      <c r="B528" s="317" t="s">
        <v>337</v>
      </c>
      <c r="C528" s="228" t="s">
        <v>611</v>
      </c>
      <c r="D528" s="229">
        <v>1153561000</v>
      </c>
      <c r="E528" s="229">
        <v>1153561000</v>
      </c>
      <c r="F528" s="229">
        <v>207580000</v>
      </c>
      <c r="G528" s="229">
        <v>207580000</v>
      </c>
      <c r="H528" s="229">
        <v>0</v>
      </c>
      <c r="I528" s="230">
        <v>0</v>
      </c>
    </row>
    <row r="529" spans="1:9" ht="24.75" customHeight="1" x14ac:dyDescent="0.2">
      <c r="A529" s="576"/>
      <c r="B529" s="574" t="s">
        <v>338</v>
      </c>
      <c r="C529" s="228" t="s">
        <v>611</v>
      </c>
      <c r="D529" s="229">
        <v>3532894000</v>
      </c>
      <c r="E529" s="229">
        <v>3532894000</v>
      </c>
      <c r="F529" s="229">
        <v>530066632</v>
      </c>
      <c r="G529" s="229">
        <v>530066632</v>
      </c>
      <c r="H529" s="229">
        <v>287000.96220071049</v>
      </c>
      <c r="I529" s="230">
        <v>5.4144317879022889E-4</v>
      </c>
    </row>
    <row r="530" spans="1:9" ht="24.75" customHeight="1" x14ac:dyDescent="0.2">
      <c r="A530" s="576"/>
      <c r="B530" s="575"/>
      <c r="C530" s="228" t="s">
        <v>613</v>
      </c>
      <c r="D530" s="229">
        <v>43400000</v>
      </c>
      <c r="E530" s="229">
        <v>43400000</v>
      </c>
      <c r="F530" s="229">
        <v>0</v>
      </c>
      <c r="G530" s="229">
        <v>0</v>
      </c>
      <c r="H530" s="229">
        <v>0</v>
      </c>
      <c r="I530" s="230" t="e">
        <v>#DIV/0!</v>
      </c>
    </row>
    <row r="531" spans="1:9" ht="30.95" customHeight="1" x14ac:dyDescent="0.2">
      <c r="A531" s="576" t="s">
        <v>768</v>
      </c>
      <c r="B531" s="317" t="s">
        <v>329</v>
      </c>
      <c r="C531" s="228" t="s">
        <v>611</v>
      </c>
      <c r="D531" s="229">
        <v>1031774000</v>
      </c>
      <c r="E531" s="229">
        <v>1031774000</v>
      </c>
      <c r="F531" s="229">
        <v>303976000</v>
      </c>
      <c r="G531" s="229">
        <v>303976000</v>
      </c>
      <c r="H531" s="229">
        <v>32220467</v>
      </c>
      <c r="I531" s="334">
        <f t="shared" ref="I531:I540" si="12">+H531/G531</f>
        <v>0.1059967464536674</v>
      </c>
    </row>
    <row r="532" spans="1:9" ht="24.75" customHeight="1" x14ac:dyDescent="0.2">
      <c r="A532" s="576"/>
      <c r="B532" s="574" t="s">
        <v>330</v>
      </c>
      <c r="C532" s="228" t="s">
        <v>611</v>
      </c>
      <c r="D532" s="229">
        <v>3989830000</v>
      </c>
      <c r="E532" s="229">
        <v>3982830000</v>
      </c>
      <c r="F532" s="229">
        <v>588716500</v>
      </c>
      <c r="G532" s="229">
        <v>588716500</v>
      </c>
      <c r="H532" s="229">
        <v>46044032</v>
      </c>
      <c r="I532" s="334">
        <f t="shared" si="12"/>
        <v>7.8210873994528779E-2</v>
      </c>
    </row>
    <row r="533" spans="1:9" ht="24.75" customHeight="1" x14ac:dyDescent="0.2">
      <c r="A533" s="576"/>
      <c r="B533" s="577"/>
      <c r="C533" s="228" t="s">
        <v>612</v>
      </c>
      <c r="D533" s="229">
        <v>138880000</v>
      </c>
      <c r="E533" s="229">
        <v>100000000</v>
      </c>
      <c r="F533" s="229">
        <v>0</v>
      </c>
      <c r="G533" s="229">
        <v>0</v>
      </c>
      <c r="H533" s="229">
        <v>0</v>
      </c>
      <c r="I533" s="334" t="e">
        <f t="shared" si="12"/>
        <v>#DIV/0!</v>
      </c>
    </row>
    <row r="534" spans="1:9" ht="24.75" customHeight="1" x14ac:dyDescent="0.2">
      <c r="A534" s="576"/>
      <c r="B534" s="575"/>
      <c r="C534" s="228" t="s">
        <v>613</v>
      </c>
      <c r="D534" s="229">
        <v>156600000</v>
      </c>
      <c r="E534" s="229">
        <v>195480000</v>
      </c>
      <c r="F534" s="229">
        <v>0</v>
      </c>
      <c r="G534" s="229">
        <v>0</v>
      </c>
      <c r="H534" s="229">
        <v>0</v>
      </c>
      <c r="I534" s="334" t="e">
        <f t="shared" si="12"/>
        <v>#DIV/0!</v>
      </c>
    </row>
    <row r="535" spans="1:9" ht="24.75" customHeight="1" x14ac:dyDescent="0.2">
      <c r="A535" s="576"/>
      <c r="B535" s="317" t="s">
        <v>334</v>
      </c>
      <c r="C535" s="228" t="s">
        <v>611</v>
      </c>
      <c r="D535" s="229">
        <v>1752800000</v>
      </c>
      <c r="E535" s="229">
        <v>1752800000</v>
      </c>
      <c r="F535" s="229">
        <v>530982000</v>
      </c>
      <c r="G535" s="229">
        <v>530982000</v>
      </c>
      <c r="H535" s="229">
        <v>64701099</v>
      </c>
      <c r="I535" s="334">
        <f t="shared" si="12"/>
        <v>0.12185177463642835</v>
      </c>
    </row>
    <row r="536" spans="1:9" ht="24.75" customHeight="1" x14ac:dyDescent="0.2">
      <c r="A536" s="576"/>
      <c r="B536" s="318" t="s">
        <v>521</v>
      </c>
      <c r="C536" s="228" t="s">
        <v>611</v>
      </c>
      <c r="D536" s="229">
        <v>1832612000</v>
      </c>
      <c r="E536" s="229">
        <v>1832612000</v>
      </c>
      <c r="F536" s="229">
        <v>435712000</v>
      </c>
      <c r="G536" s="229">
        <v>435712000</v>
      </c>
      <c r="H536" s="229">
        <v>33144933</v>
      </c>
      <c r="I536" s="334">
        <f t="shared" si="12"/>
        <v>7.6070737092391302E-2</v>
      </c>
    </row>
    <row r="537" spans="1:9" ht="24.75" customHeight="1" x14ac:dyDescent="0.2">
      <c r="A537" s="576"/>
      <c r="B537" s="318" t="s">
        <v>336</v>
      </c>
      <c r="C537" s="228" t="s">
        <v>611</v>
      </c>
      <c r="D537" s="229">
        <v>3706434000</v>
      </c>
      <c r="E537" s="229">
        <v>3706434000</v>
      </c>
      <c r="F537" s="229">
        <v>1140095845</v>
      </c>
      <c r="G537" s="229">
        <v>1140095845</v>
      </c>
      <c r="H537" s="229">
        <v>104277247.34908302</v>
      </c>
      <c r="I537" s="334">
        <f t="shared" si="12"/>
        <v>9.1463579844099002E-2</v>
      </c>
    </row>
    <row r="538" spans="1:9" ht="24.75" customHeight="1" x14ac:dyDescent="0.2">
      <c r="A538" s="576"/>
      <c r="B538" s="317" t="s">
        <v>337</v>
      </c>
      <c r="C538" s="228" t="s">
        <v>611</v>
      </c>
      <c r="D538" s="229">
        <v>1153561000</v>
      </c>
      <c r="E538" s="229">
        <v>1153561000</v>
      </c>
      <c r="F538" s="229">
        <v>323695810</v>
      </c>
      <c r="G538" s="229">
        <v>323695810</v>
      </c>
      <c r="H538" s="229">
        <v>18643567</v>
      </c>
      <c r="I538" s="334">
        <f t="shared" si="12"/>
        <v>5.7595947874641937E-2</v>
      </c>
    </row>
    <row r="539" spans="1:9" ht="24.75" customHeight="1" x14ac:dyDescent="0.2">
      <c r="A539" s="576"/>
      <c r="B539" s="574" t="s">
        <v>338</v>
      </c>
      <c r="C539" s="228" t="s">
        <v>611</v>
      </c>
      <c r="D539" s="229">
        <v>3532894000</v>
      </c>
      <c r="E539" s="229">
        <v>3539894000</v>
      </c>
      <c r="F539" s="229">
        <v>717898632</v>
      </c>
      <c r="G539" s="229">
        <v>717898632</v>
      </c>
      <c r="H539" s="229">
        <v>87193341.650916979</v>
      </c>
      <c r="I539" s="334">
        <f t="shared" si="12"/>
        <v>0.12145634183478564</v>
      </c>
    </row>
    <row r="540" spans="1:9" ht="24.75" customHeight="1" x14ac:dyDescent="0.2">
      <c r="A540" s="576"/>
      <c r="B540" s="575"/>
      <c r="C540" s="228" t="s">
        <v>613</v>
      </c>
      <c r="D540" s="229">
        <v>43400000</v>
      </c>
      <c r="E540" s="229">
        <v>43400000</v>
      </c>
      <c r="F540" s="229">
        <v>0</v>
      </c>
      <c r="G540" s="229">
        <v>0</v>
      </c>
      <c r="H540" s="229">
        <v>0</v>
      </c>
      <c r="I540" s="334" t="e">
        <f t="shared" si="12"/>
        <v>#DIV/0!</v>
      </c>
    </row>
    <row r="541" spans="1:9" ht="30.95" customHeight="1" x14ac:dyDescent="0.2">
      <c r="A541" s="617" t="s">
        <v>778</v>
      </c>
      <c r="B541" s="317" t="s">
        <v>329</v>
      </c>
      <c r="C541" s="228" t="s">
        <v>611</v>
      </c>
      <c r="D541" s="229">
        <v>1031774000</v>
      </c>
      <c r="E541" s="229">
        <v>1031774000</v>
      </c>
      <c r="F541" s="229">
        <v>321228000</v>
      </c>
      <c r="G541" s="229">
        <v>321228000</v>
      </c>
      <c r="H541" s="229">
        <v>81295833</v>
      </c>
      <c r="I541" s="334">
        <f t="shared" ref="I541:I550" si="13">+H541/G541</f>
        <v>0.25307829018640965</v>
      </c>
    </row>
    <row r="542" spans="1:9" ht="24.75" customHeight="1" x14ac:dyDescent="0.2">
      <c r="A542" s="618"/>
      <c r="B542" s="574" t="s">
        <v>330</v>
      </c>
      <c r="C542" s="228" t="s">
        <v>611</v>
      </c>
      <c r="D542" s="229">
        <v>3989830000</v>
      </c>
      <c r="E542" s="229">
        <v>3982830000</v>
      </c>
      <c r="F542" s="229">
        <v>633605840</v>
      </c>
      <c r="G542" s="229">
        <v>633605840</v>
      </c>
      <c r="H542" s="229">
        <v>205389473</v>
      </c>
      <c r="I542" s="334">
        <f t="shared" si="13"/>
        <v>0.32415969051042837</v>
      </c>
    </row>
    <row r="543" spans="1:9" ht="24.75" customHeight="1" x14ac:dyDescent="0.2">
      <c r="A543" s="618"/>
      <c r="B543" s="577"/>
      <c r="C543" s="228" t="s">
        <v>612</v>
      </c>
      <c r="D543" s="229">
        <v>138880000</v>
      </c>
      <c r="E543" s="229">
        <v>0</v>
      </c>
      <c r="F543" s="229">
        <v>0</v>
      </c>
      <c r="G543" s="229">
        <v>0</v>
      </c>
      <c r="H543" s="229">
        <v>0</v>
      </c>
      <c r="I543" s="334" t="e">
        <f t="shared" si="13"/>
        <v>#DIV/0!</v>
      </c>
    </row>
    <row r="544" spans="1:9" ht="24.75" customHeight="1" x14ac:dyDescent="0.2">
      <c r="A544" s="618"/>
      <c r="B544" s="575"/>
      <c r="C544" s="228" t="s">
        <v>613</v>
      </c>
      <c r="D544" s="229">
        <v>156600000</v>
      </c>
      <c r="E544" s="229">
        <v>306780000</v>
      </c>
      <c r="F544" s="229">
        <v>0</v>
      </c>
      <c r="G544" s="229">
        <v>0</v>
      </c>
      <c r="H544" s="229">
        <v>0</v>
      </c>
      <c r="I544" s="334" t="e">
        <f t="shared" si="13"/>
        <v>#DIV/0!</v>
      </c>
    </row>
    <row r="545" spans="1:9" ht="24.75" customHeight="1" x14ac:dyDescent="0.2">
      <c r="A545" s="618"/>
      <c r="B545" s="317" t="s">
        <v>334</v>
      </c>
      <c r="C545" s="228" t="s">
        <v>611</v>
      </c>
      <c r="D545" s="229">
        <v>1752800000</v>
      </c>
      <c r="E545" s="229">
        <v>1752800000</v>
      </c>
      <c r="F545" s="229">
        <v>594614000</v>
      </c>
      <c r="G545" s="229">
        <v>594614000</v>
      </c>
      <c r="H545" s="229">
        <v>195525487.80000001</v>
      </c>
      <c r="I545" s="334">
        <f t="shared" si="13"/>
        <v>0.32882758865415213</v>
      </c>
    </row>
    <row r="546" spans="1:9" ht="24.75" customHeight="1" x14ac:dyDescent="0.2">
      <c r="A546" s="618"/>
      <c r="B546" s="318" t="s">
        <v>521</v>
      </c>
      <c r="C546" s="228" t="s">
        <v>611</v>
      </c>
      <c r="D546" s="229">
        <v>1832612000</v>
      </c>
      <c r="E546" s="229">
        <v>1832612000</v>
      </c>
      <c r="F546" s="229">
        <v>525432000</v>
      </c>
      <c r="G546" s="229">
        <v>525432000</v>
      </c>
      <c r="H546" s="229">
        <v>120949867</v>
      </c>
      <c r="I546" s="334">
        <f t="shared" si="13"/>
        <v>0.2301912845049407</v>
      </c>
    </row>
    <row r="547" spans="1:9" ht="24.75" customHeight="1" x14ac:dyDescent="0.2">
      <c r="A547" s="618"/>
      <c r="B547" s="318" t="s">
        <v>336</v>
      </c>
      <c r="C547" s="228" t="s">
        <v>611</v>
      </c>
      <c r="D547" s="229">
        <v>3706434000</v>
      </c>
      <c r="E547" s="229">
        <v>3706434000</v>
      </c>
      <c r="F547" s="229">
        <v>1283023845</v>
      </c>
      <c r="G547" s="229">
        <v>1283023845</v>
      </c>
      <c r="H547" s="229">
        <v>320654628.46036679</v>
      </c>
      <c r="I547" s="334">
        <f t="shared" si="13"/>
        <v>0.2499210203379866</v>
      </c>
    </row>
    <row r="548" spans="1:9" ht="24.75" customHeight="1" x14ac:dyDescent="0.2">
      <c r="A548" s="618"/>
      <c r="B548" s="317" t="s">
        <v>337</v>
      </c>
      <c r="C548" s="228" t="s">
        <v>611</v>
      </c>
      <c r="D548" s="229">
        <v>1153561000</v>
      </c>
      <c r="E548" s="229">
        <v>1153561000</v>
      </c>
      <c r="F548" s="229">
        <v>352427810</v>
      </c>
      <c r="G548" s="229">
        <v>352427810</v>
      </c>
      <c r="H548" s="229">
        <v>88559455.799999997</v>
      </c>
      <c r="I548" s="334">
        <f t="shared" si="13"/>
        <v>0.25128396025273941</v>
      </c>
    </row>
    <row r="549" spans="1:9" ht="24.75" customHeight="1" x14ac:dyDescent="0.2">
      <c r="A549" s="618"/>
      <c r="B549" s="574" t="s">
        <v>338</v>
      </c>
      <c r="C549" s="228" t="s">
        <v>611</v>
      </c>
      <c r="D549" s="229">
        <v>3532894000</v>
      </c>
      <c r="E549" s="229">
        <v>3539894000</v>
      </c>
      <c r="F549" s="229">
        <v>719872072</v>
      </c>
      <c r="G549" s="229">
        <v>719872072</v>
      </c>
      <c r="H549" s="229">
        <v>244671765.93963325</v>
      </c>
      <c r="I549" s="334">
        <f t="shared" si="13"/>
        <v>0.3398822866677807</v>
      </c>
    </row>
    <row r="550" spans="1:9" ht="24.75" customHeight="1" x14ac:dyDescent="0.2">
      <c r="A550" s="619"/>
      <c r="B550" s="575"/>
      <c r="C550" s="228" t="s">
        <v>613</v>
      </c>
      <c r="D550" s="229">
        <v>43400000</v>
      </c>
      <c r="E550" s="229">
        <v>32100000</v>
      </c>
      <c r="F550" s="229">
        <v>0</v>
      </c>
      <c r="G550" s="229">
        <v>0</v>
      </c>
      <c r="H550" s="229">
        <v>0</v>
      </c>
      <c r="I550" s="334" t="e">
        <f t="shared" si="13"/>
        <v>#DIV/0!</v>
      </c>
    </row>
    <row r="551" spans="1:9" ht="24.75" customHeight="1" x14ac:dyDescent="0.2">
      <c r="A551" s="674" t="s">
        <v>783</v>
      </c>
      <c r="B551" s="317" t="s">
        <v>329</v>
      </c>
      <c r="C551" s="228" t="s">
        <v>611</v>
      </c>
      <c r="D551" s="673">
        <v>1031774000</v>
      </c>
      <c r="E551" s="673">
        <v>1031774000</v>
      </c>
      <c r="F551" s="673">
        <v>389842000</v>
      </c>
      <c r="G551" s="673">
        <v>389842000</v>
      </c>
      <c r="H551" s="673">
        <v>142278433</v>
      </c>
      <c r="I551" s="672">
        <f t="shared" ref="I551:I560" si="14">+H551/G551</f>
        <v>0.36496435222474743</v>
      </c>
    </row>
    <row r="552" spans="1:9" ht="24.75" customHeight="1" x14ac:dyDescent="0.2">
      <c r="A552" s="671"/>
      <c r="B552" s="574" t="s">
        <v>330</v>
      </c>
      <c r="C552" s="228" t="s">
        <v>611</v>
      </c>
      <c r="D552" s="673">
        <v>3989830000</v>
      </c>
      <c r="E552" s="673">
        <v>3982830000</v>
      </c>
      <c r="F552" s="673">
        <v>987027400</v>
      </c>
      <c r="G552" s="673">
        <v>987027400</v>
      </c>
      <c r="H552" s="673">
        <v>351279720</v>
      </c>
      <c r="I552" s="672">
        <f t="shared" si="14"/>
        <v>0.35589662455165882</v>
      </c>
    </row>
    <row r="553" spans="1:9" ht="24.75" customHeight="1" x14ac:dyDescent="0.2">
      <c r="A553" s="671"/>
      <c r="B553" s="577"/>
      <c r="C553" s="228" t="s">
        <v>612</v>
      </c>
      <c r="D553" s="673">
        <v>138880000</v>
      </c>
      <c r="E553" s="673">
        <v>0</v>
      </c>
      <c r="F553" s="673">
        <v>0</v>
      </c>
      <c r="G553" s="673">
        <v>0</v>
      </c>
      <c r="H553" s="673">
        <v>0</v>
      </c>
      <c r="I553" s="672" t="e">
        <f t="shared" si="14"/>
        <v>#DIV/0!</v>
      </c>
    </row>
    <row r="554" spans="1:9" ht="24.75" customHeight="1" x14ac:dyDescent="0.2">
      <c r="A554" s="671"/>
      <c r="B554" s="575"/>
      <c r="C554" s="228" t="s">
        <v>613</v>
      </c>
      <c r="D554" s="673">
        <v>156600000</v>
      </c>
      <c r="E554" s="673">
        <v>306780000</v>
      </c>
      <c r="F554" s="673">
        <v>34020000</v>
      </c>
      <c r="G554" s="673">
        <v>34020000</v>
      </c>
      <c r="H554" s="673">
        <v>0</v>
      </c>
      <c r="I554" s="672">
        <f t="shared" si="14"/>
        <v>0</v>
      </c>
    </row>
    <row r="555" spans="1:9" ht="24.75" customHeight="1" x14ac:dyDescent="0.2">
      <c r="A555" s="671"/>
      <c r="B555" s="317" t="s">
        <v>334</v>
      </c>
      <c r="C555" s="228" t="s">
        <v>611</v>
      </c>
      <c r="D555" s="673">
        <v>1752800000</v>
      </c>
      <c r="E555" s="673">
        <v>1752800000</v>
      </c>
      <c r="F555" s="673">
        <v>869320000</v>
      </c>
      <c r="G555" s="673">
        <v>869320000</v>
      </c>
      <c r="H555" s="673">
        <v>326904773.60000002</v>
      </c>
      <c r="I555" s="672">
        <f t="shared" si="14"/>
        <v>0.37604653476280314</v>
      </c>
    </row>
    <row r="556" spans="1:9" ht="24.75" customHeight="1" x14ac:dyDescent="0.2">
      <c r="A556" s="671"/>
      <c r="B556" s="318" t="s">
        <v>521</v>
      </c>
      <c r="C556" s="228" t="s">
        <v>611</v>
      </c>
      <c r="D556" s="673">
        <v>1832612000</v>
      </c>
      <c r="E556" s="673">
        <v>1832612000</v>
      </c>
      <c r="F556" s="673">
        <v>793718000</v>
      </c>
      <c r="G556" s="673">
        <v>793718000</v>
      </c>
      <c r="H556" s="673">
        <v>233282600</v>
      </c>
      <c r="I556" s="672">
        <f t="shared" si="14"/>
        <v>0.29391118760063401</v>
      </c>
    </row>
    <row r="557" spans="1:9" ht="24.75" customHeight="1" x14ac:dyDescent="0.2">
      <c r="A557" s="671"/>
      <c r="B557" s="318" t="s">
        <v>336</v>
      </c>
      <c r="C557" s="228" t="s">
        <v>611</v>
      </c>
      <c r="D557" s="673">
        <v>3706434000</v>
      </c>
      <c r="E557" s="673">
        <v>3706434000</v>
      </c>
      <c r="F557" s="673">
        <v>1589008613</v>
      </c>
      <c r="G557" s="673">
        <v>1589008613</v>
      </c>
      <c r="H557" s="673">
        <v>551371673.57165051</v>
      </c>
      <c r="I557" s="672">
        <f t="shared" si="14"/>
        <v>0.34699099115056242</v>
      </c>
    </row>
    <row r="558" spans="1:9" ht="24.75" customHeight="1" x14ac:dyDescent="0.2">
      <c r="A558" s="671"/>
      <c r="B558" s="317" t="s">
        <v>337</v>
      </c>
      <c r="C558" s="228" t="s">
        <v>611</v>
      </c>
      <c r="D558" s="673">
        <v>1153561000</v>
      </c>
      <c r="E558" s="673">
        <v>1153561000</v>
      </c>
      <c r="F558" s="673">
        <v>444957336</v>
      </c>
      <c r="G558" s="673">
        <v>444957336</v>
      </c>
      <c r="H558" s="673">
        <v>168311307.59999999</v>
      </c>
      <c r="I558" s="672">
        <f t="shared" si="14"/>
        <v>0.37826392326297098</v>
      </c>
    </row>
    <row r="559" spans="1:9" ht="24.75" customHeight="1" x14ac:dyDescent="0.2">
      <c r="A559" s="671"/>
      <c r="B559" s="574" t="s">
        <v>338</v>
      </c>
      <c r="C559" s="228" t="s">
        <v>611</v>
      </c>
      <c r="D559" s="673">
        <v>3532894000</v>
      </c>
      <c r="E559" s="673">
        <v>3539894000</v>
      </c>
      <c r="F559" s="673">
        <v>1024542365</v>
      </c>
      <c r="G559" s="673">
        <v>1024542365</v>
      </c>
      <c r="H559" s="673">
        <v>417591997.22834951</v>
      </c>
      <c r="I559" s="672">
        <f t="shared" si="14"/>
        <v>0.40758880402993342</v>
      </c>
    </row>
    <row r="560" spans="1:9" ht="24.75" customHeight="1" x14ac:dyDescent="0.2">
      <c r="A560" s="761"/>
      <c r="B560" s="575"/>
      <c r="C560" s="228" t="s">
        <v>613</v>
      </c>
      <c r="D560" s="673">
        <v>43400000</v>
      </c>
      <c r="E560" s="673">
        <v>32100000</v>
      </c>
      <c r="F560" s="673">
        <v>0</v>
      </c>
      <c r="G560" s="673">
        <v>0</v>
      </c>
      <c r="H560" s="673">
        <v>0</v>
      </c>
      <c r="I560" s="672" t="e">
        <f t="shared" si="14"/>
        <v>#DIV/0!</v>
      </c>
    </row>
    <row r="561" spans="1:12" ht="24.75" customHeight="1" x14ac:dyDescent="0.2">
      <c r="A561" s="298"/>
      <c r="B561" s="232"/>
      <c r="C561" s="299"/>
      <c r="D561" s="299"/>
      <c r="E561" s="299"/>
      <c r="F561" s="299"/>
      <c r="G561" s="299"/>
      <c r="H561" s="233"/>
    </row>
    <row r="562" spans="1:12" ht="24.75" customHeight="1" x14ac:dyDescent="0.2">
      <c r="A562" s="231"/>
      <c r="B562" s="232"/>
      <c r="H562" s="233"/>
    </row>
    <row r="563" spans="1:12" s="77" customFormat="1" ht="24.75" customHeight="1" x14ac:dyDescent="0.25">
      <c r="A563" s="578" t="s">
        <v>143</v>
      </c>
      <c r="B563" s="579"/>
      <c r="C563" s="579"/>
      <c r="D563" s="579"/>
      <c r="E563" s="579"/>
      <c r="F563" s="579"/>
      <c r="G563" s="579"/>
      <c r="H563" s="579"/>
      <c r="I563" s="579"/>
      <c r="J563" s="579"/>
      <c r="K563" s="579"/>
      <c r="L563" s="580"/>
    </row>
    <row r="564" spans="1:12" s="77" customFormat="1" ht="24.75" customHeight="1" x14ac:dyDescent="0.25">
      <c r="A564" s="74" t="s">
        <v>48</v>
      </c>
      <c r="B564" s="29" t="s">
        <v>144</v>
      </c>
      <c r="C564" s="29" t="s">
        <v>145</v>
      </c>
      <c r="D564" s="29" t="s">
        <v>146</v>
      </c>
      <c r="E564" s="29" t="s">
        <v>147</v>
      </c>
      <c r="F564" s="29" t="s">
        <v>148</v>
      </c>
      <c r="G564" s="29" t="s">
        <v>149</v>
      </c>
      <c r="H564" s="29" t="s">
        <v>150</v>
      </c>
      <c r="I564" s="95" t="s">
        <v>151</v>
      </c>
      <c r="J564" s="29" t="s">
        <v>152</v>
      </c>
      <c r="K564" s="29" t="s">
        <v>153</v>
      </c>
      <c r="L564" s="29" t="s">
        <v>154</v>
      </c>
    </row>
    <row r="565" spans="1:12" s="79" customFormat="1" ht="24.75" hidden="1" customHeight="1" x14ac:dyDescent="0.25">
      <c r="A565" s="567" t="s">
        <v>128</v>
      </c>
      <c r="B565" s="571" t="s">
        <v>342</v>
      </c>
      <c r="C565" s="571" t="s">
        <v>343</v>
      </c>
      <c r="D565" s="571" t="s">
        <v>344</v>
      </c>
      <c r="E565" s="571" t="s">
        <v>345</v>
      </c>
      <c r="F565" s="581">
        <v>0.45</v>
      </c>
      <c r="G565" s="175" t="s">
        <v>304</v>
      </c>
      <c r="H565" s="178">
        <v>1</v>
      </c>
      <c r="I565" s="96">
        <v>0</v>
      </c>
      <c r="J565" s="175">
        <v>0</v>
      </c>
      <c r="K565" s="175" t="e">
        <f>J565/I565</f>
        <v>#DIV/0!</v>
      </c>
      <c r="L565" s="175" t="s">
        <v>346</v>
      </c>
    </row>
    <row r="566" spans="1:12" s="79" customFormat="1" ht="24.75" hidden="1" customHeight="1" x14ac:dyDescent="0.25">
      <c r="A566" s="567"/>
      <c r="B566" s="572"/>
      <c r="C566" s="572"/>
      <c r="D566" s="572"/>
      <c r="E566" s="572"/>
      <c r="F566" s="582"/>
      <c r="G566" s="175" t="s">
        <v>314</v>
      </c>
      <c r="H566" s="80">
        <v>4</v>
      </c>
      <c r="I566" s="96">
        <v>0</v>
      </c>
      <c r="J566" s="175">
        <v>0</v>
      </c>
      <c r="K566" s="175" t="e">
        <f>J566/I566</f>
        <v>#DIV/0!</v>
      </c>
      <c r="L566" s="175" t="s">
        <v>347</v>
      </c>
    </row>
    <row r="567" spans="1:12" s="79" customFormat="1" ht="24.75" hidden="1" customHeight="1" x14ac:dyDescent="0.25">
      <c r="A567" s="567"/>
      <c r="B567" s="573"/>
      <c r="C567" s="573"/>
      <c r="D567" s="573"/>
      <c r="E567" s="573"/>
      <c r="F567" s="583"/>
      <c r="G567" s="175" t="s">
        <v>315</v>
      </c>
      <c r="H567" s="80">
        <v>1</v>
      </c>
      <c r="I567" s="96">
        <v>0</v>
      </c>
      <c r="J567" s="175">
        <v>0</v>
      </c>
      <c r="K567" s="175" t="e">
        <f>J567/I567</f>
        <v>#DIV/0!</v>
      </c>
      <c r="L567" s="175" t="s">
        <v>348</v>
      </c>
    </row>
    <row r="568" spans="1:12" s="79" customFormat="1" ht="24.75" hidden="1" customHeight="1" x14ac:dyDescent="0.25">
      <c r="A568" s="567"/>
      <c r="B568" s="175" t="s">
        <v>349</v>
      </c>
      <c r="C568" s="175" t="s">
        <v>350</v>
      </c>
      <c r="D568" s="175" t="s">
        <v>351</v>
      </c>
      <c r="E568" s="175" t="s">
        <v>254</v>
      </c>
      <c r="F568" s="178">
        <v>0.15</v>
      </c>
      <c r="G568" s="175" t="s">
        <v>256</v>
      </c>
      <c r="H568" s="81">
        <v>426</v>
      </c>
      <c r="I568" s="96">
        <v>0</v>
      </c>
      <c r="J568" s="175">
        <v>0</v>
      </c>
      <c r="K568" s="175" t="e">
        <f t="shared" ref="K568:K598" si="15">J568/I568</f>
        <v>#DIV/0!</v>
      </c>
      <c r="L568" s="175" t="s">
        <v>352</v>
      </c>
    </row>
    <row r="569" spans="1:12" s="79" customFormat="1" ht="24.75" hidden="1" customHeight="1" x14ac:dyDescent="0.25">
      <c r="A569" s="567"/>
      <c r="B569" s="175" t="s">
        <v>353</v>
      </c>
      <c r="C569" s="175" t="s">
        <v>354</v>
      </c>
      <c r="D569" s="175" t="s">
        <v>355</v>
      </c>
      <c r="E569" s="175" t="s">
        <v>254</v>
      </c>
      <c r="F569" s="178">
        <v>0.15</v>
      </c>
      <c r="G569" s="175" t="s">
        <v>257</v>
      </c>
      <c r="H569" s="178">
        <v>1</v>
      </c>
      <c r="I569" s="96">
        <v>0</v>
      </c>
      <c r="J569" s="175">
        <v>0</v>
      </c>
      <c r="K569" s="175" t="e">
        <f t="shared" si="15"/>
        <v>#DIV/0!</v>
      </c>
      <c r="L569" s="175" t="s">
        <v>356</v>
      </c>
    </row>
    <row r="570" spans="1:12" s="79" customFormat="1" ht="24.75" hidden="1" customHeight="1" x14ac:dyDescent="0.25">
      <c r="A570" s="567"/>
      <c r="B570" s="567" t="s">
        <v>357</v>
      </c>
      <c r="C570" s="567" t="s">
        <v>358</v>
      </c>
      <c r="D570" s="567" t="s">
        <v>359</v>
      </c>
      <c r="E570" s="567" t="s">
        <v>345</v>
      </c>
      <c r="F570" s="570">
        <v>0.25</v>
      </c>
      <c r="G570" s="175" t="s">
        <v>252</v>
      </c>
      <c r="H570" s="81">
        <v>234</v>
      </c>
      <c r="I570" s="96">
        <v>0</v>
      </c>
      <c r="J570" s="175">
        <v>0</v>
      </c>
      <c r="K570" s="175" t="e">
        <f>J570/I570</f>
        <v>#DIV/0!</v>
      </c>
      <c r="L570" s="175" t="s">
        <v>360</v>
      </c>
    </row>
    <row r="571" spans="1:12" s="79" customFormat="1" ht="24.75" hidden="1" customHeight="1" x14ac:dyDescent="0.25">
      <c r="A571" s="567"/>
      <c r="B571" s="567"/>
      <c r="C571" s="567"/>
      <c r="D571" s="567"/>
      <c r="E571" s="567"/>
      <c r="F571" s="570"/>
      <c r="G571" s="175" t="s">
        <v>308</v>
      </c>
      <c r="H571" s="178">
        <v>1</v>
      </c>
      <c r="I571" s="96">
        <v>0</v>
      </c>
      <c r="J571" s="175">
        <v>0</v>
      </c>
      <c r="K571" s="175" t="e">
        <f>J571/I571</f>
        <v>#DIV/0!</v>
      </c>
      <c r="L571" s="175" t="s">
        <v>361</v>
      </c>
    </row>
    <row r="572" spans="1:12" ht="24.75" hidden="1" customHeight="1" x14ac:dyDescent="0.2">
      <c r="A572" s="506" t="s">
        <v>129</v>
      </c>
      <c r="B572" s="567" t="s">
        <v>342</v>
      </c>
      <c r="C572" s="567" t="s">
        <v>343</v>
      </c>
      <c r="D572" s="567" t="s">
        <v>344</v>
      </c>
      <c r="E572" s="567" t="s">
        <v>345</v>
      </c>
      <c r="F572" s="570">
        <v>0.45</v>
      </c>
      <c r="G572" s="175" t="s">
        <v>304</v>
      </c>
      <c r="H572" s="178">
        <v>1</v>
      </c>
      <c r="I572" s="97">
        <v>0</v>
      </c>
      <c r="J572" s="174">
        <v>0</v>
      </c>
      <c r="K572" s="175" t="e">
        <f>J572/I572</f>
        <v>#DIV/0!</v>
      </c>
      <c r="L572" s="82" t="s">
        <v>362</v>
      </c>
    </row>
    <row r="573" spans="1:12" ht="24.75" hidden="1" customHeight="1" x14ac:dyDescent="0.2">
      <c r="A573" s="506"/>
      <c r="B573" s="567"/>
      <c r="C573" s="567"/>
      <c r="D573" s="567"/>
      <c r="E573" s="567"/>
      <c r="F573" s="570"/>
      <c r="G573" s="175" t="s">
        <v>314</v>
      </c>
      <c r="H573" s="80">
        <v>4</v>
      </c>
      <c r="I573" s="97">
        <v>0</v>
      </c>
      <c r="J573" s="174">
        <v>0</v>
      </c>
      <c r="K573" s="175" t="e">
        <f>J573/I573</f>
        <v>#DIV/0!</v>
      </c>
      <c r="L573" s="82" t="s">
        <v>363</v>
      </c>
    </row>
    <row r="574" spans="1:12" ht="24.75" hidden="1" customHeight="1" x14ac:dyDescent="0.2">
      <c r="A574" s="506"/>
      <c r="B574" s="567"/>
      <c r="C574" s="567"/>
      <c r="D574" s="567"/>
      <c r="E574" s="567"/>
      <c r="F574" s="570"/>
      <c r="G574" s="175" t="s">
        <v>315</v>
      </c>
      <c r="H574" s="80">
        <v>1</v>
      </c>
      <c r="I574" s="97">
        <v>0</v>
      </c>
      <c r="J574" s="174">
        <v>0</v>
      </c>
      <c r="K574" s="175" t="e">
        <f>J574/I574</f>
        <v>#DIV/0!</v>
      </c>
      <c r="L574" s="82" t="s">
        <v>364</v>
      </c>
    </row>
    <row r="575" spans="1:12" ht="24.75" hidden="1" customHeight="1" x14ac:dyDescent="0.2">
      <c r="A575" s="506"/>
      <c r="B575" s="175" t="s">
        <v>349</v>
      </c>
      <c r="C575" s="175" t="s">
        <v>350</v>
      </c>
      <c r="D575" s="175" t="s">
        <v>351</v>
      </c>
      <c r="E575" s="175" t="s">
        <v>254</v>
      </c>
      <c r="F575" s="178">
        <v>0.15</v>
      </c>
      <c r="G575" s="175" t="s">
        <v>256</v>
      </c>
      <c r="H575" s="81">
        <v>426</v>
      </c>
      <c r="I575" s="97">
        <v>0</v>
      </c>
      <c r="J575" s="174">
        <v>0</v>
      </c>
      <c r="K575" s="175" t="e">
        <f t="shared" si="15"/>
        <v>#DIV/0!</v>
      </c>
      <c r="L575" s="82" t="s">
        <v>365</v>
      </c>
    </row>
    <row r="576" spans="1:12" ht="24.75" hidden="1" customHeight="1" x14ac:dyDescent="0.2">
      <c r="A576" s="506"/>
      <c r="B576" s="175" t="s">
        <v>353</v>
      </c>
      <c r="C576" s="175" t="s">
        <v>354</v>
      </c>
      <c r="D576" s="175" t="s">
        <v>355</v>
      </c>
      <c r="E576" s="175" t="s">
        <v>254</v>
      </c>
      <c r="F576" s="178">
        <v>0.15</v>
      </c>
      <c r="G576" s="175" t="s">
        <v>257</v>
      </c>
      <c r="H576" s="178">
        <v>1</v>
      </c>
      <c r="I576" s="97">
        <v>0</v>
      </c>
      <c r="J576" s="174">
        <v>0</v>
      </c>
      <c r="K576" s="175" t="e">
        <f t="shared" si="15"/>
        <v>#DIV/0!</v>
      </c>
      <c r="L576" s="82" t="s">
        <v>366</v>
      </c>
    </row>
    <row r="577" spans="1:12" ht="24.75" hidden="1" customHeight="1" x14ac:dyDescent="0.2">
      <c r="A577" s="506"/>
      <c r="B577" s="567" t="s">
        <v>357</v>
      </c>
      <c r="C577" s="567" t="s">
        <v>358</v>
      </c>
      <c r="D577" s="567" t="s">
        <v>359</v>
      </c>
      <c r="E577" s="567" t="s">
        <v>345</v>
      </c>
      <c r="F577" s="570">
        <v>0.25</v>
      </c>
      <c r="G577" s="175" t="s">
        <v>252</v>
      </c>
      <c r="H577" s="81">
        <v>234</v>
      </c>
      <c r="I577" s="97">
        <v>0</v>
      </c>
      <c r="J577" s="174">
        <v>0</v>
      </c>
      <c r="K577" s="175" t="e">
        <f>J577/I577</f>
        <v>#DIV/0!</v>
      </c>
      <c r="L577" s="82" t="s">
        <v>367</v>
      </c>
    </row>
    <row r="578" spans="1:12" ht="24.75" hidden="1" customHeight="1" x14ac:dyDescent="0.2">
      <c r="A578" s="506"/>
      <c r="B578" s="567"/>
      <c r="C578" s="567"/>
      <c r="D578" s="567"/>
      <c r="E578" s="567"/>
      <c r="F578" s="570"/>
      <c r="G578" s="175" t="s">
        <v>308</v>
      </c>
      <c r="H578" s="178">
        <v>1</v>
      </c>
      <c r="I578" s="97">
        <v>0</v>
      </c>
      <c r="J578" s="174">
        <v>0</v>
      </c>
      <c r="K578" s="175" t="e">
        <f>J578/I578</f>
        <v>#DIV/0!</v>
      </c>
      <c r="L578" s="82" t="s">
        <v>368</v>
      </c>
    </row>
    <row r="579" spans="1:12" ht="24.75" hidden="1" customHeight="1" x14ac:dyDescent="0.2">
      <c r="A579" s="506" t="s">
        <v>130</v>
      </c>
      <c r="B579" s="567" t="s">
        <v>342</v>
      </c>
      <c r="C579" s="567" t="s">
        <v>343</v>
      </c>
      <c r="D579" s="567" t="s">
        <v>344</v>
      </c>
      <c r="E579" s="567" t="s">
        <v>345</v>
      </c>
      <c r="F579" s="570">
        <v>0.45</v>
      </c>
      <c r="G579" s="175" t="s">
        <v>304</v>
      </c>
      <c r="H579" s="178">
        <v>1</v>
      </c>
      <c r="I579" s="97">
        <v>0</v>
      </c>
      <c r="J579" s="174">
        <v>0</v>
      </c>
      <c r="K579" s="175" t="e">
        <f>J579/I579</f>
        <v>#DIV/0!</v>
      </c>
      <c r="L579" s="82" t="s">
        <v>369</v>
      </c>
    </row>
    <row r="580" spans="1:12" ht="24.75" hidden="1" customHeight="1" x14ac:dyDescent="0.2">
      <c r="A580" s="506"/>
      <c r="B580" s="567"/>
      <c r="C580" s="567"/>
      <c r="D580" s="567"/>
      <c r="E580" s="567"/>
      <c r="F580" s="570"/>
      <c r="G580" s="175" t="s">
        <v>314</v>
      </c>
      <c r="H580" s="80">
        <v>4</v>
      </c>
      <c r="I580" s="97">
        <v>0</v>
      </c>
      <c r="J580" s="174">
        <v>0</v>
      </c>
      <c r="K580" s="175" t="e">
        <f>J580/I580</f>
        <v>#DIV/0!</v>
      </c>
      <c r="L580" s="82" t="s">
        <v>370</v>
      </c>
    </row>
    <row r="581" spans="1:12" ht="24.75" hidden="1" customHeight="1" x14ac:dyDescent="0.2">
      <c r="A581" s="506"/>
      <c r="B581" s="567"/>
      <c r="C581" s="567"/>
      <c r="D581" s="567"/>
      <c r="E581" s="567"/>
      <c r="F581" s="570"/>
      <c r="G581" s="175" t="s">
        <v>315</v>
      </c>
      <c r="H581" s="80">
        <v>1</v>
      </c>
      <c r="I581" s="97">
        <v>0</v>
      </c>
      <c r="J581" s="174">
        <v>0</v>
      </c>
      <c r="K581" s="175" t="e">
        <f>J581/I581</f>
        <v>#DIV/0!</v>
      </c>
      <c r="L581" s="82" t="s">
        <v>371</v>
      </c>
    </row>
    <row r="582" spans="1:12" ht="24.75" hidden="1" customHeight="1" x14ac:dyDescent="0.2">
      <c r="A582" s="506"/>
      <c r="B582" s="175" t="s">
        <v>349</v>
      </c>
      <c r="C582" s="175" t="s">
        <v>350</v>
      </c>
      <c r="D582" s="175" t="s">
        <v>351</v>
      </c>
      <c r="E582" s="175" t="s">
        <v>254</v>
      </c>
      <c r="F582" s="178">
        <v>0.15</v>
      </c>
      <c r="G582" s="175" t="s">
        <v>256</v>
      </c>
      <c r="H582" s="81">
        <v>426</v>
      </c>
      <c r="I582" s="97">
        <v>0</v>
      </c>
      <c r="J582" s="174">
        <v>0</v>
      </c>
      <c r="K582" s="175" t="e">
        <f t="shared" si="15"/>
        <v>#DIV/0!</v>
      </c>
      <c r="L582" s="82" t="s">
        <v>372</v>
      </c>
    </row>
    <row r="583" spans="1:12" ht="24.75" hidden="1" customHeight="1" x14ac:dyDescent="0.2">
      <c r="A583" s="506"/>
      <c r="B583" s="175" t="s">
        <v>353</v>
      </c>
      <c r="C583" s="175" t="s">
        <v>354</v>
      </c>
      <c r="D583" s="175" t="s">
        <v>355</v>
      </c>
      <c r="E583" s="175" t="s">
        <v>254</v>
      </c>
      <c r="F583" s="178">
        <v>0.15</v>
      </c>
      <c r="G583" s="175" t="s">
        <v>257</v>
      </c>
      <c r="H583" s="178">
        <v>1</v>
      </c>
      <c r="I583" s="97">
        <v>0</v>
      </c>
      <c r="J583" s="174">
        <v>0</v>
      </c>
      <c r="K583" s="175" t="e">
        <f t="shared" si="15"/>
        <v>#DIV/0!</v>
      </c>
      <c r="L583" s="82" t="s">
        <v>373</v>
      </c>
    </row>
    <row r="584" spans="1:12" ht="24.75" hidden="1" customHeight="1" x14ac:dyDescent="0.2">
      <c r="A584" s="506"/>
      <c r="B584" s="567" t="s">
        <v>357</v>
      </c>
      <c r="C584" s="567" t="s">
        <v>358</v>
      </c>
      <c r="D584" s="567" t="s">
        <v>359</v>
      </c>
      <c r="E584" s="567" t="s">
        <v>345</v>
      </c>
      <c r="F584" s="570">
        <v>0.25</v>
      </c>
      <c r="G584" s="175" t="s">
        <v>252</v>
      </c>
      <c r="H584" s="81">
        <v>234</v>
      </c>
      <c r="I584" s="97">
        <v>0</v>
      </c>
      <c r="J584" s="174">
        <v>0</v>
      </c>
      <c r="K584" s="175" t="e">
        <f>J584/I584</f>
        <v>#DIV/0!</v>
      </c>
      <c r="L584" s="82" t="s">
        <v>374</v>
      </c>
    </row>
    <row r="585" spans="1:12" ht="24.75" hidden="1" customHeight="1" x14ac:dyDescent="0.2">
      <c r="A585" s="506"/>
      <c r="B585" s="567"/>
      <c r="C585" s="567"/>
      <c r="D585" s="567"/>
      <c r="E585" s="567"/>
      <c r="F585" s="570"/>
      <c r="G585" s="175" t="s">
        <v>308</v>
      </c>
      <c r="H585" s="178">
        <v>1</v>
      </c>
      <c r="I585" s="97">
        <v>0</v>
      </c>
      <c r="J585" s="174">
        <v>0</v>
      </c>
      <c r="K585" s="175" t="e">
        <f>J585/I585</f>
        <v>#DIV/0!</v>
      </c>
      <c r="L585" s="82" t="s">
        <v>375</v>
      </c>
    </row>
    <row r="586" spans="1:12" ht="24.75" hidden="1" customHeight="1" x14ac:dyDescent="0.2">
      <c r="A586" s="506" t="s">
        <v>131</v>
      </c>
      <c r="B586" s="567" t="s">
        <v>342</v>
      </c>
      <c r="C586" s="567" t="s">
        <v>343</v>
      </c>
      <c r="D586" s="567" t="s">
        <v>344</v>
      </c>
      <c r="E586" s="567" t="s">
        <v>345</v>
      </c>
      <c r="F586" s="570">
        <v>0.45</v>
      </c>
      <c r="G586" s="175" t="s">
        <v>304</v>
      </c>
      <c r="H586" s="178">
        <v>1</v>
      </c>
      <c r="I586" s="97">
        <v>0</v>
      </c>
      <c r="J586" s="174">
        <v>0</v>
      </c>
      <c r="K586" s="175" t="e">
        <f>J586/I586</f>
        <v>#DIV/0!</v>
      </c>
      <c r="L586" s="82" t="s">
        <v>404</v>
      </c>
    </row>
    <row r="587" spans="1:12" ht="24.75" hidden="1" customHeight="1" x14ac:dyDescent="0.2">
      <c r="A587" s="506"/>
      <c r="B587" s="567"/>
      <c r="C587" s="567"/>
      <c r="D587" s="567"/>
      <c r="E587" s="567"/>
      <c r="F587" s="570"/>
      <c r="G587" s="175" t="s">
        <v>314</v>
      </c>
      <c r="H587" s="80">
        <v>4</v>
      </c>
      <c r="I587" s="97">
        <v>0</v>
      </c>
      <c r="J587" s="174">
        <v>0</v>
      </c>
      <c r="K587" s="175" t="e">
        <f>J587/I587</f>
        <v>#DIV/0!</v>
      </c>
      <c r="L587" s="82" t="s">
        <v>405</v>
      </c>
    </row>
    <row r="588" spans="1:12" ht="24.75" hidden="1" customHeight="1" x14ac:dyDescent="0.2">
      <c r="A588" s="506"/>
      <c r="B588" s="567"/>
      <c r="C588" s="567"/>
      <c r="D588" s="567"/>
      <c r="E588" s="567"/>
      <c r="F588" s="570"/>
      <c r="G588" s="175" t="s">
        <v>315</v>
      </c>
      <c r="H588" s="80">
        <v>1</v>
      </c>
      <c r="I588" s="97">
        <v>0</v>
      </c>
      <c r="J588" s="174">
        <v>0</v>
      </c>
      <c r="K588" s="175" t="e">
        <f>J588/I588</f>
        <v>#DIV/0!</v>
      </c>
      <c r="L588" s="82" t="s">
        <v>406</v>
      </c>
    </row>
    <row r="589" spans="1:12" ht="24.75" hidden="1" customHeight="1" x14ac:dyDescent="0.2">
      <c r="A589" s="506"/>
      <c r="B589" s="175" t="s">
        <v>349</v>
      </c>
      <c r="C589" s="175" t="s">
        <v>350</v>
      </c>
      <c r="D589" s="175" t="s">
        <v>351</v>
      </c>
      <c r="E589" s="175" t="s">
        <v>254</v>
      </c>
      <c r="F589" s="178">
        <v>0.15</v>
      </c>
      <c r="G589" s="175" t="s">
        <v>256</v>
      </c>
      <c r="H589" s="81">
        <v>426</v>
      </c>
      <c r="I589" s="97">
        <v>0</v>
      </c>
      <c r="J589" s="174">
        <v>0</v>
      </c>
      <c r="K589" s="175" t="e">
        <f t="shared" si="15"/>
        <v>#DIV/0!</v>
      </c>
      <c r="L589" s="82" t="s">
        <v>407</v>
      </c>
    </row>
    <row r="590" spans="1:12" ht="24.75" hidden="1" customHeight="1" x14ac:dyDescent="0.2">
      <c r="A590" s="506"/>
      <c r="B590" s="175" t="s">
        <v>353</v>
      </c>
      <c r="C590" s="175" t="s">
        <v>354</v>
      </c>
      <c r="D590" s="175" t="s">
        <v>355</v>
      </c>
      <c r="E590" s="175" t="s">
        <v>254</v>
      </c>
      <c r="F590" s="178">
        <v>0.15</v>
      </c>
      <c r="G590" s="175" t="s">
        <v>257</v>
      </c>
      <c r="H590" s="178">
        <v>1</v>
      </c>
      <c r="I590" s="97">
        <v>0</v>
      </c>
      <c r="J590" s="174">
        <v>0</v>
      </c>
      <c r="K590" s="175" t="e">
        <f t="shared" si="15"/>
        <v>#DIV/0!</v>
      </c>
      <c r="L590" s="82" t="s">
        <v>408</v>
      </c>
    </row>
    <row r="591" spans="1:12" ht="24.75" hidden="1" customHeight="1" x14ac:dyDescent="0.2">
      <c r="A591" s="506"/>
      <c r="B591" s="567" t="s">
        <v>357</v>
      </c>
      <c r="C591" s="567" t="s">
        <v>358</v>
      </c>
      <c r="D591" s="567" t="s">
        <v>359</v>
      </c>
      <c r="E591" s="567" t="s">
        <v>345</v>
      </c>
      <c r="F591" s="570">
        <v>0.25</v>
      </c>
      <c r="G591" s="175" t="s">
        <v>252</v>
      </c>
      <c r="H591" s="81">
        <v>234</v>
      </c>
      <c r="I591" s="97">
        <v>0</v>
      </c>
      <c r="J591" s="174">
        <v>0</v>
      </c>
      <c r="K591" s="175" t="e">
        <f t="shared" si="15"/>
        <v>#DIV/0!</v>
      </c>
      <c r="L591" s="82" t="s">
        <v>409</v>
      </c>
    </row>
    <row r="592" spans="1:12" ht="24.75" hidden="1" customHeight="1" x14ac:dyDescent="0.2">
      <c r="A592" s="506"/>
      <c r="B592" s="567"/>
      <c r="C592" s="567"/>
      <c r="D592" s="567"/>
      <c r="E592" s="567"/>
      <c r="F592" s="570"/>
      <c r="G592" s="175" t="s">
        <v>308</v>
      </c>
      <c r="H592" s="178">
        <v>1</v>
      </c>
      <c r="I592" s="97">
        <v>0</v>
      </c>
      <c r="J592" s="174">
        <v>0</v>
      </c>
      <c r="K592" s="175" t="e">
        <f t="shared" si="15"/>
        <v>#DIV/0!</v>
      </c>
      <c r="L592" s="82" t="s">
        <v>410</v>
      </c>
    </row>
    <row r="593" spans="1:12" ht="24.75" hidden="1" customHeight="1" x14ac:dyDescent="0.2">
      <c r="A593" s="506" t="s">
        <v>132</v>
      </c>
      <c r="B593" s="567" t="s">
        <v>342</v>
      </c>
      <c r="C593" s="567" t="s">
        <v>343</v>
      </c>
      <c r="D593" s="567" t="s">
        <v>344</v>
      </c>
      <c r="E593" s="567" t="s">
        <v>345</v>
      </c>
      <c r="F593" s="570">
        <v>0.45</v>
      </c>
      <c r="G593" s="175" t="s">
        <v>304</v>
      </c>
      <c r="H593" s="178">
        <v>1</v>
      </c>
      <c r="I593" s="97">
        <v>0</v>
      </c>
      <c r="J593" s="174">
        <v>0</v>
      </c>
      <c r="K593" s="175" t="e">
        <f t="shared" si="15"/>
        <v>#DIV/0!</v>
      </c>
      <c r="L593" s="82" t="s">
        <v>376</v>
      </c>
    </row>
    <row r="594" spans="1:12" ht="24.75" hidden="1" customHeight="1" x14ac:dyDescent="0.2">
      <c r="A594" s="506"/>
      <c r="B594" s="567"/>
      <c r="C594" s="567"/>
      <c r="D594" s="567"/>
      <c r="E594" s="567"/>
      <c r="F594" s="570"/>
      <c r="G594" s="175" t="s">
        <v>314</v>
      </c>
      <c r="H594" s="84">
        <v>4</v>
      </c>
      <c r="I594" s="97">
        <v>0</v>
      </c>
      <c r="J594" s="174">
        <v>0</v>
      </c>
      <c r="K594" s="175" t="e">
        <f t="shared" si="15"/>
        <v>#DIV/0!</v>
      </c>
      <c r="L594" s="82" t="s">
        <v>377</v>
      </c>
    </row>
    <row r="595" spans="1:12" ht="24.75" hidden="1" customHeight="1" x14ac:dyDescent="0.2">
      <c r="A595" s="506"/>
      <c r="B595" s="567"/>
      <c r="C595" s="567"/>
      <c r="D595" s="567"/>
      <c r="E595" s="567"/>
      <c r="F595" s="570"/>
      <c r="G595" s="175" t="s">
        <v>315</v>
      </c>
      <c r="H595" s="178">
        <v>1</v>
      </c>
      <c r="I595" s="97">
        <v>0</v>
      </c>
      <c r="J595" s="174">
        <v>0</v>
      </c>
      <c r="K595" s="175" t="e">
        <f t="shared" si="15"/>
        <v>#DIV/0!</v>
      </c>
      <c r="L595" s="82" t="s">
        <v>378</v>
      </c>
    </row>
    <row r="596" spans="1:12" ht="24.75" hidden="1" customHeight="1" x14ac:dyDescent="0.2">
      <c r="A596" s="506"/>
      <c r="B596" s="175" t="s">
        <v>349</v>
      </c>
      <c r="C596" s="175" t="s">
        <v>350</v>
      </c>
      <c r="D596" s="175" t="s">
        <v>351</v>
      </c>
      <c r="E596" s="175" t="s">
        <v>254</v>
      </c>
      <c r="F596" s="178">
        <v>0.15</v>
      </c>
      <c r="G596" s="175" t="s">
        <v>256</v>
      </c>
      <c r="H596" s="84">
        <v>426</v>
      </c>
      <c r="I596" s="97">
        <v>0</v>
      </c>
      <c r="J596" s="174">
        <v>0</v>
      </c>
      <c r="K596" s="175" t="e">
        <f t="shared" si="15"/>
        <v>#DIV/0!</v>
      </c>
      <c r="L596" s="82" t="s">
        <v>379</v>
      </c>
    </row>
    <row r="597" spans="1:12" ht="24.75" hidden="1" customHeight="1" x14ac:dyDescent="0.2">
      <c r="A597" s="506"/>
      <c r="B597" s="175" t="s">
        <v>353</v>
      </c>
      <c r="C597" s="175" t="s">
        <v>354</v>
      </c>
      <c r="D597" s="175" t="s">
        <v>355</v>
      </c>
      <c r="E597" s="175" t="s">
        <v>254</v>
      </c>
      <c r="F597" s="178">
        <v>0.15</v>
      </c>
      <c r="G597" s="175" t="s">
        <v>257</v>
      </c>
      <c r="H597" s="178">
        <v>1</v>
      </c>
      <c r="I597" s="97">
        <v>0</v>
      </c>
      <c r="J597" s="174">
        <v>0</v>
      </c>
      <c r="K597" s="175" t="e">
        <f t="shared" si="15"/>
        <v>#DIV/0!</v>
      </c>
      <c r="L597" s="82" t="s">
        <v>380</v>
      </c>
    </row>
    <row r="598" spans="1:12" ht="24.75" hidden="1" customHeight="1" x14ac:dyDescent="0.2">
      <c r="A598" s="506"/>
      <c r="B598" s="567" t="s">
        <v>357</v>
      </c>
      <c r="C598" s="567" t="s">
        <v>358</v>
      </c>
      <c r="D598" s="567" t="s">
        <v>359</v>
      </c>
      <c r="E598" s="567" t="s">
        <v>345</v>
      </c>
      <c r="F598" s="570">
        <v>0.25</v>
      </c>
      <c r="G598" s="175" t="s">
        <v>252</v>
      </c>
      <c r="H598" s="84">
        <v>234</v>
      </c>
      <c r="I598" s="97">
        <v>0</v>
      </c>
      <c r="J598" s="174">
        <v>0</v>
      </c>
      <c r="K598" s="175" t="e">
        <f t="shared" si="15"/>
        <v>#DIV/0!</v>
      </c>
      <c r="L598" s="82" t="s">
        <v>381</v>
      </c>
    </row>
    <row r="599" spans="1:12" ht="24.75" hidden="1" customHeight="1" x14ac:dyDescent="0.2">
      <c r="A599" s="506"/>
      <c r="B599" s="567"/>
      <c r="C599" s="567"/>
      <c r="D599" s="567"/>
      <c r="E599" s="567"/>
      <c r="F599" s="570"/>
      <c r="G599" s="175" t="s">
        <v>308</v>
      </c>
      <c r="H599" s="178">
        <v>1</v>
      </c>
      <c r="I599" s="97">
        <v>0</v>
      </c>
      <c r="J599" s="174">
        <v>0</v>
      </c>
      <c r="K599" s="175" t="e">
        <f>J599/I599</f>
        <v>#DIV/0!</v>
      </c>
      <c r="L599" s="82" t="s">
        <v>382</v>
      </c>
    </row>
    <row r="600" spans="1:12" ht="24.75" hidden="1" customHeight="1" x14ac:dyDescent="0.2">
      <c r="A600" s="559" t="s">
        <v>133</v>
      </c>
      <c r="B600" s="567" t="s">
        <v>342</v>
      </c>
      <c r="C600" s="567" t="s">
        <v>343</v>
      </c>
      <c r="D600" s="567" t="s">
        <v>344</v>
      </c>
      <c r="E600" s="567" t="s">
        <v>345</v>
      </c>
      <c r="F600" s="570">
        <v>0.45</v>
      </c>
      <c r="G600" s="175" t="s">
        <v>304</v>
      </c>
      <c r="H600" s="178">
        <v>1</v>
      </c>
      <c r="I600" s="97">
        <v>0</v>
      </c>
      <c r="J600" s="174">
        <v>0</v>
      </c>
      <c r="K600" s="175" t="e">
        <f t="shared" ref="K600:K605" si="16">J600/I600</f>
        <v>#DIV/0!</v>
      </c>
      <c r="L600" s="82" t="s">
        <v>383</v>
      </c>
    </row>
    <row r="601" spans="1:12" ht="24.75" hidden="1" customHeight="1" x14ac:dyDescent="0.2">
      <c r="A601" s="560"/>
      <c r="B601" s="567"/>
      <c r="C601" s="567"/>
      <c r="D601" s="567"/>
      <c r="E601" s="567"/>
      <c r="F601" s="570"/>
      <c r="G601" s="175" t="s">
        <v>314</v>
      </c>
      <c r="H601" s="84">
        <v>4</v>
      </c>
      <c r="I601" s="97">
        <v>0</v>
      </c>
      <c r="J601" s="174">
        <v>0</v>
      </c>
      <c r="K601" s="175" t="e">
        <f t="shared" si="16"/>
        <v>#DIV/0!</v>
      </c>
      <c r="L601" s="82" t="s">
        <v>384</v>
      </c>
    </row>
    <row r="602" spans="1:12" ht="24.75" hidden="1" customHeight="1" x14ac:dyDescent="0.2">
      <c r="A602" s="560"/>
      <c r="B602" s="567"/>
      <c r="C602" s="567"/>
      <c r="D602" s="567"/>
      <c r="E602" s="567"/>
      <c r="F602" s="570"/>
      <c r="G602" s="175" t="s">
        <v>315</v>
      </c>
      <c r="H602" s="178">
        <v>1</v>
      </c>
      <c r="I602" s="97">
        <v>0</v>
      </c>
      <c r="J602" s="174">
        <v>0</v>
      </c>
      <c r="K602" s="175" t="e">
        <f t="shared" si="16"/>
        <v>#DIV/0!</v>
      </c>
      <c r="L602" s="82" t="s">
        <v>385</v>
      </c>
    </row>
    <row r="603" spans="1:12" ht="24.75" hidden="1" customHeight="1" x14ac:dyDescent="0.2">
      <c r="A603" s="560"/>
      <c r="B603" s="175" t="s">
        <v>349</v>
      </c>
      <c r="C603" s="175" t="s">
        <v>350</v>
      </c>
      <c r="D603" s="175" t="s">
        <v>351</v>
      </c>
      <c r="E603" s="175" t="s">
        <v>254</v>
      </c>
      <c r="F603" s="178">
        <v>0.15</v>
      </c>
      <c r="G603" s="175" t="s">
        <v>256</v>
      </c>
      <c r="H603" s="84">
        <v>491</v>
      </c>
      <c r="I603" s="97">
        <v>0</v>
      </c>
      <c r="J603" s="174">
        <v>0</v>
      </c>
      <c r="K603" s="175" t="e">
        <f t="shared" si="16"/>
        <v>#DIV/0!</v>
      </c>
      <c r="L603" s="82" t="s">
        <v>386</v>
      </c>
    </row>
    <row r="604" spans="1:12" ht="24.75" hidden="1" customHeight="1" x14ac:dyDescent="0.2">
      <c r="A604" s="560"/>
      <c r="B604" s="175" t="s">
        <v>353</v>
      </c>
      <c r="C604" s="175" t="s">
        <v>354</v>
      </c>
      <c r="D604" s="175" t="s">
        <v>355</v>
      </c>
      <c r="E604" s="175" t="s">
        <v>254</v>
      </c>
      <c r="F604" s="178">
        <v>0.15</v>
      </c>
      <c r="G604" s="175" t="s">
        <v>257</v>
      </c>
      <c r="H604" s="178">
        <v>1</v>
      </c>
      <c r="I604" s="97">
        <v>0</v>
      </c>
      <c r="J604" s="174">
        <v>0</v>
      </c>
      <c r="K604" s="175" t="e">
        <f t="shared" si="16"/>
        <v>#DIV/0!</v>
      </c>
      <c r="L604" s="82" t="s">
        <v>387</v>
      </c>
    </row>
    <row r="605" spans="1:12" ht="24.75" hidden="1" customHeight="1" x14ac:dyDescent="0.2">
      <c r="A605" s="560"/>
      <c r="B605" s="567" t="s">
        <v>357</v>
      </c>
      <c r="C605" s="567" t="s">
        <v>358</v>
      </c>
      <c r="D605" s="567" t="s">
        <v>359</v>
      </c>
      <c r="E605" s="567" t="s">
        <v>345</v>
      </c>
      <c r="F605" s="570">
        <v>0.25</v>
      </c>
      <c r="G605" s="175" t="s">
        <v>252</v>
      </c>
      <c r="H605" s="84">
        <v>1292</v>
      </c>
      <c r="I605" s="97">
        <v>0</v>
      </c>
      <c r="J605" s="174">
        <v>0</v>
      </c>
      <c r="K605" s="175" t="e">
        <f t="shared" si="16"/>
        <v>#DIV/0!</v>
      </c>
      <c r="L605" s="82" t="s">
        <v>388</v>
      </c>
    </row>
    <row r="606" spans="1:12" ht="24" hidden="1" customHeight="1" x14ac:dyDescent="0.2">
      <c r="A606" s="516"/>
      <c r="B606" s="567"/>
      <c r="C606" s="567"/>
      <c r="D606" s="567"/>
      <c r="E606" s="567"/>
      <c r="F606" s="570"/>
      <c r="G606" s="175" t="s">
        <v>308</v>
      </c>
      <c r="H606" s="178">
        <v>1</v>
      </c>
      <c r="I606" s="97">
        <v>0</v>
      </c>
      <c r="J606" s="174">
        <v>0</v>
      </c>
      <c r="K606" s="175" t="e">
        <f>J606/I606</f>
        <v>#DIV/0!</v>
      </c>
      <c r="L606" s="82" t="s">
        <v>389</v>
      </c>
    </row>
    <row r="607" spans="1:12" ht="24" customHeight="1" x14ac:dyDescent="0.2">
      <c r="A607" s="77"/>
      <c r="B607" s="79"/>
      <c r="C607" s="79"/>
      <c r="D607" s="79"/>
      <c r="E607" s="79"/>
      <c r="F607" s="296"/>
      <c r="G607" s="79"/>
      <c r="H607" s="296"/>
      <c r="I607" s="98"/>
      <c r="J607" s="77"/>
      <c r="K607" s="79"/>
      <c r="L607" s="297"/>
    </row>
    <row r="608" spans="1:12" ht="24.75" customHeight="1" x14ac:dyDescent="0.2">
      <c r="A608" s="578" t="s">
        <v>189</v>
      </c>
      <c r="B608" s="579"/>
      <c r="C608" s="579"/>
      <c r="D608" s="579"/>
      <c r="E608" s="579"/>
      <c r="F608" s="579"/>
      <c r="G608" s="579"/>
      <c r="H608" s="579"/>
      <c r="I608" s="579"/>
      <c r="J608" s="579"/>
      <c r="K608" s="579"/>
      <c r="L608" s="580"/>
    </row>
    <row r="609" spans="1:13" ht="24.75" customHeight="1" x14ac:dyDescent="0.2">
      <c r="A609" s="74" t="s">
        <v>49</v>
      </c>
      <c r="B609" s="29" t="s">
        <v>144</v>
      </c>
      <c r="C609" s="29" t="s">
        <v>145</v>
      </c>
      <c r="D609" s="29" t="s">
        <v>146</v>
      </c>
      <c r="E609" s="29" t="s">
        <v>147</v>
      </c>
      <c r="F609" s="29" t="s">
        <v>155</v>
      </c>
      <c r="G609" s="29" t="s">
        <v>149</v>
      </c>
      <c r="H609" s="29" t="s">
        <v>156</v>
      </c>
      <c r="I609" s="95" t="s">
        <v>151</v>
      </c>
      <c r="J609" s="29" t="s">
        <v>152</v>
      </c>
      <c r="K609" s="29" t="s">
        <v>153</v>
      </c>
      <c r="L609" s="29" t="s">
        <v>154</v>
      </c>
    </row>
    <row r="610" spans="1:13" ht="24.75" hidden="1" customHeight="1" x14ac:dyDescent="0.2">
      <c r="A610" s="559" t="s">
        <v>135</v>
      </c>
      <c r="B610" s="567" t="s">
        <v>342</v>
      </c>
      <c r="C610" s="567" t="s">
        <v>343</v>
      </c>
      <c r="D610" s="567" t="s">
        <v>344</v>
      </c>
      <c r="E610" s="567" t="s">
        <v>345</v>
      </c>
      <c r="F610" s="570">
        <v>0.45</v>
      </c>
      <c r="G610" s="175" t="s">
        <v>304</v>
      </c>
      <c r="H610" s="178">
        <v>1</v>
      </c>
      <c r="I610" s="97">
        <v>0</v>
      </c>
      <c r="J610" s="174">
        <v>0</v>
      </c>
      <c r="K610" s="175" t="e">
        <f t="shared" ref="K610:K673" si="17">J610/I610</f>
        <v>#DIV/0!</v>
      </c>
      <c r="L610" s="85" t="s">
        <v>383</v>
      </c>
      <c r="M610" s="86"/>
    </row>
    <row r="611" spans="1:13" ht="24.75" hidden="1" customHeight="1" x14ac:dyDescent="0.2">
      <c r="A611" s="560"/>
      <c r="B611" s="567"/>
      <c r="C611" s="567"/>
      <c r="D611" s="567"/>
      <c r="E611" s="567"/>
      <c r="F611" s="570"/>
      <c r="G611" s="175" t="s">
        <v>314</v>
      </c>
      <c r="H611" s="84">
        <v>8</v>
      </c>
      <c r="I611" s="97">
        <v>0</v>
      </c>
      <c r="J611" s="174">
        <v>0</v>
      </c>
      <c r="K611" s="175" t="e">
        <f t="shared" si="17"/>
        <v>#DIV/0!</v>
      </c>
      <c r="L611" s="85" t="s">
        <v>384</v>
      </c>
      <c r="M611" s="86"/>
    </row>
    <row r="612" spans="1:13" ht="24.75" hidden="1" customHeight="1" x14ac:dyDescent="0.2">
      <c r="A612" s="560"/>
      <c r="B612" s="567"/>
      <c r="C612" s="567"/>
      <c r="D612" s="567"/>
      <c r="E612" s="567"/>
      <c r="F612" s="570"/>
      <c r="G612" s="175" t="s">
        <v>315</v>
      </c>
      <c r="H612" s="84">
        <v>2</v>
      </c>
      <c r="I612" s="97">
        <v>0</v>
      </c>
      <c r="J612" s="174">
        <v>0</v>
      </c>
      <c r="K612" s="175" t="e">
        <f t="shared" si="17"/>
        <v>#DIV/0!</v>
      </c>
      <c r="L612" s="85" t="s">
        <v>385</v>
      </c>
      <c r="M612" s="86"/>
    </row>
    <row r="613" spans="1:13" ht="24.75" hidden="1" customHeight="1" x14ac:dyDescent="0.2">
      <c r="A613" s="560"/>
      <c r="B613" s="175" t="s">
        <v>349</v>
      </c>
      <c r="C613" s="175" t="s">
        <v>350</v>
      </c>
      <c r="D613" s="175" t="s">
        <v>351</v>
      </c>
      <c r="E613" s="175" t="s">
        <v>254</v>
      </c>
      <c r="F613" s="178">
        <v>0.15</v>
      </c>
      <c r="G613" s="175" t="s">
        <v>256</v>
      </c>
      <c r="H613" s="84">
        <v>893</v>
      </c>
      <c r="I613" s="97">
        <v>0</v>
      </c>
      <c r="J613" s="174">
        <v>0</v>
      </c>
      <c r="K613" s="175" t="e">
        <f t="shared" si="17"/>
        <v>#DIV/0!</v>
      </c>
      <c r="L613" s="85" t="s">
        <v>386</v>
      </c>
      <c r="M613" s="86"/>
    </row>
    <row r="614" spans="1:13" ht="24.75" hidden="1" customHeight="1" x14ac:dyDescent="0.2">
      <c r="A614" s="560"/>
      <c r="B614" s="175" t="s">
        <v>353</v>
      </c>
      <c r="C614" s="175" t="s">
        <v>354</v>
      </c>
      <c r="D614" s="175" t="s">
        <v>355</v>
      </c>
      <c r="E614" s="175" t="s">
        <v>254</v>
      </c>
      <c r="F614" s="178">
        <v>0.15</v>
      </c>
      <c r="G614" s="175" t="s">
        <v>257</v>
      </c>
      <c r="H614" s="178">
        <v>1</v>
      </c>
      <c r="I614" s="97">
        <v>0</v>
      </c>
      <c r="J614" s="174">
        <v>0</v>
      </c>
      <c r="K614" s="175" t="e">
        <f t="shared" si="17"/>
        <v>#DIV/0!</v>
      </c>
      <c r="L614" s="85" t="s">
        <v>387</v>
      </c>
      <c r="M614" s="86"/>
    </row>
    <row r="615" spans="1:13" ht="24.75" hidden="1" customHeight="1" x14ac:dyDescent="0.2">
      <c r="A615" s="560"/>
      <c r="B615" s="567" t="s">
        <v>357</v>
      </c>
      <c r="C615" s="567" t="s">
        <v>358</v>
      </c>
      <c r="D615" s="567" t="s">
        <v>359</v>
      </c>
      <c r="E615" s="567" t="s">
        <v>345</v>
      </c>
      <c r="F615" s="570">
        <v>0.25</v>
      </c>
      <c r="G615" s="175" t="s">
        <v>252</v>
      </c>
      <c r="H615" s="84">
        <v>759</v>
      </c>
      <c r="I615" s="97">
        <v>0</v>
      </c>
      <c r="J615" s="174">
        <v>0</v>
      </c>
      <c r="K615" s="175" t="e">
        <f t="shared" si="17"/>
        <v>#DIV/0!</v>
      </c>
      <c r="L615" s="85" t="s">
        <v>388</v>
      </c>
      <c r="M615" s="86"/>
    </row>
    <row r="616" spans="1:13" ht="24.75" hidden="1" customHeight="1" x14ac:dyDescent="0.2">
      <c r="A616" s="516"/>
      <c r="B616" s="567"/>
      <c r="C616" s="567"/>
      <c r="D616" s="567"/>
      <c r="E616" s="567"/>
      <c r="F616" s="570"/>
      <c r="G616" s="175" t="s">
        <v>308</v>
      </c>
      <c r="H616" s="178">
        <v>1</v>
      </c>
      <c r="I616" s="97">
        <v>0</v>
      </c>
      <c r="J616" s="174">
        <v>0</v>
      </c>
      <c r="K616" s="175" t="e">
        <f t="shared" si="17"/>
        <v>#DIV/0!</v>
      </c>
      <c r="L616" s="85" t="s">
        <v>389</v>
      </c>
      <c r="M616" s="86"/>
    </row>
    <row r="617" spans="1:13" ht="24.75" hidden="1" customHeight="1" x14ac:dyDescent="0.2">
      <c r="A617" s="559" t="s">
        <v>136</v>
      </c>
      <c r="B617" s="567" t="s">
        <v>342</v>
      </c>
      <c r="C617" s="567" t="s">
        <v>343</v>
      </c>
      <c r="D617" s="567" t="s">
        <v>344</v>
      </c>
      <c r="E617" s="567" t="s">
        <v>345</v>
      </c>
      <c r="F617" s="570">
        <v>0.45</v>
      </c>
      <c r="G617" s="175" t="s">
        <v>304</v>
      </c>
      <c r="H617" s="178">
        <v>1</v>
      </c>
      <c r="I617" s="97">
        <v>0</v>
      </c>
      <c r="J617" s="174">
        <v>0</v>
      </c>
      <c r="K617" s="175" t="e">
        <f t="shared" si="17"/>
        <v>#DIV/0!</v>
      </c>
      <c r="L617" s="87" t="s">
        <v>390</v>
      </c>
    </row>
    <row r="618" spans="1:13" ht="24.75" hidden="1" customHeight="1" x14ac:dyDescent="0.2">
      <c r="A618" s="560"/>
      <c r="B618" s="567"/>
      <c r="C618" s="567"/>
      <c r="D618" s="567"/>
      <c r="E618" s="567"/>
      <c r="F618" s="570"/>
      <c r="G618" s="175" t="s">
        <v>314</v>
      </c>
      <c r="H618" s="84">
        <v>8</v>
      </c>
      <c r="I618" s="97">
        <v>0</v>
      </c>
      <c r="J618" s="174">
        <v>0</v>
      </c>
      <c r="K618" s="175" t="e">
        <f t="shared" si="17"/>
        <v>#DIV/0!</v>
      </c>
      <c r="L618" s="87" t="s">
        <v>391</v>
      </c>
    </row>
    <row r="619" spans="1:13" ht="24.75" hidden="1" customHeight="1" x14ac:dyDescent="0.2">
      <c r="A619" s="560"/>
      <c r="B619" s="567"/>
      <c r="C619" s="567"/>
      <c r="D619" s="567"/>
      <c r="E619" s="567"/>
      <c r="F619" s="570"/>
      <c r="G619" s="175" t="s">
        <v>315</v>
      </c>
      <c r="H619" s="84">
        <v>2</v>
      </c>
      <c r="I619" s="97">
        <v>0</v>
      </c>
      <c r="J619" s="174">
        <v>0</v>
      </c>
      <c r="K619" s="175" t="e">
        <f t="shared" si="17"/>
        <v>#DIV/0!</v>
      </c>
      <c r="L619" s="87" t="s">
        <v>392</v>
      </c>
    </row>
    <row r="620" spans="1:13" ht="24.75" hidden="1" customHeight="1" x14ac:dyDescent="0.2">
      <c r="A620" s="560"/>
      <c r="B620" s="175" t="s">
        <v>349</v>
      </c>
      <c r="C620" s="175" t="s">
        <v>350</v>
      </c>
      <c r="D620" s="175" t="s">
        <v>351</v>
      </c>
      <c r="E620" s="175" t="s">
        <v>254</v>
      </c>
      <c r="F620" s="178">
        <v>0.15</v>
      </c>
      <c r="G620" s="175" t="s">
        <v>256</v>
      </c>
      <c r="H620" s="84">
        <v>893</v>
      </c>
      <c r="I620" s="97">
        <v>0</v>
      </c>
      <c r="J620" s="174">
        <v>0</v>
      </c>
      <c r="K620" s="175" t="e">
        <f t="shared" si="17"/>
        <v>#DIV/0!</v>
      </c>
      <c r="L620" s="87" t="s">
        <v>393</v>
      </c>
    </row>
    <row r="621" spans="1:13" ht="24.75" hidden="1" customHeight="1" x14ac:dyDescent="0.2">
      <c r="A621" s="560"/>
      <c r="B621" s="175" t="s">
        <v>353</v>
      </c>
      <c r="C621" s="175" t="s">
        <v>354</v>
      </c>
      <c r="D621" s="175" t="s">
        <v>355</v>
      </c>
      <c r="E621" s="175" t="s">
        <v>254</v>
      </c>
      <c r="F621" s="178">
        <v>0.15</v>
      </c>
      <c r="G621" s="175" t="s">
        <v>257</v>
      </c>
      <c r="H621" s="178">
        <v>1</v>
      </c>
      <c r="I621" s="97">
        <v>0</v>
      </c>
      <c r="J621" s="174">
        <v>0</v>
      </c>
      <c r="K621" s="175" t="e">
        <f t="shared" si="17"/>
        <v>#DIV/0!</v>
      </c>
      <c r="L621" s="87" t="s">
        <v>394</v>
      </c>
    </row>
    <row r="622" spans="1:13" ht="24.75" hidden="1" customHeight="1" x14ac:dyDescent="0.2">
      <c r="A622" s="560"/>
      <c r="B622" s="567" t="s">
        <v>357</v>
      </c>
      <c r="C622" s="567" t="s">
        <v>358</v>
      </c>
      <c r="D622" s="567" t="s">
        <v>359</v>
      </c>
      <c r="E622" s="567" t="s">
        <v>345</v>
      </c>
      <c r="F622" s="570">
        <v>0.25</v>
      </c>
      <c r="G622" s="175" t="s">
        <v>252</v>
      </c>
      <c r="H622" s="84">
        <v>759</v>
      </c>
      <c r="I622" s="97">
        <v>0</v>
      </c>
      <c r="J622" s="174">
        <v>0</v>
      </c>
      <c r="K622" s="175" t="e">
        <f t="shared" si="17"/>
        <v>#DIV/0!</v>
      </c>
      <c r="L622" s="87" t="s">
        <v>395</v>
      </c>
    </row>
    <row r="623" spans="1:13" ht="24.75" hidden="1" customHeight="1" x14ac:dyDescent="0.2">
      <c r="A623" s="516"/>
      <c r="B623" s="567"/>
      <c r="C623" s="567"/>
      <c r="D623" s="567"/>
      <c r="E623" s="567"/>
      <c r="F623" s="570"/>
      <c r="G623" s="175" t="s">
        <v>308</v>
      </c>
      <c r="H623" s="178">
        <v>1</v>
      </c>
      <c r="I623" s="97">
        <v>0</v>
      </c>
      <c r="J623" s="174">
        <v>0</v>
      </c>
      <c r="K623" s="175" t="e">
        <f t="shared" si="17"/>
        <v>#DIV/0!</v>
      </c>
      <c r="L623" s="87" t="s">
        <v>396</v>
      </c>
    </row>
    <row r="624" spans="1:13" ht="24.75" hidden="1" customHeight="1" x14ac:dyDescent="0.2">
      <c r="A624" s="559" t="s">
        <v>137</v>
      </c>
      <c r="B624" s="567" t="s">
        <v>342</v>
      </c>
      <c r="C624" s="567" t="s">
        <v>343</v>
      </c>
      <c r="D624" s="567" t="s">
        <v>344</v>
      </c>
      <c r="E624" s="567" t="s">
        <v>345</v>
      </c>
      <c r="F624" s="570">
        <v>0.45</v>
      </c>
      <c r="G624" s="175" t="s">
        <v>304</v>
      </c>
      <c r="H624" s="178">
        <v>1</v>
      </c>
      <c r="I624" s="97">
        <v>0</v>
      </c>
      <c r="J624" s="174">
        <v>0</v>
      </c>
      <c r="K624" s="175" t="e">
        <f t="shared" si="17"/>
        <v>#DIV/0!</v>
      </c>
      <c r="L624" s="87" t="s">
        <v>397</v>
      </c>
    </row>
    <row r="625" spans="1:12" ht="24.75" hidden="1" customHeight="1" x14ac:dyDescent="0.2">
      <c r="A625" s="560"/>
      <c r="B625" s="567"/>
      <c r="C625" s="567"/>
      <c r="D625" s="567"/>
      <c r="E625" s="567"/>
      <c r="F625" s="570"/>
      <c r="G625" s="175" t="s">
        <v>314</v>
      </c>
      <c r="H625" s="84">
        <v>8</v>
      </c>
      <c r="I625" s="97">
        <v>0</v>
      </c>
      <c r="J625" s="174">
        <v>0</v>
      </c>
      <c r="K625" s="175" t="e">
        <f t="shared" si="17"/>
        <v>#DIV/0!</v>
      </c>
      <c r="L625" s="87" t="s">
        <v>398</v>
      </c>
    </row>
    <row r="626" spans="1:12" ht="24.75" hidden="1" customHeight="1" x14ac:dyDescent="0.2">
      <c r="A626" s="560"/>
      <c r="B626" s="567"/>
      <c r="C626" s="567"/>
      <c r="D626" s="567"/>
      <c r="E626" s="567"/>
      <c r="F626" s="570"/>
      <c r="G626" s="175" t="s">
        <v>315</v>
      </c>
      <c r="H626" s="84">
        <v>2</v>
      </c>
      <c r="I626" s="97">
        <v>0</v>
      </c>
      <c r="J626" s="174">
        <v>0</v>
      </c>
      <c r="K626" s="175" t="e">
        <f t="shared" si="17"/>
        <v>#DIV/0!</v>
      </c>
      <c r="L626" s="87" t="s">
        <v>399</v>
      </c>
    </row>
    <row r="627" spans="1:12" ht="24.75" hidden="1" customHeight="1" x14ac:dyDescent="0.2">
      <c r="A627" s="560"/>
      <c r="B627" s="175" t="s">
        <v>349</v>
      </c>
      <c r="C627" s="175" t="s">
        <v>350</v>
      </c>
      <c r="D627" s="175" t="s">
        <v>351</v>
      </c>
      <c r="E627" s="175" t="s">
        <v>254</v>
      </c>
      <c r="F627" s="178">
        <v>0.15</v>
      </c>
      <c r="G627" s="175" t="s">
        <v>256</v>
      </c>
      <c r="H627" s="84">
        <v>893</v>
      </c>
      <c r="I627" s="97">
        <v>0</v>
      </c>
      <c r="J627" s="174">
        <v>0</v>
      </c>
      <c r="K627" s="175" t="e">
        <f t="shared" si="17"/>
        <v>#DIV/0!</v>
      </c>
      <c r="L627" s="87" t="s">
        <v>400</v>
      </c>
    </row>
    <row r="628" spans="1:12" ht="24.75" hidden="1" customHeight="1" x14ac:dyDescent="0.2">
      <c r="A628" s="560"/>
      <c r="B628" s="175" t="s">
        <v>353</v>
      </c>
      <c r="C628" s="175" t="s">
        <v>354</v>
      </c>
      <c r="D628" s="175" t="s">
        <v>355</v>
      </c>
      <c r="E628" s="175" t="s">
        <v>254</v>
      </c>
      <c r="F628" s="178">
        <v>0.15</v>
      </c>
      <c r="G628" s="175" t="s">
        <v>257</v>
      </c>
      <c r="H628" s="178">
        <v>1</v>
      </c>
      <c r="I628" s="97">
        <v>0</v>
      </c>
      <c r="J628" s="174">
        <v>0</v>
      </c>
      <c r="K628" s="175" t="e">
        <f t="shared" si="17"/>
        <v>#DIV/0!</v>
      </c>
      <c r="L628" s="87" t="s">
        <v>401</v>
      </c>
    </row>
    <row r="629" spans="1:12" ht="24.75" hidden="1" customHeight="1" x14ac:dyDescent="0.2">
      <c r="A629" s="560"/>
      <c r="B629" s="567" t="s">
        <v>357</v>
      </c>
      <c r="C629" s="567" t="s">
        <v>358</v>
      </c>
      <c r="D629" s="567" t="s">
        <v>359</v>
      </c>
      <c r="E629" s="567" t="s">
        <v>345</v>
      </c>
      <c r="F629" s="570">
        <v>0.25</v>
      </c>
      <c r="G629" s="175" t="s">
        <v>252</v>
      </c>
      <c r="H629" s="84">
        <v>4707</v>
      </c>
      <c r="I629" s="97">
        <v>0</v>
      </c>
      <c r="J629" s="174">
        <v>0</v>
      </c>
      <c r="K629" s="175" t="e">
        <f t="shared" si="17"/>
        <v>#DIV/0!</v>
      </c>
      <c r="L629" s="87" t="s">
        <v>402</v>
      </c>
    </row>
    <row r="630" spans="1:12" ht="24.75" hidden="1" customHeight="1" x14ac:dyDescent="0.2">
      <c r="A630" s="516"/>
      <c r="B630" s="567"/>
      <c r="C630" s="567"/>
      <c r="D630" s="567"/>
      <c r="E630" s="567"/>
      <c r="F630" s="570"/>
      <c r="G630" s="175" t="s">
        <v>308</v>
      </c>
      <c r="H630" s="178">
        <v>1</v>
      </c>
      <c r="I630" s="97">
        <v>0</v>
      </c>
      <c r="J630" s="174">
        <v>0</v>
      </c>
      <c r="K630" s="175" t="e">
        <f t="shared" si="17"/>
        <v>#DIV/0!</v>
      </c>
      <c r="L630" s="87" t="s">
        <v>403</v>
      </c>
    </row>
    <row r="631" spans="1:12" ht="24.75" hidden="1" customHeight="1" x14ac:dyDescent="0.2">
      <c r="A631" s="559" t="s">
        <v>138</v>
      </c>
      <c r="B631" s="567" t="s">
        <v>342</v>
      </c>
      <c r="C631" s="567" t="s">
        <v>343</v>
      </c>
      <c r="D631" s="567" t="s">
        <v>344</v>
      </c>
      <c r="E631" s="567" t="s">
        <v>345</v>
      </c>
      <c r="F631" s="570">
        <v>0.45</v>
      </c>
      <c r="G631" s="175" t="s">
        <v>304</v>
      </c>
      <c r="H631" s="178">
        <v>1</v>
      </c>
      <c r="I631" s="97">
        <v>0</v>
      </c>
      <c r="J631" s="174">
        <v>0</v>
      </c>
      <c r="K631" s="175" t="e">
        <f t="shared" si="17"/>
        <v>#DIV/0!</v>
      </c>
      <c r="L631" s="82" t="s">
        <v>404</v>
      </c>
    </row>
    <row r="632" spans="1:12" ht="24.75" hidden="1" customHeight="1" x14ac:dyDescent="0.2">
      <c r="A632" s="560"/>
      <c r="B632" s="567"/>
      <c r="C632" s="567"/>
      <c r="D632" s="567"/>
      <c r="E632" s="567"/>
      <c r="F632" s="570"/>
      <c r="G632" s="175" t="s">
        <v>314</v>
      </c>
      <c r="H632" s="84">
        <v>6</v>
      </c>
      <c r="I632" s="97">
        <v>0</v>
      </c>
      <c r="J632" s="174">
        <v>0</v>
      </c>
      <c r="K632" s="175" t="e">
        <f t="shared" si="17"/>
        <v>#DIV/0!</v>
      </c>
      <c r="L632" s="82" t="s">
        <v>405</v>
      </c>
    </row>
    <row r="633" spans="1:12" ht="24.75" hidden="1" customHeight="1" x14ac:dyDescent="0.2">
      <c r="A633" s="560"/>
      <c r="B633" s="567"/>
      <c r="C633" s="567"/>
      <c r="D633" s="567"/>
      <c r="E633" s="567"/>
      <c r="F633" s="570"/>
      <c r="G633" s="175" t="s">
        <v>315</v>
      </c>
      <c r="H633" s="84">
        <v>1</v>
      </c>
      <c r="I633" s="97">
        <v>0</v>
      </c>
      <c r="J633" s="174">
        <v>0</v>
      </c>
      <c r="K633" s="175" t="e">
        <f t="shared" si="17"/>
        <v>#DIV/0!</v>
      </c>
      <c r="L633" s="82" t="s">
        <v>406</v>
      </c>
    </row>
    <row r="634" spans="1:12" ht="24.75" hidden="1" customHeight="1" x14ac:dyDescent="0.2">
      <c r="A634" s="560"/>
      <c r="B634" s="175" t="s">
        <v>349</v>
      </c>
      <c r="C634" s="175" t="s">
        <v>350</v>
      </c>
      <c r="D634" s="175" t="s">
        <v>351</v>
      </c>
      <c r="E634" s="175" t="s">
        <v>254</v>
      </c>
      <c r="F634" s="178">
        <v>0.15</v>
      </c>
      <c r="G634" s="175" t="s">
        <v>256</v>
      </c>
      <c r="H634" s="84">
        <v>705</v>
      </c>
      <c r="I634" s="97">
        <v>0</v>
      </c>
      <c r="J634" s="174">
        <v>0</v>
      </c>
      <c r="K634" s="175" t="e">
        <f t="shared" si="17"/>
        <v>#DIV/0!</v>
      </c>
      <c r="L634" s="82" t="s">
        <v>407</v>
      </c>
    </row>
    <row r="635" spans="1:12" ht="24.75" hidden="1" customHeight="1" x14ac:dyDescent="0.2">
      <c r="A635" s="560"/>
      <c r="B635" s="175" t="s">
        <v>353</v>
      </c>
      <c r="C635" s="175" t="s">
        <v>354</v>
      </c>
      <c r="D635" s="175" t="s">
        <v>355</v>
      </c>
      <c r="E635" s="175" t="s">
        <v>254</v>
      </c>
      <c r="F635" s="178">
        <v>0.15</v>
      </c>
      <c r="G635" s="175" t="s">
        <v>257</v>
      </c>
      <c r="H635" s="178">
        <v>1</v>
      </c>
      <c r="I635" s="97">
        <v>0</v>
      </c>
      <c r="J635" s="174">
        <v>0</v>
      </c>
      <c r="K635" s="175" t="e">
        <f t="shared" si="17"/>
        <v>#DIV/0!</v>
      </c>
      <c r="L635" s="82" t="s">
        <v>408</v>
      </c>
    </row>
    <row r="636" spans="1:12" ht="24.75" hidden="1" customHeight="1" x14ac:dyDescent="0.2">
      <c r="A636" s="560"/>
      <c r="B636" s="567" t="s">
        <v>357</v>
      </c>
      <c r="C636" s="567" t="s">
        <v>358</v>
      </c>
      <c r="D636" s="567" t="s">
        <v>359</v>
      </c>
      <c r="E636" s="567" t="s">
        <v>345</v>
      </c>
      <c r="F636" s="570">
        <v>0.25</v>
      </c>
      <c r="G636" s="175" t="s">
        <v>252</v>
      </c>
      <c r="H636" s="84">
        <v>4707</v>
      </c>
      <c r="I636" s="97">
        <v>0</v>
      </c>
      <c r="J636" s="174">
        <v>0</v>
      </c>
      <c r="K636" s="175" t="e">
        <f t="shared" si="17"/>
        <v>#DIV/0!</v>
      </c>
      <c r="L636" s="82" t="s">
        <v>409</v>
      </c>
    </row>
    <row r="637" spans="1:12" ht="24.75" hidden="1" customHeight="1" x14ac:dyDescent="0.2">
      <c r="A637" s="516"/>
      <c r="B637" s="567"/>
      <c r="C637" s="567"/>
      <c r="D637" s="567"/>
      <c r="E637" s="567"/>
      <c r="F637" s="570"/>
      <c r="G637" s="175" t="s">
        <v>308</v>
      </c>
      <c r="H637" s="178">
        <v>1</v>
      </c>
      <c r="I637" s="97">
        <v>0</v>
      </c>
      <c r="J637" s="174">
        <v>0</v>
      </c>
      <c r="K637" s="175" t="e">
        <f t="shared" si="17"/>
        <v>#DIV/0!</v>
      </c>
      <c r="L637" s="82" t="s">
        <v>410</v>
      </c>
    </row>
    <row r="638" spans="1:12" ht="24.75" hidden="1" customHeight="1" x14ac:dyDescent="0.2">
      <c r="A638" s="559" t="s">
        <v>139</v>
      </c>
      <c r="B638" s="567" t="s">
        <v>342</v>
      </c>
      <c r="C638" s="567" t="s">
        <v>343</v>
      </c>
      <c r="D638" s="567" t="s">
        <v>344</v>
      </c>
      <c r="E638" s="567" t="s">
        <v>345</v>
      </c>
      <c r="F638" s="570">
        <v>0.45</v>
      </c>
      <c r="G638" s="175" t="s">
        <v>304</v>
      </c>
      <c r="H638" s="178">
        <v>1</v>
      </c>
      <c r="I638" s="97">
        <v>0</v>
      </c>
      <c r="J638" s="174">
        <v>0</v>
      </c>
      <c r="K638" s="212" t="e">
        <f t="shared" si="17"/>
        <v>#DIV/0!</v>
      </c>
      <c r="L638" s="82" t="s">
        <v>433</v>
      </c>
    </row>
    <row r="639" spans="1:12" ht="24.75" hidden="1" customHeight="1" x14ac:dyDescent="0.2">
      <c r="A639" s="560"/>
      <c r="B639" s="567"/>
      <c r="C639" s="567"/>
      <c r="D639" s="567"/>
      <c r="E639" s="567"/>
      <c r="F639" s="570"/>
      <c r="G639" s="175" t="s">
        <v>314</v>
      </c>
      <c r="H639" s="84">
        <v>7.9999999999999991</v>
      </c>
      <c r="I639" s="97">
        <v>0</v>
      </c>
      <c r="J639" s="174">
        <v>0</v>
      </c>
      <c r="K639" s="212" t="e">
        <f t="shared" si="17"/>
        <v>#DIV/0!</v>
      </c>
      <c r="L639" s="82" t="s">
        <v>434</v>
      </c>
    </row>
    <row r="640" spans="1:12" ht="24.75" hidden="1" customHeight="1" x14ac:dyDescent="0.2">
      <c r="A640" s="560"/>
      <c r="B640" s="567"/>
      <c r="C640" s="567"/>
      <c r="D640" s="567"/>
      <c r="E640" s="567"/>
      <c r="F640" s="570"/>
      <c r="G640" s="175" t="s">
        <v>315</v>
      </c>
      <c r="H640" s="84">
        <v>1.9999999999999998</v>
      </c>
      <c r="I640" s="97">
        <v>0</v>
      </c>
      <c r="J640" s="174">
        <v>0</v>
      </c>
      <c r="K640" s="212" t="e">
        <f t="shared" si="17"/>
        <v>#DIV/0!</v>
      </c>
      <c r="L640" s="82" t="s">
        <v>435</v>
      </c>
    </row>
    <row r="641" spans="1:14" ht="24.75" hidden="1" customHeight="1" x14ac:dyDescent="0.2">
      <c r="A641" s="560"/>
      <c r="B641" s="175" t="s">
        <v>349</v>
      </c>
      <c r="C641" s="175" t="s">
        <v>350</v>
      </c>
      <c r="D641" s="175" t="s">
        <v>351</v>
      </c>
      <c r="E641" s="175" t="s">
        <v>254</v>
      </c>
      <c r="F641" s="178">
        <v>0.15</v>
      </c>
      <c r="G641" s="175" t="s">
        <v>256</v>
      </c>
      <c r="H641" s="84">
        <v>897</v>
      </c>
      <c r="I641" s="97">
        <v>0</v>
      </c>
      <c r="J641" s="174">
        <v>0</v>
      </c>
      <c r="K641" s="212" t="e">
        <f t="shared" si="17"/>
        <v>#DIV/0!</v>
      </c>
      <c r="L641" s="82" t="s">
        <v>436</v>
      </c>
    </row>
    <row r="642" spans="1:14" ht="24.75" hidden="1" customHeight="1" x14ac:dyDescent="0.2">
      <c r="A642" s="560"/>
      <c r="B642" s="175" t="s">
        <v>353</v>
      </c>
      <c r="C642" s="175" t="s">
        <v>354</v>
      </c>
      <c r="D642" s="175" t="s">
        <v>355</v>
      </c>
      <c r="E642" s="175" t="s">
        <v>254</v>
      </c>
      <c r="F642" s="178">
        <v>0.15</v>
      </c>
      <c r="G642" s="175" t="s">
        <v>257</v>
      </c>
      <c r="H642" s="178">
        <v>1</v>
      </c>
      <c r="I642" s="97">
        <v>0</v>
      </c>
      <c r="J642" s="174">
        <v>0</v>
      </c>
      <c r="K642" s="212" t="e">
        <f t="shared" si="17"/>
        <v>#DIV/0!</v>
      </c>
      <c r="L642" s="82" t="s">
        <v>437</v>
      </c>
    </row>
    <row r="643" spans="1:14" ht="24.75" hidden="1" customHeight="1" x14ac:dyDescent="0.2">
      <c r="A643" s="560"/>
      <c r="B643" s="567" t="s">
        <v>357</v>
      </c>
      <c r="C643" s="567" t="s">
        <v>358</v>
      </c>
      <c r="D643" s="567" t="s">
        <v>359</v>
      </c>
      <c r="E643" s="567" t="s">
        <v>345</v>
      </c>
      <c r="F643" s="570">
        <v>0.25</v>
      </c>
      <c r="G643" s="175" t="s">
        <v>252</v>
      </c>
      <c r="H643" s="84">
        <v>4950</v>
      </c>
      <c r="I643" s="97">
        <v>0</v>
      </c>
      <c r="J643" s="174">
        <v>0</v>
      </c>
      <c r="K643" s="212" t="e">
        <f t="shared" si="17"/>
        <v>#DIV/0!</v>
      </c>
      <c r="L643" s="82" t="s">
        <v>438</v>
      </c>
    </row>
    <row r="644" spans="1:14" ht="24.75" hidden="1" customHeight="1" x14ac:dyDescent="0.2">
      <c r="A644" s="516"/>
      <c r="B644" s="567"/>
      <c r="C644" s="567"/>
      <c r="D644" s="567"/>
      <c r="E644" s="567"/>
      <c r="F644" s="570"/>
      <c r="G644" s="175" t="s">
        <v>308</v>
      </c>
      <c r="H644" s="178">
        <v>1</v>
      </c>
      <c r="I644" s="97">
        <v>0</v>
      </c>
      <c r="J644" s="174">
        <v>0</v>
      </c>
      <c r="K644" s="212" t="e">
        <f t="shared" si="17"/>
        <v>#DIV/0!</v>
      </c>
      <c r="L644" s="82" t="s">
        <v>439</v>
      </c>
    </row>
    <row r="645" spans="1:14" ht="24.75" hidden="1" customHeight="1" x14ac:dyDescent="0.2">
      <c r="A645" s="559" t="s">
        <v>140</v>
      </c>
      <c r="B645" s="567" t="s">
        <v>342</v>
      </c>
      <c r="C645" s="567" t="s">
        <v>343</v>
      </c>
      <c r="D645" s="567" t="s">
        <v>344</v>
      </c>
      <c r="E645" s="567" t="s">
        <v>345</v>
      </c>
      <c r="F645" s="570">
        <v>0.45</v>
      </c>
      <c r="G645" s="175" t="s">
        <v>304</v>
      </c>
      <c r="H645" s="178">
        <v>1</v>
      </c>
      <c r="I645" s="97">
        <v>0</v>
      </c>
      <c r="J645" s="174">
        <v>0</v>
      </c>
      <c r="K645" s="212" t="e">
        <f t="shared" si="17"/>
        <v>#DIV/0!</v>
      </c>
      <c r="L645" s="82" t="s">
        <v>446</v>
      </c>
    </row>
    <row r="646" spans="1:14" ht="24.75" hidden="1" customHeight="1" x14ac:dyDescent="0.2">
      <c r="A646" s="560"/>
      <c r="B646" s="567"/>
      <c r="C646" s="567"/>
      <c r="D646" s="567"/>
      <c r="E646" s="567"/>
      <c r="F646" s="570"/>
      <c r="G646" s="175" t="s">
        <v>314</v>
      </c>
      <c r="H646" s="84">
        <v>7.9999999999999991</v>
      </c>
      <c r="I646" s="97">
        <v>0</v>
      </c>
      <c r="J646" s="174">
        <v>0</v>
      </c>
      <c r="K646" s="212" t="e">
        <f t="shared" si="17"/>
        <v>#DIV/0!</v>
      </c>
      <c r="L646" s="82" t="s">
        <v>325</v>
      </c>
    </row>
    <row r="647" spans="1:14" ht="24.75" hidden="1" customHeight="1" x14ac:dyDescent="0.2">
      <c r="A647" s="560"/>
      <c r="B647" s="567"/>
      <c r="C647" s="567"/>
      <c r="D647" s="567"/>
      <c r="E647" s="567"/>
      <c r="F647" s="570"/>
      <c r="G647" s="175" t="s">
        <v>315</v>
      </c>
      <c r="H647" s="84">
        <v>1.9999999999999998</v>
      </c>
      <c r="I647" s="97">
        <v>0</v>
      </c>
      <c r="J647" s="174">
        <v>0</v>
      </c>
      <c r="K647" s="212" t="e">
        <f t="shared" si="17"/>
        <v>#DIV/0!</v>
      </c>
      <c r="L647" s="82" t="s">
        <v>447</v>
      </c>
    </row>
    <row r="648" spans="1:14" ht="24.75" hidden="1" customHeight="1" x14ac:dyDescent="0.2">
      <c r="A648" s="560"/>
      <c r="B648" s="175" t="s">
        <v>349</v>
      </c>
      <c r="C648" s="175" t="s">
        <v>350</v>
      </c>
      <c r="D648" s="175" t="s">
        <v>351</v>
      </c>
      <c r="E648" s="175" t="s">
        <v>254</v>
      </c>
      <c r="F648" s="178">
        <v>0.15</v>
      </c>
      <c r="G648" s="175" t="s">
        <v>256</v>
      </c>
      <c r="H648" s="84">
        <v>897</v>
      </c>
      <c r="I648" s="97">
        <v>0</v>
      </c>
      <c r="J648" s="174">
        <v>0</v>
      </c>
      <c r="K648" s="212" t="e">
        <f t="shared" si="17"/>
        <v>#DIV/0!</v>
      </c>
      <c r="L648" s="82" t="s">
        <v>448</v>
      </c>
    </row>
    <row r="649" spans="1:14" ht="24.75" hidden="1" customHeight="1" x14ac:dyDescent="0.2">
      <c r="A649" s="560"/>
      <c r="B649" s="175" t="s">
        <v>353</v>
      </c>
      <c r="C649" s="175" t="s">
        <v>354</v>
      </c>
      <c r="D649" s="175" t="s">
        <v>355</v>
      </c>
      <c r="E649" s="175" t="s">
        <v>254</v>
      </c>
      <c r="F649" s="178">
        <v>0.15</v>
      </c>
      <c r="G649" s="175" t="s">
        <v>257</v>
      </c>
      <c r="H649" s="178">
        <v>1</v>
      </c>
      <c r="I649" s="97">
        <v>0</v>
      </c>
      <c r="J649" s="174">
        <v>0</v>
      </c>
      <c r="K649" s="212" t="e">
        <f t="shared" si="17"/>
        <v>#DIV/0!</v>
      </c>
      <c r="L649" s="82" t="s">
        <v>449</v>
      </c>
    </row>
    <row r="650" spans="1:14" ht="24.75" hidden="1" customHeight="1" x14ac:dyDescent="0.2">
      <c r="A650" s="560"/>
      <c r="B650" s="567" t="s">
        <v>357</v>
      </c>
      <c r="C650" s="567" t="s">
        <v>358</v>
      </c>
      <c r="D650" s="567" t="s">
        <v>359</v>
      </c>
      <c r="E650" s="567" t="s">
        <v>345</v>
      </c>
      <c r="F650" s="570">
        <v>0.25</v>
      </c>
      <c r="G650" s="175" t="s">
        <v>252</v>
      </c>
      <c r="H650" s="84">
        <v>4950</v>
      </c>
      <c r="I650" s="97">
        <v>0</v>
      </c>
      <c r="J650" s="174">
        <v>0</v>
      </c>
      <c r="K650" s="212" t="e">
        <f t="shared" si="17"/>
        <v>#DIV/0!</v>
      </c>
      <c r="L650" s="82" t="s">
        <v>450</v>
      </c>
    </row>
    <row r="651" spans="1:14" ht="24.75" hidden="1" customHeight="1" x14ac:dyDescent="0.2">
      <c r="A651" s="516"/>
      <c r="B651" s="567"/>
      <c r="C651" s="567"/>
      <c r="D651" s="567"/>
      <c r="E651" s="567"/>
      <c r="F651" s="570"/>
      <c r="G651" s="175" t="s">
        <v>308</v>
      </c>
      <c r="H651" s="178">
        <v>1</v>
      </c>
      <c r="I651" s="97">
        <v>0</v>
      </c>
      <c r="J651" s="174">
        <v>0</v>
      </c>
      <c r="K651" s="212" t="e">
        <f t="shared" si="17"/>
        <v>#DIV/0!</v>
      </c>
      <c r="L651" s="82" t="s">
        <v>451</v>
      </c>
    </row>
    <row r="652" spans="1:14" ht="24.75" hidden="1" customHeight="1" x14ac:dyDescent="0.2">
      <c r="A652" s="506" t="s">
        <v>128</v>
      </c>
      <c r="B652" s="567" t="s">
        <v>342</v>
      </c>
      <c r="C652" s="567" t="s">
        <v>343</v>
      </c>
      <c r="D652" s="567" t="s">
        <v>344</v>
      </c>
      <c r="E652" s="567" t="s">
        <v>345</v>
      </c>
      <c r="F652" s="570">
        <v>0.45</v>
      </c>
      <c r="G652" s="175" t="s">
        <v>304</v>
      </c>
      <c r="H652" s="178">
        <v>1</v>
      </c>
      <c r="I652" s="97">
        <v>0</v>
      </c>
      <c r="J652" s="174">
        <v>0</v>
      </c>
      <c r="K652" s="212" t="e">
        <f t="shared" si="17"/>
        <v>#DIV/0!</v>
      </c>
      <c r="L652" s="213" t="s">
        <v>460</v>
      </c>
      <c r="N652" s="214"/>
    </row>
    <row r="653" spans="1:14" ht="24.75" hidden="1" customHeight="1" x14ac:dyDescent="0.2">
      <c r="A653" s="506"/>
      <c r="B653" s="567"/>
      <c r="C653" s="567"/>
      <c r="D653" s="567"/>
      <c r="E653" s="567"/>
      <c r="F653" s="570"/>
      <c r="G653" s="175" t="s">
        <v>314</v>
      </c>
      <c r="H653" s="84">
        <v>7.9999999999999991</v>
      </c>
      <c r="I653" s="97">
        <v>0</v>
      </c>
      <c r="J653" s="174">
        <v>0</v>
      </c>
      <c r="K653" s="212" t="e">
        <f t="shared" si="17"/>
        <v>#DIV/0!</v>
      </c>
      <c r="L653" s="213" t="s">
        <v>461</v>
      </c>
      <c r="N653" s="214"/>
    </row>
    <row r="654" spans="1:14" ht="24.75" hidden="1" customHeight="1" x14ac:dyDescent="0.2">
      <c r="A654" s="506"/>
      <c r="B654" s="567"/>
      <c r="C654" s="567"/>
      <c r="D654" s="567"/>
      <c r="E654" s="567"/>
      <c r="F654" s="570"/>
      <c r="G654" s="175" t="s">
        <v>315</v>
      </c>
      <c r="H654" s="84">
        <v>1.9999999999999998</v>
      </c>
      <c r="I654" s="97">
        <v>0</v>
      </c>
      <c r="J654" s="174">
        <v>0</v>
      </c>
      <c r="K654" s="212" t="e">
        <f t="shared" si="17"/>
        <v>#DIV/0!</v>
      </c>
      <c r="L654" s="213" t="s">
        <v>462</v>
      </c>
      <c r="N654" s="214"/>
    </row>
    <row r="655" spans="1:14" ht="24.75" hidden="1" customHeight="1" x14ac:dyDescent="0.2">
      <c r="A655" s="506"/>
      <c r="B655" s="175" t="s">
        <v>349</v>
      </c>
      <c r="C655" s="175" t="s">
        <v>350</v>
      </c>
      <c r="D655" s="175" t="s">
        <v>351</v>
      </c>
      <c r="E655" s="175" t="s">
        <v>254</v>
      </c>
      <c r="F655" s="178">
        <v>0.15</v>
      </c>
      <c r="G655" s="175" t="s">
        <v>256</v>
      </c>
      <c r="H655" s="84">
        <v>897</v>
      </c>
      <c r="I655" s="97">
        <v>0</v>
      </c>
      <c r="J655" s="174">
        <v>0</v>
      </c>
      <c r="K655" s="212" t="e">
        <f t="shared" si="17"/>
        <v>#DIV/0!</v>
      </c>
      <c r="L655" s="213" t="s">
        <v>466</v>
      </c>
      <c r="N655" s="214"/>
    </row>
    <row r="656" spans="1:14" ht="24.75" hidden="1" customHeight="1" x14ac:dyDescent="0.2">
      <c r="A656" s="506"/>
      <c r="B656" s="175" t="s">
        <v>353</v>
      </c>
      <c r="C656" s="175" t="s">
        <v>354</v>
      </c>
      <c r="D656" s="175" t="s">
        <v>355</v>
      </c>
      <c r="E656" s="175" t="s">
        <v>254</v>
      </c>
      <c r="F656" s="178">
        <v>0.15</v>
      </c>
      <c r="G656" s="175" t="s">
        <v>257</v>
      </c>
      <c r="H656" s="178">
        <v>1</v>
      </c>
      <c r="I656" s="97">
        <v>0</v>
      </c>
      <c r="J656" s="174">
        <v>0</v>
      </c>
      <c r="K656" s="212" t="e">
        <f t="shared" si="17"/>
        <v>#DIV/0!</v>
      </c>
      <c r="L656" s="213" t="s">
        <v>463</v>
      </c>
      <c r="N656" s="214"/>
    </row>
    <row r="657" spans="1:14" ht="24.75" hidden="1" customHeight="1" x14ac:dyDescent="0.2">
      <c r="A657" s="506"/>
      <c r="B657" s="567" t="s">
        <v>357</v>
      </c>
      <c r="C657" s="567" t="s">
        <v>358</v>
      </c>
      <c r="D657" s="567" t="s">
        <v>359</v>
      </c>
      <c r="E657" s="567" t="s">
        <v>345</v>
      </c>
      <c r="F657" s="570">
        <v>0.25</v>
      </c>
      <c r="G657" s="175" t="s">
        <v>252</v>
      </c>
      <c r="H657" s="84">
        <v>4950</v>
      </c>
      <c r="I657" s="97">
        <v>0</v>
      </c>
      <c r="J657" s="174">
        <v>0</v>
      </c>
      <c r="K657" s="212" t="e">
        <f t="shared" si="17"/>
        <v>#DIV/0!</v>
      </c>
      <c r="L657" s="213" t="s">
        <v>464</v>
      </c>
      <c r="N657" s="214"/>
    </row>
    <row r="658" spans="1:14" ht="24.75" hidden="1" customHeight="1" x14ac:dyDescent="0.2">
      <c r="A658" s="506"/>
      <c r="B658" s="567"/>
      <c r="C658" s="567"/>
      <c r="D658" s="567"/>
      <c r="E658" s="567"/>
      <c r="F658" s="570"/>
      <c r="G658" s="175" t="s">
        <v>308</v>
      </c>
      <c r="H658" s="178">
        <v>1</v>
      </c>
      <c r="I658" s="97">
        <v>0</v>
      </c>
      <c r="J658" s="174">
        <v>0</v>
      </c>
      <c r="K658" s="212" t="e">
        <f t="shared" si="17"/>
        <v>#DIV/0!</v>
      </c>
      <c r="L658" s="213" t="s">
        <v>465</v>
      </c>
      <c r="N658" s="214"/>
    </row>
    <row r="659" spans="1:14" ht="24.75" hidden="1" customHeight="1" x14ac:dyDescent="0.2">
      <c r="A659" s="559" t="s">
        <v>129</v>
      </c>
      <c r="B659" s="567" t="s">
        <v>342</v>
      </c>
      <c r="C659" s="567" t="s">
        <v>343</v>
      </c>
      <c r="D659" s="567" t="s">
        <v>344</v>
      </c>
      <c r="E659" s="567" t="s">
        <v>345</v>
      </c>
      <c r="F659" s="570">
        <v>0.45</v>
      </c>
      <c r="G659" s="175" t="s">
        <v>304</v>
      </c>
      <c r="H659" s="178">
        <v>1</v>
      </c>
      <c r="I659" s="97">
        <v>0</v>
      </c>
      <c r="J659" s="174">
        <v>0</v>
      </c>
      <c r="K659" s="212" t="e">
        <f t="shared" si="17"/>
        <v>#DIV/0!</v>
      </c>
      <c r="L659" s="82" t="s">
        <v>472</v>
      </c>
    </row>
    <row r="660" spans="1:14" ht="24.75" hidden="1" customHeight="1" x14ac:dyDescent="0.2">
      <c r="A660" s="560"/>
      <c r="B660" s="567"/>
      <c r="C660" s="567"/>
      <c r="D660" s="567"/>
      <c r="E660" s="567"/>
      <c r="F660" s="570"/>
      <c r="G660" s="175" t="s">
        <v>314</v>
      </c>
      <c r="H660" s="84">
        <v>7.9999999999999991</v>
      </c>
      <c r="I660" s="97">
        <v>0</v>
      </c>
      <c r="J660" s="174">
        <v>0</v>
      </c>
      <c r="K660" s="212" t="e">
        <f t="shared" si="17"/>
        <v>#DIV/0!</v>
      </c>
      <c r="L660" s="82" t="s">
        <v>471</v>
      </c>
    </row>
    <row r="661" spans="1:14" ht="24.75" hidden="1" customHeight="1" x14ac:dyDescent="0.2">
      <c r="A661" s="560"/>
      <c r="B661" s="567"/>
      <c r="C661" s="567"/>
      <c r="D661" s="567"/>
      <c r="E661" s="567"/>
      <c r="F661" s="570"/>
      <c r="G661" s="175" t="s">
        <v>315</v>
      </c>
      <c r="H661" s="84">
        <v>1.9999999999999998</v>
      </c>
      <c r="I661" s="97">
        <v>0</v>
      </c>
      <c r="J661" s="174">
        <v>0</v>
      </c>
      <c r="K661" s="212" t="e">
        <f t="shared" si="17"/>
        <v>#DIV/0!</v>
      </c>
      <c r="L661" s="82" t="s">
        <v>473</v>
      </c>
    </row>
    <row r="662" spans="1:14" ht="24.75" hidden="1" customHeight="1" x14ac:dyDescent="0.2">
      <c r="A662" s="560"/>
      <c r="B662" s="175" t="s">
        <v>349</v>
      </c>
      <c r="C662" s="175" t="s">
        <v>350</v>
      </c>
      <c r="D662" s="175" t="s">
        <v>351</v>
      </c>
      <c r="E662" s="175" t="s">
        <v>254</v>
      </c>
      <c r="F662" s="178">
        <v>0.15</v>
      </c>
      <c r="G662" s="175" t="s">
        <v>256</v>
      </c>
      <c r="H662" s="84">
        <v>897</v>
      </c>
      <c r="I662" s="97">
        <v>0</v>
      </c>
      <c r="J662" s="174">
        <v>0</v>
      </c>
      <c r="K662" s="212" t="e">
        <f t="shared" si="17"/>
        <v>#DIV/0!</v>
      </c>
      <c r="L662" s="82" t="s">
        <v>469</v>
      </c>
    </row>
    <row r="663" spans="1:14" ht="24.75" hidden="1" customHeight="1" x14ac:dyDescent="0.2">
      <c r="A663" s="560"/>
      <c r="B663" s="175" t="s">
        <v>353</v>
      </c>
      <c r="C663" s="175" t="s">
        <v>354</v>
      </c>
      <c r="D663" s="175" t="s">
        <v>355</v>
      </c>
      <c r="E663" s="175" t="s">
        <v>254</v>
      </c>
      <c r="F663" s="178">
        <v>0.15</v>
      </c>
      <c r="G663" s="175" t="s">
        <v>257</v>
      </c>
      <c r="H663" s="178">
        <v>1</v>
      </c>
      <c r="I663" s="97">
        <v>0</v>
      </c>
      <c r="J663" s="174">
        <v>0</v>
      </c>
      <c r="K663" s="212" t="e">
        <f t="shared" si="17"/>
        <v>#DIV/0!</v>
      </c>
      <c r="L663" s="82" t="s">
        <v>470</v>
      </c>
    </row>
    <row r="664" spans="1:14" ht="24.75" hidden="1" customHeight="1" x14ac:dyDescent="0.2">
      <c r="A664" s="560"/>
      <c r="B664" s="567" t="s">
        <v>357</v>
      </c>
      <c r="C664" s="567" t="s">
        <v>358</v>
      </c>
      <c r="D664" s="567" t="s">
        <v>359</v>
      </c>
      <c r="E664" s="567" t="s">
        <v>345</v>
      </c>
      <c r="F664" s="570">
        <v>0.25</v>
      </c>
      <c r="G664" s="175" t="s">
        <v>252</v>
      </c>
      <c r="H664" s="84">
        <v>4950</v>
      </c>
      <c r="I664" s="97">
        <v>0</v>
      </c>
      <c r="J664" s="174">
        <v>0</v>
      </c>
      <c r="K664" s="212" t="e">
        <f t="shared" si="17"/>
        <v>#DIV/0!</v>
      </c>
      <c r="L664" s="82" t="s">
        <v>468</v>
      </c>
    </row>
    <row r="665" spans="1:14" ht="24.75" hidden="1" customHeight="1" x14ac:dyDescent="0.2">
      <c r="A665" s="516"/>
      <c r="B665" s="567"/>
      <c r="C665" s="567"/>
      <c r="D665" s="567"/>
      <c r="E665" s="567"/>
      <c r="F665" s="570"/>
      <c r="G665" s="175" t="s">
        <v>308</v>
      </c>
      <c r="H665" s="178">
        <v>1</v>
      </c>
      <c r="I665" s="97">
        <v>0</v>
      </c>
      <c r="J665" s="174">
        <v>0</v>
      </c>
      <c r="K665" s="212" t="e">
        <f t="shared" si="17"/>
        <v>#DIV/0!</v>
      </c>
      <c r="L665" s="82" t="s">
        <v>474</v>
      </c>
    </row>
    <row r="666" spans="1:14" ht="24.75" hidden="1" customHeight="1" x14ac:dyDescent="0.2">
      <c r="A666" s="559" t="s">
        <v>130</v>
      </c>
      <c r="B666" s="567" t="s">
        <v>342</v>
      </c>
      <c r="C666" s="567" t="s">
        <v>343</v>
      </c>
      <c r="D666" s="567" t="s">
        <v>344</v>
      </c>
      <c r="E666" s="567" t="s">
        <v>345</v>
      </c>
      <c r="F666" s="570">
        <v>0.45</v>
      </c>
      <c r="G666" s="175" t="s">
        <v>304</v>
      </c>
      <c r="H666" s="178">
        <v>1</v>
      </c>
      <c r="I666" s="207">
        <v>0</v>
      </c>
      <c r="J666" s="212">
        <v>0</v>
      </c>
      <c r="K666" s="212" t="e">
        <f t="shared" si="17"/>
        <v>#DIV/0!</v>
      </c>
      <c r="L666" s="100" t="s">
        <v>480</v>
      </c>
      <c r="N666" s="215"/>
    </row>
    <row r="667" spans="1:14" ht="24.75" hidden="1" customHeight="1" x14ac:dyDescent="0.2">
      <c r="A667" s="560"/>
      <c r="B667" s="567"/>
      <c r="C667" s="567"/>
      <c r="D667" s="567"/>
      <c r="E667" s="567"/>
      <c r="F667" s="570"/>
      <c r="G667" s="175" t="s">
        <v>314</v>
      </c>
      <c r="H667" s="84">
        <v>7.9999999999999991</v>
      </c>
      <c r="I667" s="207">
        <v>0</v>
      </c>
      <c r="J667" s="212">
        <v>0</v>
      </c>
      <c r="K667" s="212" t="e">
        <f t="shared" si="17"/>
        <v>#DIV/0!</v>
      </c>
      <c r="L667" s="100" t="s">
        <v>478</v>
      </c>
      <c r="N667" s="215"/>
    </row>
    <row r="668" spans="1:14" ht="24.75" hidden="1" customHeight="1" x14ac:dyDescent="0.2">
      <c r="A668" s="560"/>
      <c r="B668" s="567"/>
      <c r="C668" s="567"/>
      <c r="D668" s="567"/>
      <c r="E668" s="567"/>
      <c r="F668" s="570"/>
      <c r="G668" s="175" t="s">
        <v>315</v>
      </c>
      <c r="H668" s="84">
        <v>1.9999999999999998</v>
      </c>
      <c r="I668" s="207">
        <v>0</v>
      </c>
      <c r="J668" s="212">
        <v>0</v>
      </c>
      <c r="K668" s="212" t="e">
        <f t="shared" si="17"/>
        <v>#DIV/0!</v>
      </c>
      <c r="L668" s="100" t="s">
        <v>479</v>
      </c>
      <c r="N668" s="215"/>
    </row>
    <row r="669" spans="1:14" ht="24.75" hidden="1" customHeight="1" x14ac:dyDescent="0.2">
      <c r="A669" s="560"/>
      <c r="B669" s="175" t="s">
        <v>349</v>
      </c>
      <c r="C669" s="175" t="s">
        <v>350</v>
      </c>
      <c r="D669" s="175" t="s">
        <v>351</v>
      </c>
      <c r="E669" s="175" t="s">
        <v>254</v>
      </c>
      <c r="F669" s="178">
        <v>0.15</v>
      </c>
      <c r="G669" s="175" t="s">
        <v>256</v>
      </c>
      <c r="H669" s="84">
        <v>897</v>
      </c>
      <c r="I669" s="207">
        <v>0</v>
      </c>
      <c r="J669" s="212">
        <v>0</v>
      </c>
      <c r="K669" s="212" t="e">
        <f t="shared" si="17"/>
        <v>#DIV/0!</v>
      </c>
      <c r="L669" s="100" t="s">
        <v>476</v>
      </c>
      <c r="N669" s="215"/>
    </row>
    <row r="670" spans="1:14" ht="24.75" hidden="1" customHeight="1" x14ac:dyDescent="0.2">
      <c r="A670" s="560"/>
      <c r="B670" s="175" t="s">
        <v>353</v>
      </c>
      <c r="C670" s="175" t="s">
        <v>354</v>
      </c>
      <c r="D670" s="175" t="s">
        <v>355</v>
      </c>
      <c r="E670" s="175" t="s">
        <v>254</v>
      </c>
      <c r="F670" s="178">
        <v>0.15</v>
      </c>
      <c r="G670" s="175" t="s">
        <v>257</v>
      </c>
      <c r="H670" s="178">
        <v>1</v>
      </c>
      <c r="I670" s="207">
        <v>0</v>
      </c>
      <c r="J670" s="212">
        <v>0</v>
      </c>
      <c r="K670" s="212" t="e">
        <f t="shared" si="17"/>
        <v>#DIV/0!</v>
      </c>
      <c r="L670" s="100" t="s">
        <v>477</v>
      </c>
      <c r="N670" s="215"/>
    </row>
    <row r="671" spans="1:14" ht="24.75" hidden="1" customHeight="1" x14ac:dyDescent="0.2">
      <c r="A671" s="560"/>
      <c r="B671" s="567" t="s">
        <v>357</v>
      </c>
      <c r="C671" s="567" t="s">
        <v>358</v>
      </c>
      <c r="D671" s="567" t="s">
        <v>359</v>
      </c>
      <c r="E671" s="567" t="s">
        <v>345</v>
      </c>
      <c r="F671" s="570">
        <v>0.25</v>
      </c>
      <c r="G671" s="175" t="s">
        <v>252</v>
      </c>
      <c r="H671" s="84">
        <v>4950</v>
      </c>
      <c r="I671" s="207">
        <v>0</v>
      </c>
      <c r="J671" s="212">
        <v>0</v>
      </c>
      <c r="K671" s="212" t="e">
        <f t="shared" si="17"/>
        <v>#DIV/0!</v>
      </c>
      <c r="L671" s="100" t="s">
        <v>475</v>
      </c>
      <c r="N671" s="215"/>
    </row>
    <row r="672" spans="1:14" ht="24.75" hidden="1" customHeight="1" x14ac:dyDescent="0.2">
      <c r="A672" s="516"/>
      <c r="B672" s="567"/>
      <c r="C672" s="567"/>
      <c r="D672" s="567"/>
      <c r="E672" s="567"/>
      <c r="F672" s="570"/>
      <c r="G672" s="175" t="s">
        <v>308</v>
      </c>
      <c r="H672" s="178">
        <v>1</v>
      </c>
      <c r="I672" s="207">
        <v>0</v>
      </c>
      <c r="J672" s="212">
        <v>0</v>
      </c>
      <c r="K672" s="212" t="e">
        <f t="shared" si="17"/>
        <v>#DIV/0!</v>
      </c>
      <c r="L672" s="100" t="s">
        <v>481</v>
      </c>
      <c r="N672" s="215"/>
    </row>
    <row r="673" spans="1:12" ht="24.75" hidden="1" customHeight="1" x14ac:dyDescent="0.2">
      <c r="A673" s="559" t="s">
        <v>131</v>
      </c>
      <c r="B673" s="567" t="s">
        <v>342</v>
      </c>
      <c r="C673" s="567" t="s">
        <v>343</v>
      </c>
      <c r="D673" s="567" t="s">
        <v>344</v>
      </c>
      <c r="E673" s="567" t="s">
        <v>345</v>
      </c>
      <c r="F673" s="570">
        <v>0.45</v>
      </c>
      <c r="G673" s="175" t="s">
        <v>304</v>
      </c>
      <c r="H673" s="178">
        <v>1</v>
      </c>
      <c r="I673" s="207">
        <v>0</v>
      </c>
      <c r="J673" s="212">
        <v>0</v>
      </c>
      <c r="K673" s="212" t="e">
        <f t="shared" si="17"/>
        <v>#DIV/0!</v>
      </c>
      <c r="L673" s="100" t="s">
        <v>487</v>
      </c>
    </row>
    <row r="674" spans="1:12" ht="24.75" hidden="1" customHeight="1" x14ac:dyDescent="0.2">
      <c r="A674" s="560"/>
      <c r="B674" s="567"/>
      <c r="C674" s="567"/>
      <c r="D674" s="567"/>
      <c r="E674" s="567"/>
      <c r="F674" s="570"/>
      <c r="G674" s="175" t="s">
        <v>314</v>
      </c>
      <c r="H674" s="84">
        <v>7.9999999999999991</v>
      </c>
      <c r="I674" s="207">
        <v>0</v>
      </c>
      <c r="J674" s="212">
        <v>0</v>
      </c>
      <c r="K674" s="212" t="e">
        <f t="shared" ref="K674:K679" si="18">J674/I674</f>
        <v>#DIV/0!</v>
      </c>
      <c r="L674" s="100" t="s">
        <v>485</v>
      </c>
    </row>
    <row r="675" spans="1:12" ht="24.75" hidden="1" customHeight="1" x14ac:dyDescent="0.2">
      <c r="A675" s="560"/>
      <c r="B675" s="567"/>
      <c r="C675" s="567"/>
      <c r="D675" s="567"/>
      <c r="E675" s="567"/>
      <c r="F675" s="570"/>
      <c r="G675" s="175" t="s">
        <v>315</v>
      </c>
      <c r="H675" s="84">
        <v>1.9999999999999998</v>
      </c>
      <c r="I675" s="207">
        <v>0</v>
      </c>
      <c r="J675" s="212">
        <v>0</v>
      </c>
      <c r="K675" s="212" t="e">
        <f t="shared" si="18"/>
        <v>#DIV/0!</v>
      </c>
      <c r="L675" s="100" t="s">
        <v>488</v>
      </c>
    </row>
    <row r="676" spans="1:12" ht="24.75" hidden="1" customHeight="1" x14ac:dyDescent="0.2">
      <c r="A676" s="560"/>
      <c r="B676" s="175" t="s">
        <v>349</v>
      </c>
      <c r="C676" s="175" t="s">
        <v>350</v>
      </c>
      <c r="D676" s="175" t="s">
        <v>351</v>
      </c>
      <c r="E676" s="175" t="s">
        <v>254</v>
      </c>
      <c r="F676" s="178">
        <v>0.15</v>
      </c>
      <c r="G676" s="175" t="s">
        <v>256</v>
      </c>
      <c r="H676" s="84">
        <v>897</v>
      </c>
      <c r="I676" s="207">
        <v>0</v>
      </c>
      <c r="J676" s="212">
        <v>0</v>
      </c>
      <c r="K676" s="212" t="e">
        <f t="shared" si="18"/>
        <v>#DIV/0!</v>
      </c>
      <c r="L676" s="100" t="s">
        <v>482</v>
      </c>
    </row>
    <row r="677" spans="1:12" ht="24.75" hidden="1" customHeight="1" x14ac:dyDescent="0.2">
      <c r="A677" s="560"/>
      <c r="B677" s="175" t="s">
        <v>353</v>
      </c>
      <c r="C677" s="175" t="s">
        <v>354</v>
      </c>
      <c r="D677" s="175" t="s">
        <v>355</v>
      </c>
      <c r="E677" s="175" t="s">
        <v>254</v>
      </c>
      <c r="F677" s="178">
        <v>0.15</v>
      </c>
      <c r="G677" s="175" t="s">
        <v>257</v>
      </c>
      <c r="H677" s="178">
        <v>1</v>
      </c>
      <c r="I677" s="207">
        <v>0</v>
      </c>
      <c r="J677" s="212">
        <v>0</v>
      </c>
      <c r="K677" s="212" t="e">
        <f t="shared" si="18"/>
        <v>#DIV/0!</v>
      </c>
      <c r="L677" s="100" t="s">
        <v>484</v>
      </c>
    </row>
    <row r="678" spans="1:12" ht="24.75" hidden="1" customHeight="1" x14ac:dyDescent="0.2">
      <c r="A678" s="560"/>
      <c r="B678" s="567" t="s">
        <v>357</v>
      </c>
      <c r="C678" s="567" t="s">
        <v>358</v>
      </c>
      <c r="D678" s="567" t="s">
        <v>359</v>
      </c>
      <c r="E678" s="567" t="s">
        <v>345</v>
      </c>
      <c r="F678" s="570">
        <v>0.25</v>
      </c>
      <c r="G678" s="175" t="s">
        <v>252</v>
      </c>
      <c r="H678" s="84">
        <v>4950</v>
      </c>
      <c r="I678" s="207">
        <v>0</v>
      </c>
      <c r="J678" s="212">
        <v>0</v>
      </c>
      <c r="K678" s="212" t="e">
        <f t="shared" si="18"/>
        <v>#DIV/0!</v>
      </c>
      <c r="L678" s="100" t="s">
        <v>489</v>
      </c>
    </row>
    <row r="679" spans="1:12" ht="24.75" hidden="1" customHeight="1" x14ac:dyDescent="0.2">
      <c r="A679" s="516"/>
      <c r="B679" s="567"/>
      <c r="C679" s="567"/>
      <c r="D679" s="567"/>
      <c r="E679" s="567"/>
      <c r="F679" s="570"/>
      <c r="G679" s="175" t="s">
        <v>308</v>
      </c>
      <c r="H679" s="178">
        <v>1</v>
      </c>
      <c r="I679" s="207">
        <v>0</v>
      </c>
      <c r="J679" s="212">
        <v>0</v>
      </c>
      <c r="K679" s="212" t="e">
        <f t="shared" si="18"/>
        <v>#DIV/0!</v>
      </c>
      <c r="L679" s="100" t="s">
        <v>486</v>
      </c>
    </row>
    <row r="680" spans="1:12" ht="24.75" hidden="1" customHeight="1" x14ac:dyDescent="0.2">
      <c r="A680" s="559" t="s">
        <v>132</v>
      </c>
      <c r="B680" s="567" t="s">
        <v>342</v>
      </c>
      <c r="C680" s="567" t="s">
        <v>343</v>
      </c>
      <c r="D680" s="567" t="s">
        <v>344</v>
      </c>
      <c r="E680" s="567" t="s">
        <v>345</v>
      </c>
      <c r="F680" s="570">
        <v>0.45</v>
      </c>
      <c r="G680" s="175" t="s">
        <v>304</v>
      </c>
      <c r="H680" s="178">
        <v>1</v>
      </c>
      <c r="I680" s="207">
        <v>0</v>
      </c>
      <c r="J680" s="212">
        <v>0</v>
      </c>
      <c r="K680" s="212" t="e">
        <f>J680/I680</f>
        <v>#DIV/0!</v>
      </c>
      <c r="L680" s="100" t="s">
        <v>503</v>
      </c>
    </row>
    <row r="681" spans="1:12" ht="24.75" hidden="1" customHeight="1" x14ac:dyDescent="0.2">
      <c r="A681" s="560"/>
      <c r="B681" s="567"/>
      <c r="C681" s="567"/>
      <c r="D681" s="567"/>
      <c r="E681" s="567"/>
      <c r="F681" s="570"/>
      <c r="G681" s="175" t="s">
        <v>314</v>
      </c>
      <c r="H681" s="84">
        <v>7.9999999999999991</v>
      </c>
      <c r="I681" s="207">
        <v>0</v>
      </c>
      <c r="J681" s="212">
        <v>0</v>
      </c>
      <c r="K681" s="212" t="e">
        <f t="shared" ref="K681:K686" si="19">J681/I681</f>
        <v>#DIV/0!</v>
      </c>
      <c r="L681" s="100" t="s">
        <v>500</v>
      </c>
    </row>
    <row r="682" spans="1:12" ht="24.75" hidden="1" customHeight="1" x14ac:dyDescent="0.2">
      <c r="A682" s="560"/>
      <c r="B682" s="567"/>
      <c r="C682" s="567"/>
      <c r="D682" s="567"/>
      <c r="E682" s="567"/>
      <c r="F682" s="570"/>
      <c r="G682" s="175" t="s">
        <v>315</v>
      </c>
      <c r="H682" s="84">
        <v>1.9999999999999998</v>
      </c>
      <c r="I682" s="207">
        <v>0</v>
      </c>
      <c r="J682" s="212">
        <v>0</v>
      </c>
      <c r="K682" s="212" t="e">
        <f t="shared" si="19"/>
        <v>#DIV/0!</v>
      </c>
      <c r="L682" s="100" t="s">
        <v>505</v>
      </c>
    </row>
    <row r="683" spans="1:12" ht="24.75" hidden="1" customHeight="1" x14ac:dyDescent="0.2">
      <c r="A683" s="560"/>
      <c r="B683" s="175" t="s">
        <v>349</v>
      </c>
      <c r="C683" s="175" t="s">
        <v>350</v>
      </c>
      <c r="D683" s="175" t="s">
        <v>351</v>
      </c>
      <c r="E683" s="175" t="s">
        <v>254</v>
      </c>
      <c r="F683" s="178">
        <v>0.15</v>
      </c>
      <c r="G683" s="175" t="s">
        <v>256</v>
      </c>
      <c r="H683" s="84">
        <v>897</v>
      </c>
      <c r="I683" s="207">
        <v>0</v>
      </c>
      <c r="J683" s="212">
        <v>0</v>
      </c>
      <c r="K683" s="212" t="e">
        <f t="shared" si="19"/>
        <v>#DIV/0!</v>
      </c>
      <c r="L683" s="100" t="s">
        <v>499</v>
      </c>
    </row>
    <row r="684" spans="1:12" ht="24.75" hidden="1" customHeight="1" x14ac:dyDescent="0.2">
      <c r="A684" s="560"/>
      <c r="B684" s="175" t="s">
        <v>353</v>
      </c>
      <c r="C684" s="175" t="s">
        <v>354</v>
      </c>
      <c r="D684" s="175" t="s">
        <v>355</v>
      </c>
      <c r="E684" s="175" t="s">
        <v>254</v>
      </c>
      <c r="F684" s="178">
        <v>0.15</v>
      </c>
      <c r="G684" s="175" t="s">
        <v>257</v>
      </c>
      <c r="H684" s="178">
        <v>1</v>
      </c>
      <c r="I684" s="207">
        <v>0</v>
      </c>
      <c r="J684" s="212">
        <v>0</v>
      </c>
      <c r="K684" s="212" t="e">
        <f t="shared" si="19"/>
        <v>#DIV/0!</v>
      </c>
      <c r="L684" s="100" t="s">
        <v>501</v>
      </c>
    </row>
    <row r="685" spans="1:12" ht="24.75" hidden="1" customHeight="1" x14ac:dyDescent="0.2">
      <c r="A685" s="560"/>
      <c r="B685" s="567" t="s">
        <v>357</v>
      </c>
      <c r="C685" s="567" t="s">
        <v>358</v>
      </c>
      <c r="D685" s="567" t="s">
        <v>359</v>
      </c>
      <c r="E685" s="567" t="s">
        <v>345</v>
      </c>
      <c r="F685" s="570">
        <v>0.25</v>
      </c>
      <c r="G685" s="175" t="s">
        <v>252</v>
      </c>
      <c r="H685" s="84">
        <v>4950</v>
      </c>
      <c r="I685" s="207">
        <v>0</v>
      </c>
      <c r="J685" s="212">
        <v>0</v>
      </c>
      <c r="K685" s="212" t="e">
        <f t="shared" si="19"/>
        <v>#DIV/0!</v>
      </c>
      <c r="L685" s="100" t="s">
        <v>504</v>
      </c>
    </row>
    <row r="686" spans="1:12" ht="24.75" hidden="1" customHeight="1" x14ac:dyDescent="0.2">
      <c r="A686" s="516"/>
      <c r="B686" s="567"/>
      <c r="C686" s="567"/>
      <c r="D686" s="567"/>
      <c r="E686" s="567"/>
      <c r="F686" s="570"/>
      <c r="G686" s="175" t="s">
        <v>308</v>
      </c>
      <c r="H686" s="178">
        <v>1</v>
      </c>
      <c r="I686" s="207">
        <v>0</v>
      </c>
      <c r="J686" s="212">
        <v>0</v>
      </c>
      <c r="K686" s="212" t="e">
        <f t="shared" si="19"/>
        <v>#DIV/0!</v>
      </c>
      <c r="L686" s="100" t="s">
        <v>502</v>
      </c>
    </row>
    <row r="687" spans="1:12" ht="24.75" hidden="1" customHeight="1" x14ac:dyDescent="0.2">
      <c r="A687" s="559" t="s">
        <v>133</v>
      </c>
      <c r="B687" s="567" t="s">
        <v>342</v>
      </c>
      <c r="C687" s="567" t="s">
        <v>343</v>
      </c>
      <c r="D687" s="567" t="s">
        <v>344</v>
      </c>
      <c r="E687" s="567" t="s">
        <v>345</v>
      </c>
      <c r="F687" s="570">
        <v>0.45</v>
      </c>
      <c r="G687" s="175" t="s">
        <v>304</v>
      </c>
      <c r="H687" s="178">
        <v>1</v>
      </c>
      <c r="I687" s="207">
        <v>0</v>
      </c>
      <c r="J687" s="212">
        <v>0</v>
      </c>
      <c r="K687" s="212" t="e">
        <f>J687/I687</f>
        <v>#DIV/0!</v>
      </c>
      <c r="L687" s="100" t="s">
        <v>656</v>
      </c>
    </row>
    <row r="688" spans="1:12" ht="24.75" hidden="1" customHeight="1" x14ac:dyDescent="0.2">
      <c r="A688" s="560"/>
      <c r="B688" s="567"/>
      <c r="C688" s="567"/>
      <c r="D688" s="567"/>
      <c r="E688" s="567"/>
      <c r="F688" s="570"/>
      <c r="G688" s="175" t="s">
        <v>314</v>
      </c>
      <c r="H688" s="84">
        <v>7.9999999999999991</v>
      </c>
      <c r="I688" s="207">
        <v>0</v>
      </c>
      <c r="J688" s="212">
        <v>0</v>
      </c>
      <c r="K688" s="212" t="e">
        <f t="shared" ref="K688:K693" si="20">J688/I688</f>
        <v>#DIV/0!</v>
      </c>
      <c r="L688" s="100" t="s">
        <v>657</v>
      </c>
    </row>
    <row r="689" spans="1:12" ht="24.75" hidden="1" customHeight="1" x14ac:dyDescent="0.2">
      <c r="A689" s="560"/>
      <c r="B689" s="567"/>
      <c r="C689" s="567"/>
      <c r="D689" s="567"/>
      <c r="E689" s="567"/>
      <c r="F689" s="570"/>
      <c r="G689" s="175" t="s">
        <v>315</v>
      </c>
      <c r="H689" s="84">
        <v>1.9999999999999998</v>
      </c>
      <c r="I689" s="207">
        <v>0</v>
      </c>
      <c r="J689" s="212">
        <v>0</v>
      </c>
      <c r="K689" s="212" t="e">
        <f t="shared" si="20"/>
        <v>#DIV/0!</v>
      </c>
      <c r="L689" s="100" t="s">
        <v>658</v>
      </c>
    </row>
    <row r="690" spans="1:12" ht="24.75" hidden="1" customHeight="1" x14ac:dyDescent="0.2">
      <c r="A690" s="560"/>
      <c r="B690" s="175" t="s">
        <v>349</v>
      </c>
      <c r="C690" s="175" t="s">
        <v>350</v>
      </c>
      <c r="D690" s="175" t="s">
        <v>351</v>
      </c>
      <c r="E690" s="175" t="s">
        <v>254</v>
      </c>
      <c r="F690" s="178">
        <v>0.15</v>
      </c>
      <c r="G690" s="175" t="s">
        <v>256</v>
      </c>
      <c r="H690" s="84">
        <v>897</v>
      </c>
      <c r="I690" s="207">
        <v>0</v>
      </c>
      <c r="J690" s="212">
        <v>0</v>
      </c>
      <c r="K690" s="212" t="e">
        <f t="shared" si="20"/>
        <v>#DIV/0!</v>
      </c>
      <c r="L690" s="100" t="s">
        <v>659</v>
      </c>
    </row>
    <row r="691" spans="1:12" ht="24.75" hidden="1" customHeight="1" x14ac:dyDescent="0.2">
      <c r="A691" s="560"/>
      <c r="B691" s="175" t="s">
        <v>353</v>
      </c>
      <c r="C691" s="175" t="s">
        <v>354</v>
      </c>
      <c r="D691" s="175" t="s">
        <v>355</v>
      </c>
      <c r="E691" s="175" t="s">
        <v>254</v>
      </c>
      <c r="F691" s="178">
        <v>0.15</v>
      </c>
      <c r="G691" s="175" t="s">
        <v>257</v>
      </c>
      <c r="H691" s="178">
        <v>1</v>
      </c>
      <c r="I691" s="207">
        <v>0</v>
      </c>
      <c r="J691" s="212">
        <v>0</v>
      </c>
      <c r="K691" s="212" t="e">
        <f t="shared" si="20"/>
        <v>#DIV/0!</v>
      </c>
      <c r="L691" s="100" t="s">
        <v>660</v>
      </c>
    </row>
    <row r="692" spans="1:12" ht="24.75" hidden="1" customHeight="1" x14ac:dyDescent="0.2">
      <c r="A692" s="560"/>
      <c r="B692" s="567" t="s">
        <v>357</v>
      </c>
      <c r="C692" s="567" t="s">
        <v>358</v>
      </c>
      <c r="D692" s="567" t="s">
        <v>359</v>
      </c>
      <c r="E692" s="567" t="s">
        <v>345</v>
      </c>
      <c r="F692" s="570">
        <v>0.25</v>
      </c>
      <c r="G692" s="175" t="s">
        <v>252</v>
      </c>
      <c r="H692" s="84">
        <v>4950</v>
      </c>
      <c r="I692" s="207">
        <v>0</v>
      </c>
      <c r="J692" s="212">
        <v>0</v>
      </c>
      <c r="K692" s="212" t="e">
        <f t="shared" si="20"/>
        <v>#DIV/0!</v>
      </c>
      <c r="L692" s="100" t="s">
        <v>661</v>
      </c>
    </row>
    <row r="693" spans="1:12" ht="24.75" hidden="1" customHeight="1" x14ac:dyDescent="0.2">
      <c r="A693" s="516"/>
      <c r="B693" s="567"/>
      <c r="C693" s="567"/>
      <c r="D693" s="567"/>
      <c r="E693" s="567"/>
      <c r="F693" s="570"/>
      <c r="G693" s="175" t="s">
        <v>308</v>
      </c>
      <c r="H693" s="178">
        <v>1</v>
      </c>
      <c r="I693" s="207">
        <v>0</v>
      </c>
      <c r="J693" s="212">
        <v>0</v>
      </c>
      <c r="K693" s="212" t="e">
        <f t="shared" si="20"/>
        <v>#DIV/0!</v>
      </c>
      <c r="L693" s="100" t="s">
        <v>662</v>
      </c>
    </row>
    <row r="695" spans="1:12" ht="24.75" customHeight="1" x14ac:dyDescent="0.2">
      <c r="A695" s="578" t="s">
        <v>157</v>
      </c>
      <c r="B695" s="579"/>
      <c r="C695" s="579"/>
      <c r="D695" s="579"/>
      <c r="E695" s="579"/>
      <c r="F695" s="579"/>
      <c r="G695" s="579"/>
      <c r="H695" s="579"/>
      <c r="I695" s="579"/>
      <c r="J695" s="579"/>
      <c r="K695" s="579"/>
      <c r="L695" s="580"/>
    </row>
    <row r="696" spans="1:12" ht="24.75" customHeight="1" x14ac:dyDescent="0.2">
      <c r="A696" s="74" t="s">
        <v>61</v>
      </c>
      <c r="B696" s="29" t="s">
        <v>144</v>
      </c>
      <c r="C696" s="29" t="s">
        <v>145</v>
      </c>
      <c r="D696" s="29" t="s">
        <v>146</v>
      </c>
      <c r="E696" s="29" t="s">
        <v>147</v>
      </c>
      <c r="F696" s="29" t="s">
        <v>158</v>
      </c>
      <c r="G696" s="29" t="s">
        <v>149</v>
      </c>
      <c r="H696" s="29" t="s">
        <v>159</v>
      </c>
      <c r="I696" s="95" t="s">
        <v>151</v>
      </c>
      <c r="J696" s="29" t="s">
        <v>152</v>
      </c>
      <c r="K696" s="29" t="s">
        <v>153</v>
      </c>
      <c r="L696" s="29" t="s">
        <v>154</v>
      </c>
    </row>
    <row r="697" spans="1:12" ht="24.75" hidden="1" customHeight="1" x14ac:dyDescent="0.2">
      <c r="A697" s="559" t="s">
        <v>135</v>
      </c>
      <c r="B697" s="567" t="s">
        <v>342</v>
      </c>
      <c r="C697" s="567" t="s">
        <v>343</v>
      </c>
      <c r="D697" s="567" t="s">
        <v>344</v>
      </c>
      <c r="E697" s="567" t="s">
        <v>345</v>
      </c>
      <c r="F697" s="570">
        <v>0.45</v>
      </c>
      <c r="G697" s="175" t="s">
        <v>304</v>
      </c>
      <c r="H697" s="178">
        <v>1</v>
      </c>
      <c r="I697" s="178">
        <v>0</v>
      </c>
      <c r="J697" s="178">
        <v>0</v>
      </c>
      <c r="K697" s="212" t="e">
        <f>J697/I697</f>
        <v>#DIV/0!</v>
      </c>
      <c r="L697" s="82" t="s">
        <v>513</v>
      </c>
    </row>
    <row r="698" spans="1:12" ht="24.75" hidden="1" customHeight="1" x14ac:dyDescent="0.2">
      <c r="A698" s="560"/>
      <c r="B698" s="567"/>
      <c r="C698" s="567"/>
      <c r="D698" s="567"/>
      <c r="E698" s="567"/>
      <c r="F698" s="570"/>
      <c r="G698" s="175" t="s">
        <v>314</v>
      </c>
      <c r="H698" s="84">
        <v>6</v>
      </c>
      <c r="I698" s="84">
        <v>0</v>
      </c>
      <c r="J698" s="84">
        <v>0</v>
      </c>
      <c r="K698" s="212" t="e">
        <f t="shared" ref="K698:K703" si="21">J698/I698</f>
        <v>#DIV/0!</v>
      </c>
      <c r="L698" s="82" t="s">
        <v>514</v>
      </c>
    </row>
    <row r="699" spans="1:12" ht="24.75" hidden="1" customHeight="1" x14ac:dyDescent="0.2">
      <c r="A699" s="560"/>
      <c r="B699" s="567"/>
      <c r="C699" s="567"/>
      <c r="D699" s="567"/>
      <c r="E699" s="567"/>
      <c r="F699" s="570"/>
      <c r="G699" s="175" t="s">
        <v>315</v>
      </c>
      <c r="H699" s="84">
        <v>2</v>
      </c>
      <c r="I699" s="84">
        <v>0</v>
      </c>
      <c r="J699" s="84">
        <v>0</v>
      </c>
      <c r="K699" s="212" t="e">
        <f t="shared" si="21"/>
        <v>#DIV/0!</v>
      </c>
      <c r="L699" s="82" t="s">
        <v>517</v>
      </c>
    </row>
    <row r="700" spans="1:12" ht="24.75" hidden="1" customHeight="1" x14ac:dyDescent="0.2">
      <c r="A700" s="560"/>
      <c r="B700" s="175" t="s">
        <v>349</v>
      </c>
      <c r="C700" s="175" t="s">
        <v>350</v>
      </c>
      <c r="D700" s="175" t="s">
        <v>351</v>
      </c>
      <c r="E700" s="175" t="s">
        <v>254</v>
      </c>
      <c r="F700" s="178">
        <v>0.15</v>
      </c>
      <c r="G700" s="175" t="s">
        <v>256</v>
      </c>
      <c r="H700" s="84">
        <v>1272</v>
      </c>
      <c r="I700" s="84">
        <v>0</v>
      </c>
      <c r="J700" s="84">
        <v>0</v>
      </c>
      <c r="K700" s="212" t="e">
        <f t="shared" si="21"/>
        <v>#DIV/0!</v>
      </c>
      <c r="L700" s="82" t="s">
        <v>518</v>
      </c>
    </row>
    <row r="701" spans="1:12" ht="24.75" hidden="1" customHeight="1" x14ac:dyDescent="0.2">
      <c r="A701" s="560"/>
      <c r="B701" s="175" t="s">
        <v>353</v>
      </c>
      <c r="C701" s="175" t="s">
        <v>354</v>
      </c>
      <c r="D701" s="175" t="s">
        <v>355</v>
      </c>
      <c r="E701" s="175" t="s">
        <v>254</v>
      </c>
      <c r="F701" s="178">
        <v>0.15</v>
      </c>
      <c r="G701" s="175" t="s">
        <v>257</v>
      </c>
      <c r="H701" s="178">
        <v>1</v>
      </c>
      <c r="I701" s="178">
        <v>0</v>
      </c>
      <c r="J701" s="178">
        <v>0</v>
      </c>
      <c r="K701" s="212" t="e">
        <f t="shared" si="21"/>
        <v>#DIV/0!</v>
      </c>
      <c r="L701" s="82" t="s">
        <v>511</v>
      </c>
    </row>
    <row r="702" spans="1:12" ht="24.75" hidden="1" customHeight="1" x14ac:dyDescent="0.2">
      <c r="A702" s="560"/>
      <c r="B702" s="567" t="s">
        <v>357</v>
      </c>
      <c r="C702" s="567" t="s">
        <v>358</v>
      </c>
      <c r="D702" s="567" t="s">
        <v>359</v>
      </c>
      <c r="E702" s="567" t="s">
        <v>345</v>
      </c>
      <c r="F702" s="570">
        <v>0.25</v>
      </c>
      <c r="G702" s="175" t="s">
        <v>252</v>
      </c>
      <c r="H702" s="84">
        <v>1097</v>
      </c>
      <c r="I702" s="84">
        <v>0</v>
      </c>
      <c r="J702" s="84">
        <v>0</v>
      </c>
      <c r="K702" s="212" t="e">
        <f t="shared" si="21"/>
        <v>#DIV/0!</v>
      </c>
      <c r="L702" s="82" t="s">
        <v>517</v>
      </c>
    </row>
    <row r="703" spans="1:12" ht="24.75" hidden="1" customHeight="1" x14ac:dyDescent="0.2">
      <c r="A703" s="516"/>
      <c r="B703" s="567"/>
      <c r="C703" s="567"/>
      <c r="D703" s="567"/>
      <c r="E703" s="567"/>
      <c r="F703" s="570"/>
      <c r="G703" s="175" t="s">
        <v>308</v>
      </c>
      <c r="H703" s="178">
        <v>1</v>
      </c>
      <c r="I703" s="178">
        <v>0</v>
      </c>
      <c r="J703" s="178">
        <v>0</v>
      </c>
      <c r="K703" s="212" t="e">
        <f t="shared" si="21"/>
        <v>#DIV/0!</v>
      </c>
      <c r="L703" s="82" t="s">
        <v>509</v>
      </c>
    </row>
    <row r="704" spans="1:12" ht="24.75" hidden="1" customHeight="1" x14ac:dyDescent="0.2">
      <c r="A704" s="559" t="s">
        <v>136</v>
      </c>
      <c r="B704" s="567" t="s">
        <v>342</v>
      </c>
      <c r="C704" s="567" t="s">
        <v>343</v>
      </c>
      <c r="D704" s="567" t="s">
        <v>344</v>
      </c>
      <c r="E704" s="567" t="s">
        <v>345</v>
      </c>
      <c r="F704" s="570">
        <v>0.45</v>
      </c>
      <c r="G704" s="175" t="s">
        <v>304</v>
      </c>
      <c r="H704" s="178">
        <v>1</v>
      </c>
      <c r="I704" s="178">
        <v>0</v>
      </c>
      <c r="J704" s="178">
        <v>0</v>
      </c>
      <c r="K704" s="212" t="e">
        <f>J704/I704</f>
        <v>#DIV/0!</v>
      </c>
      <c r="L704" s="82" t="s">
        <v>535</v>
      </c>
    </row>
    <row r="705" spans="1:12" ht="24.75" hidden="1" customHeight="1" x14ac:dyDescent="0.2">
      <c r="A705" s="560"/>
      <c r="B705" s="567"/>
      <c r="C705" s="567"/>
      <c r="D705" s="567"/>
      <c r="E705" s="567"/>
      <c r="F705" s="570"/>
      <c r="G705" s="175" t="s">
        <v>314</v>
      </c>
      <c r="H705" s="84">
        <v>6</v>
      </c>
      <c r="I705" s="84">
        <v>0</v>
      </c>
      <c r="J705" s="84">
        <v>0</v>
      </c>
      <c r="K705" s="212" t="e">
        <f t="shared" ref="K705:K710" si="22">J705/I705</f>
        <v>#DIV/0!</v>
      </c>
      <c r="L705" s="82" t="s">
        <v>530</v>
      </c>
    </row>
    <row r="706" spans="1:12" ht="24.75" hidden="1" customHeight="1" x14ac:dyDescent="0.2">
      <c r="A706" s="560"/>
      <c r="B706" s="567"/>
      <c r="C706" s="567"/>
      <c r="D706" s="567"/>
      <c r="E706" s="567"/>
      <c r="F706" s="570"/>
      <c r="G706" s="175" t="s">
        <v>315</v>
      </c>
      <c r="H706" s="84">
        <v>2</v>
      </c>
      <c r="I706" s="84">
        <v>0</v>
      </c>
      <c r="J706" s="84">
        <v>0</v>
      </c>
      <c r="K706" s="212" t="e">
        <f t="shared" si="22"/>
        <v>#DIV/0!</v>
      </c>
      <c r="L706" s="82" t="s">
        <v>531</v>
      </c>
    </row>
    <row r="707" spans="1:12" ht="24.75" hidden="1" customHeight="1" x14ac:dyDescent="0.2">
      <c r="A707" s="560"/>
      <c r="B707" s="175" t="s">
        <v>349</v>
      </c>
      <c r="C707" s="175" t="s">
        <v>350</v>
      </c>
      <c r="D707" s="175" t="s">
        <v>351</v>
      </c>
      <c r="E707" s="175" t="s">
        <v>254</v>
      </c>
      <c r="F707" s="178">
        <v>0.15</v>
      </c>
      <c r="G707" s="175" t="s">
        <v>256</v>
      </c>
      <c r="H707" s="84">
        <v>1272</v>
      </c>
      <c r="I707" s="84">
        <v>0</v>
      </c>
      <c r="J707" s="84">
        <v>0</v>
      </c>
      <c r="K707" s="212" t="e">
        <f t="shared" si="22"/>
        <v>#DIV/0!</v>
      </c>
      <c r="L707" s="82" t="s">
        <v>532</v>
      </c>
    </row>
    <row r="708" spans="1:12" ht="24.75" hidden="1" customHeight="1" x14ac:dyDescent="0.2">
      <c r="A708" s="560"/>
      <c r="B708" s="175" t="s">
        <v>353</v>
      </c>
      <c r="C708" s="175" t="s">
        <v>354</v>
      </c>
      <c r="D708" s="175" t="s">
        <v>355</v>
      </c>
      <c r="E708" s="175" t="s">
        <v>254</v>
      </c>
      <c r="F708" s="178">
        <v>0.15</v>
      </c>
      <c r="G708" s="175" t="s">
        <v>257</v>
      </c>
      <c r="H708" s="178">
        <v>1</v>
      </c>
      <c r="I708" s="178">
        <v>0</v>
      </c>
      <c r="J708" s="178">
        <v>0</v>
      </c>
      <c r="K708" s="212" t="e">
        <f t="shared" si="22"/>
        <v>#DIV/0!</v>
      </c>
      <c r="L708" s="82" t="s">
        <v>533</v>
      </c>
    </row>
    <row r="709" spans="1:12" ht="24.75" hidden="1" customHeight="1" x14ac:dyDescent="0.2">
      <c r="A709" s="560"/>
      <c r="B709" s="567" t="s">
        <v>357</v>
      </c>
      <c r="C709" s="567" t="s">
        <v>358</v>
      </c>
      <c r="D709" s="567" t="s">
        <v>359</v>
      </c>
      <c r="E709" s="567" t="s">
        <v>345</v>
      </c>
      <c r="F709" s="570">
        <v>0.25</v>
      </c>
      <c r="G709" s="175" t="s">
        <v>252</v>
      </c>
      <c r="H709" s="84">
        <v>1097</v>
      </c>
      <c r="I709" s="84">
        <v>0</v>
      </c>
      <c r="J709" s="84">
        <v>0</v>
      </c>
      <c r="K709" s="212" t="e">
        <f t="shared" si="22"/>
        <v>#DIV/0!</v>
      </c>
      <c r="L709" s="82" t="s">
        <v>529</v>
      </c>
    </row>
    <row r="710" spans="1:12" ht="24.75" hidden="1" customHeight="1" x14ac:dyDescent="0.2">
      <c r="A710" s="516"/>
      <c r="B710" s="567"/>
      <c r="C710" s="567"/>
      <c r="D710" s="567"/>
      <c r="E710" s="567"/>
      <c r="F710" s="570"/>
      <c r="G710" s="175" t="s">
        <v>308</v>
      </c>
      <c r="H710" s="178">
        <v>1</v>
      </c>
      <c r="I710" s="178">
        <v>0</v>
      </c>
      <c r="J710" s="178">
        <v>0</v>
      </c>
      <c r="K710" s="212" t="e">
        <f t="shared" si="22"/>
        <v>#DIV/0!</v>
      </c>
      <c r="L710" s="82" t="s">
        <v>534</v>
      </c>
    </row>
    <row r="711" spans="1:12" ht="24.75" hidden="1" customHeight="1" x14ac:dyDescent="0.2">
      <c r="A711" s="559" t="s">
        <v>137</v>
      </c>
      <c r="B711" s="567" t="s">
        <v>342</v>
      </c>
      <c r="C711" s="567" t="s">
        <v>343</v>
      </c>
      <c r="D711" s="567" t="s">
        <v>344</v>
      </c>
      <c r="E711" s="567" t="s">
        <v>345</v>
      </c>
      <c r="F711" s="570">
        <v>0.45</v>
      </c>
      <c r="G711" s="175" t="s">
        <v>304</v>
      </c>
      <c r="H711" s="178">
        <v>1</v>
      </c>
      <c r="I711" s="178">
        <v>0</v>
      </c>
      <c r="J711" s="178">
        <v>0</v>
      </c>
      <c r="K711" s="212" t="e">
        <f>J711/I711</f>
        <v>#DIV/0!</v>
      </c>
      <c r="L711" s="82" t="s">
        <v>539</v>
      </c>
    </row>
    <row r="712" spans="1:12" ht="24.75" hidden="1" customHeight="1" x14ac:dyDescent="0.2">
      <c r="A712" s="560"/>
      <c r="B712" s="567"/>
      <c r="C712" s="567"/>
      <c r="D712" s="567"/>
      <c r="E712" s="567"/>
      <c r="F712" s="570"/>
      <c r="G712" s="175" t="s">
        <v>314</v>
      </c>
      <c r="H712" s="84">
        <v>6</v>
      </c>
      <c r="I712" s="84">
        <v>0</v>
      </c>
      <c r="J712" s="84">
        <v>0</v>
      </c>
      <c r="K712" s="212" t="e">
        <f t="shared" ref="K712:K775" si="23">J712/I712</f>
        <v>#DIV/0!</v>
      </c>
      <c r="L712" s="82" t="s">
        <v>540</v>
      </c>
    </row>
    <row r="713" spans="1:12" ht="24.75" hidden="1" customHeight="1" x14ac:dyDescent="0.2">
      <c r="A713" s="560"/>
      <c r="B713" s="567"/>
      <c r="C713" s="567"/>
      <c r="D713" s="567"/>
      <c r="E713" s="567"/>
      <c r="F713" s="570"/>
      <c r="G713" s="175" t="s">
        <v>315</v>
      </c>
      <c r="H713" s="84">
        <v>2</v>
      </c>
      <c r="I713" s="84">
        <v>0</v>
      </c>
      <c r="J713" s="84">
        <v>0</v>
      </c>
      <c r="K713" s="212" t="e">
        <f t="shared" si="23"/>
        <v>#DIV/0!</v>
      </c>
      <c r="L713" s="82" t="s">
        <v>541</v>
      </c>
    </row>
    <row r="714" spans="1:12" ht="24.75" hidden="1" customHeight="1" x14ac:dyDescent="0.2">
      <c r="A714" s="560"/>
      <c r="B714" s="175" t="s">
        <v>349</v>
      </c>
      <c r="C714" s="175" t="s">
        <v>350</v>
      </c>
      <c r="D714" s="175" t="s">
        <v>351</v>
      </c>
      <c r="E714" s="175" t="s">
        <v>254</v>
      </c>
      <c r="F714" s="178">
        <v>0.15</v>
      </c>
      <c r="G714" s="175" t="s">
        <v>256</v>
      </c>
      <c r="H714" s="84">
        <v>1272</v>
      </c>
      <c r="I714" s="84">
        <v>0</v>
      </c>
      <c r="J714" s="84">
        <v>0</v>
      </c>
      <c r="K714" s="212" t="e">
        <f t="shared" si="23"/>
        <v>#DIV/0!</v>
      </c>
      <c r="L714" s="82" t="s">
        <v>543</v>
      </c>
    </row>
    <row r="715" spans="1:12" ht="24.75" hidden="1" customHeight="1" x14ac:dyDescent="0.2">
      <c r="A715" s="560"/>
      <c r="B715" s="175" t="s">
        <v>353</v>
      </c>
      <c r="C715" s="175" t="s">
        <v>354</v>
      </c>
      <c r="D715" s="175" t="s">
        <v>355</v>
      </c>
      <c r="E715" s="175" t="s">
        <v>254</v>
      </c>
      <c r="F715" s="178">
        <v>0.15</v>
      </c>
      <c r="G715" s="175" t="s">
        <v>257</v>
      </c>
      <c r="H715" s="178">
        <v>1</v>
      </c>
      <c r="I715" s="178">
        <v>0</v>
      </c>
      <c r="J715" s="178">
        <v>0</v>
      </c>
      <c r="K715" s="212" t="e">
        <f t="shared" si="23"/>
        <v>#DIV/0!</v>
      </c>
      <c r="L715" s="82" t="s">
        <v>542</v>
      </c>
    </row>
    <row r="716" spans="1:12" ht="24.75" hidden="1" customHeight="1" x14ac:dyDescent="0.2">
      <c r="A716" s="560"/>
      <c r="B716" s="567" t="s">
        <v>357</v>
      </c>
      <c r="C716" s="567" t="s">
        <v>358</v>
      </c>
      <c r="D716" s="567" t="s">
        <v>359</v>
      </c>
      <c r="E716" s="567" t="s">
        <v>345</v>
      </c>
      <c r="F716" s="570">
        <v>0.25</v>
      </c>
      <c r="G716" s="175" t="s">
        <v>252</v>
      </c>
      <c r="H716" s="84">
        <v>1097</v>
      </c>
      <c r="I716" s="84">
        <v>0</v>
      </c>
      <c r="J716" s="84">
        <v>0</v>
      </c>
      <c r="K716" s="212" t="e">
        <f t="shared" si="23"/>
        <v>#DIV/0!</v>
      </c>
      <c r="L716" s="82" t="s">
        <v>544</v>
      </c>
    </row>
    <row r="717" spans="1:12" ht="24.75" hidden="1" customHeight="1" x14ac:dyDescent="0.2">
      <c r="A717" s="560"/>
      <c r="B717" s="567"/>
      <c r="C717" s="567"/>
      <c r="D717" s="567"/>
      <c r="E717" s="567"/>
      <c r="F717" s="570"/>
      <c r="G717" s="175" t="s">
        <v>308</v>
      </c>
      <c r="H717" s="178">
        <v>1</v>
      </c>
      <c r="I717" s="178">
        <v>0</v>
      </c>
      <c r="J717" s="178">
        <v>0</v>
      </c>
      <c r="K717" s="212" t="e">
        <f t="shared" si="23"/>
        <v>#DIV/0!</v>
      </c>
      <c r="L717" s="82" t="s">
        <v>545</v>
      </c>
    </row>
    <row r="718" spans="1:12" ht="24.75" hidden="1" customHeight="1" x14ac:dyDescent="0.2">
      <c r="A718" s="559" t="s">
        <v>138</v>
      </c>
      <c r="B718" s="567" t="s">
        <v>342</v>
      </c>
      <c r="C718" s="567" t="s">
        <v>343</v>
      </c>
      <c r="D718" s="567" t="s">
        <v>344</v>
      </c>
      <c r="E718" s="567" t="s">
        <v>345</v>
      </c>
      <c r="F718" s="570">
        <v>0.45</v>
      </c>
      <c r="G718" s="175" t="s">
        <v>304</v>
      </c>
      <c r="H718" s="178">
        <v>1</v>
      </c>
      <c r="I718" s="178">
        <v>0</v>
      </c>
      <c r="J718" s="178">
        <v>0</v>
      </c>
      <c r="K718" s="212" t="e">
        <f t="shared" si="23"/>
        <v>#DIV/0!</v>
      </c>
      <c r="L718" s="82">
        <v>0</v>
      </c>
    </row>
    <row r="719" spans="1:12" ht="24.75" hidden="1" customHeight="1" x14ac:dyDescent="0.2">
      <c r="A719" s="560"/>
      <c r="B719" s="567"/>
      <c r="C719" s="567"/>
      <c r="D719" s="567"/>
      <c r="E719" s="567"/>
      <c r="F719" s="570"/>
      <c r="G719" s="175" t="s">
        <v>314</v>
      </c>
      <c r="H719" s="84">
        <v>6</v>
      </c>
      <c r="I719" s="84">
        <v>0</v>
      </c>
      <c r="J719" s="84">
        <v>0</v>
      </c>
      <c r="K719" s="212" t="e">
        <f t="shared" si="23"/>
        <v>#DIV/0!</v>
      </c>
      <c r="L719" s="82" t="s">
        <v>549</v>
      </c>
    </row>
    <row r="720" spans="1:12" ht="24.75" hidden="1" customHeight="1" x14ac:dyDescent="0.2">
      <c r="A720" s="560"/>
      <c r="B720" s="567"/>
      <c r="C720" s="567"/>
      <c r="D720" s="567"/>
      <c r="E720" s="567"/>
      <c r="F720" s="570"/>
      <c r="G720" s="175" t="s">
        <v>315</v>
      </c>
      <c r="H720" s="84">
        <v>2</v>
      </c>
      <c r="I720" s="84">
        <v>0</v>
      </c>
      <c r="J720" s="84">
        <v>0</v>
      </c>
      <c r="K720" s="212" t="e">
        <f t="shared" si="23"/>
        <v>#DIV/0!</v>
      </c>
      <c r="L720" s="82" t="s">
        <v>551</v>
      </c>
    </row>
    <row r="721" spans="1:12" ht="24.75" hidden="1" customHeight="1" x14ac:dyDescent="0.2">
      <c r="A721" s="560"/>
      <c r="B721" s="175" t="s">
        <v>349</v>
      </c>
      <c r="C721" s="175" t="s">
        <v>350</v>
      </c>
      <c r="D721" s="175" t="s">
        <v>351</v>
      </c>
      <c r="E721" s="175" t="s">
        <v>254</v>
      </c>
      <c r="F721" s="178">
        <v>0.15</v>
      </c>
      <c r="G721" s="175" t="s">
        <v>256</v>
      </c>
      <c r="H721" s="84">
        <v>1272</v>
      </c>
      <c r="I721" s="84">
        <v>0</v>
      </c>
      <c r="J721" s="84">
        <v>0</v>
      </c>
      <c r="K721" s="212" t="e">
        <f t="shared" si="23"/>
        <v>#DIV/0!</v>
      </c>
      <c r="L721" s="82" t="s">
        <v>550</v>
      </c>
    </row>
    <row r="722" spans="1:12" ht="24.75" hidden="1" customHeight="1" x14ac:dyDescent="0.2">
      <c r="A722" s="560"/>
      <c r="B722" s="175" t="s">
        <v>353</v>
      </c>
      <c r="C722" s="175" t="s">
        <v>354</v>
      </c>
      <c r="D722" s="175" t="s">
        <v>355</v>
      </c>
      <c r="E722" s="175" t="s">
        <v>254</v>
      </c>
      <c r="F722" s="178">
        <v>0.15</v>
      </c>
      <c r="G722" s="175" t="s">
        <v>257</v>
      </c>
      <c r="H722" s="178">
        <v>1</v>
      </c>
      <c r="I722" s="178">
        <v>0</v>
      </c>
      <c r="J722" s="178">
        <v>0</v>
      </c>
      <c r="K722" s="212" t="e">
        <f t="shared" si="23"/>
        <v>#DIV/0!</v>
      </c>
      <c r="L722" s="82" t="s">
        <v>548</v>
      </c>
    </row>
    <row r="723" spans="1:12" ht="24.75" hidden="1" customHeight="1" x14ac:dyDescent="0.2">
      <c r="A723" s="560"/>
      <c r="B723" s="567" t="s">
        <v>357</v>
      </c>
      <c r="C723" s="567" t="s">
        <v>358</v>
      </c>
      <c r="D723" s="567" t="s">
        <v>359</v>
      </c>
      <c r="E723" s="567" t="s">
        <v>345</v>
      </c>
      <c r="F723" s="570">
        <v>0.25</v>
      </c>
      <c r="G723" s="175" t="s">
        <v>252</v>
      </c>
      <c r="H723" s="84">
        <v>1097</v>
      </c>
      <c r="I723" s="84">
        <v>0</v>
      </c>
      <c r="J723" s="84">
        <v>0</v>
      </c>
      <c r="K723" s="212" t="e">
        <f t="shared" si="23"/>
        <v>#DIV/0!</v>
      </c>
      <c r="L723" s="82" t="s">
        <v>552</v>
      </c>
    </row>
    <row r="724" spans="1:12" ht="24.75" hidden="1" customHeight="1" x14ac:dyDescent="0.2">
      <c r="A724" s="516"/>
      <c r="B724" s="567"/>
      <c r="C724" s="567"/>
      <c r="D724" s="567"/>
      <c r="E724" s="567"/>
      <c r="F724" s="570"/>
      <c r="G724" s="175" t="s">
        <v>308</v>
      </c>
      <c r="H724" s="178">
        <v>1</v>
      </c>
      <c r="I724" s="178">
        <v>0</v>
      </c>
      <c r="J724" s="178">
        <v>0</v>
      </c>
      <c r="K724" s="212" t="e">
        <f t="shared" si="23"/>
        <v>#DIV/0!</v>
      </c>
      <c r="L724" s="82" t="s">
        <v>546</v>
      </c>
    </row>
    <row r="725" spans="1:12" ht="24.75" hidden="1" customHeight="1" x14ac:dyDescent="0.2">
      <c r="A725" s="559" t="s">
        <v>139</v>
      </c>
      <c r="B725" s="567" t="s">
        <v>342</v>
      </c>
      <c r="C725" s="567" t="s">
        <v>343</v>
      </c>
      <c r="D725" s="567" t="s">
        <v>344</v>
      </c>
      <c r="E725" s="567" t="s">
        <v>345</v>
      </c>
      <c r="F725" s="570">
        <v>0.45</v>
      </c>
      <c r="G725" s="175" t="s">
        <v>304</v>
      </c>
      <c r="H725" s="178">
        <v>1</v>
      </c>
      <c r="I725" s="178">
        <v>0</v>
      </c>
      <c r="J725" s="178">
        <v>0</v>
      </c>
      <c r="K725" s="212" t="e">
        <f t="shared" si="23"/>
        <v>#DIV/0!</v>
      </c>
      <c r="L725" s="82" t="s">
        <v>557</v>
      </c>
    </row>
    <row r="726" spans="1:12" ht="24.75" hidden="1" customHeight="1" x14ac:dyDescent="0.2">
      <c r="A726" s="560"/>
      <c r="B726" s="567"/>
      <c r="C726" s="567"/>
      <c r="D726" s="567"/>
      <c r="E726" s="567"/>
      <c r="F726" s="570"/>
      <c r="G726" s="175" t="s">
        <v>314</v>
      </c>
      <c r="H726" s="84">
        <v>6</v>
      </c>
      <c r="I726" s="84">
        <v>0</v>
      </c>
      <c r="J726" s="84">
        <v>0</v>
      </c>
      <c r="K726" s="212" t="e">
        <f t="shared" si="23"/>
        <v>#DIV/0!</v>
      </c>
      <c r="L726" s="82" t="s">
        <v>556</v>
      </c>
    </row>
    <row r="727" spans="1:12" ht="24.75" hidden="1" customHeight="1" x14ac:dyDescent="0.2">
      <c r="A727" s="560"/>
      <c r="B727" s="567"/>
      <c r="C727" s="567"/>
      <c r="D727" s="567"/>
      <c r="E727" s="567"/>
      <c r="F727" s="570"/>
      <c r="G727" s="175" t="s">
        <v>315</v>
      </c>
      <c r="H727" s="84">
        <v>2</v>
      </c>
      <c r="I727" s="84">
        <v>0</v>
      </c>
      <c r="J727" s="84">
        <v>0</v>
      </c>
      <c r="K727" s="212" t="e">
        <f t="shared" si="23"/>
        <v>#DIV/0!</v>
      </c>
      <c r="L727" s="82" t="s">
        <v>558</v>
      </c>
    </row>
    <row r="728" spans="1:12" ht="24.75" hidden="1" customHeight="1" x14ac:dyDescent="0.2">
      <c r="A728" s="560"/>
      <c r="B728" s="175" t="s">
        <v>349</v>
      </c>
      <c r="C728" s="175" t="s">
        <v>350</v>
      </c>
      <c r="D728" s="175" t="s">
        <v>351</v>
      </c>
      <c r="E728" s="175" t="s">
        <v>254</v>
      </c>
      <c r="F728" s="178">
        <v>0.15</v>
      </c>
      <c r="G728" s="175" t="s">
        <v>256</v>
      </c>
      <c r="H728" s="84">
        <v>1272</v>
      </c>
      <c r="I728" s="84">
        <v>0</v>
      </c>
      <c r="J728" s="84">
        <v>0</v>
      </c>
      <c r="K728" s="212" t="e">
        <f t="shared" si="23"/>
        <v>#DIV/0!</v>
      </c>
      <c r="L728" s="82" t="s">
        <v>554</v>
      </c>
    </row>
    <row r="729" spans="1:12" ht="24.75" hidden="1" customHeight="1" x14ac:dyDescent="0.2">
      <c r="A729" s="560"/>
      <c r="B729" s="175" t="s">
        <v>353</v>
      </c>
      <c r="C729" s="175" t="s">
        <v>354</v>
      </c>
      <c r="D729" s="175" t="s">
        <v>355</v>
      </c>
      <c r="E729" s="175" t="s">
        <v>254</v>
      </c>
      <c r="F729" s="178">
        <v>0.15</v>
      </c>
      <c r="G729" s="175" t="s">
        <v>257</v>
      </c>
      <c r="H729" s="178">
        <v>1</v>
      </c>
      <c r="I729" s="178">
        <v>0</v>
      </c>
      <c r="J729" s="178">
        <v>0</v>
      </c>
      <c r="K729" s="212" t="e">
        <f t="shared" si="23"/>
        <v>#DIV/0!</v>
      </c>
      <c r="L729" s="82" t="s">
        <v>555</v>
      </c>
    </row>
    <row r="730" spans="1:12" ht="24.75" hidden="1" customHeight="1" x14ac:dyDescent="0.2">
      <c r="A730" s="560"/>
      <c r="B730" s="567" t="s">
        <v>357</v>
      </c>
      <c r="C730" s="567" t="s">
        <v>358</v>
      </c>
      <c r="D730" s="567" t="s">
        <v>359</v>
      </c>
      <c r="E730" s="567" t="s">
        <v>345</v>
      </c>
      <c r="F730" s="570">
        <v>0.25</v>
      </c>
      <c r="G730" s="175" t="s">
        <v>252</v>
      </c>
      <c r="H730" s="84">
        <v>1097</v>
      </c>
      <c r="I730" s="84">
        <v>0</v>
      </c>
      <c r="J730" s="84">
        <v>0</v>
      </c>
      <c r="K730" s="212" t="e">
        <f t="shared" si="23"/>
        <v>#DIV/0!</v>
      </c>
      <c r="L730" s="82" t="s">
        <v>553</v>
      </c>
    </row>
    <row r="731" spans="1:12" ht="24.75" hidden="1" customHeight="1" x14ac:dyDescent="0.2">
      <c r="A731" s="516"/>
      <c r="B731" s="567"/>
      <c r="C731" s="567"/>
      <c r="D731" s="567"/>
      <c r="E731" s="567"/>
      <c r="F731" s="570"/>
      <c r="G731" s="175" t="s">
        <v>308</v>
      </c>
      <c r="H731" s="178">
        <v>1</v>
      </c>
      <c r="I731" s="178">
        <v>0</v>
      </c>
      <c r="J731" s="178">
        <v>0</v>
      </c>
      <c r="K731" s="212" t="e">
        <f t="shared" si="23"/>
        <v>#DIV/0!</v>
      </c>
      <c r="L731" s="82" t="s">
        <v>559</v>
      </c>
    </row>
    <row r="732" spans="1:12" ht="24.75" hidden="1" customHeight="1" x14ac:dyDescent="0.2">
      <c r="A732" s="559" t="s">
        <v>140</v>
      </c>
      <c r="B732" s="567" t="s">
        <v>342</v>
      </c>
      <c r="C732" s="567" t="s">
        <v>343</v>
      </c>
      <c r="D732" s="567" t="s">
        <v>344</v>
      </c>
      <c r="E732" s="567" t="s">
        <v>345</v>
      </c>
      <c r="F732" s="570">
        <v>0.45</v>
      </c>
      <c r="G732" s="175" t="s">
        <v>304</v>
      </c>
      <c r="H732" s="178">
        <v>1</v>
      </c>
      <c r="I732" s="178">
        <v>0</v>
      </c>
      <c r="J732" s="178">
        <v>0</v>
      </c>
      <c r="K732" s="212" t="e">
        <f t="shared" si="23"/>
        <v>#DIV/0!</v>
      </c>
      <c r="L732" s="82" t="s">
        <v>567</v>
      </c>
    </row>
    <row r="733" spans="1:12" ht="24.75" hidden="1" customHeight="1" x14ac:dyDescent="0.2">
      <c r="A733" s="560"/>
      <c r="B733" s="567"/>
      <c r="C733" s="567"/>
      <c r="D733" s="567"/>
      <c r="E733" s="567"/>
      <c r="F733" s="570"/>
      <c r="G733" s="175" t="s">
        <v>314</v>
      </c>
      <c r="H733" s="84">
        <v>7</v>
      </c>
      <c r="I733" s="84">
        <v>0</v>
      </c>
      <c r="J733" s="84">
        <v>0</v>
      </c>
      <c r="K733" s="212" t="e">
        <f t="shared" si="23"/>
        <v>#DIV/0!</v>
      </c>
      <c r="L733" s="82" t="s">
        <v>563</v>
      </c>
    </row>
    <row r="734" spans="1:12" ht="24.75" hidden="1" customHeight="1" x14ac:dyDescent="0.2">
      <c r="A734" s="560"/>
      <c r="B734" s="567"/>
      <c r="C734" s="567"/>
      <c r="D734" s="567"/>
      <c r="E734" s="567"/>
      <c r="F734" s="570"/>
      <c r="G734" s="175" t="s">
        <v>315</v>
      </c>
      <c r="H734" s="84">
        <v>1.9999999999999996</v>
      </c>
      <c r="I734" s="84">
        <v>0</v>
      </c>
      <c r="J734" s="84">
        <v>0</v>
      </c>
      <c r="K734" s="212" t="e">
        <f t="shared" si="23"/>
        <v>#DIV/0!</v>
      </c>
      <c r="L734" s="82" t="s">
        <v>566</v>
      </c>
    </row>
    <row r="735" spans="1:12" ht="24.75" hidden="1" customHeight="1" x14ac:dyDescent="0.2">
      <c r="A735" s="560"/>
      <c r="B735" s="175" t="s">
        <v>349</v>
      </c>
      <c r="C735" s="175" t="s">
        <v>350</v>
      </c>
      <c r="D735" s="175" t="s">
        <v>351</v>
      </c>
      <c r="E735" s="175" t="s">
        <v>254</v>
      </c>
      <c r="F735" s="178">
        <v>0.15</v>
      </c>
      <c r="G735" s="175" t="s">
        <v>256</v>
      </c>
      <c r="H735" s="84">
        <v>1418</v>
      </c>
      <c r="I735" s="84">
        <v>0</v>
      </c>
      <c r="J735" s="84">
        <v>0</v>
      </c>
      <c r="K735" s="212" t="e">
        <f t="shared" si="23"/>
        <v>#DIV/0!</v>
      </c>
      <c r="L735" s="82" t="s">
        <v>562</v>
      </c>
    </row>
    <row r="736" spans="1:12" ht="24.75" hidden="1" customHeight="1" x14ac:dyDescent="0.2">
      <c r="A736" s="560"/>
      <c r="B736" s="175" t="s">
        <v>353</v>
      </c>
      <c r="C736" s="175" t="s">
        <v>354</v>
      </c>
      <c r="D736" s="175" t="s">
        <v>355</v>
      </c>
      <c r="E736" s="175" t="s">
        <v>254</v>
      </c>
      <c r="F736" s="178">
        <v>0.15</v>
      </c>
      <c r="G736" s="175" t="s">
        <v>257</v>
      </c>
      <c r="H736" s="178">
        <v>1</v>
      </c>
      <c r="I736" s="178">
        <v>0</v>
      </c>
      <c r="J736" s="178">
        <v>0</v>
      </c>
      <c r="K736" s="212" t="e">
        <f t="shared" si="23"/>
        <v>#DIV/0!</v>
      </c>
      <c r="L736" s="82" t="s">
        <v>565</v>
      </c>
    </row>
    <row r="737" spans="1:12" ht="24.75" hidden="1" customHeight="1" x14ac:dyDescent="0.2">
      <c r="A737" s="560"/>
      <c r="B737" s="567" t="s">
        <v>357</v>
      </c>
      <c r="C737" s="567" t="s">
        <v>358</v>
      </c>
      <c r="D737" s="567" t="s">
        <v>359</v>
      </c>
      <c r="E737" s="567" t="s">
        <v>345</v>
      </c>
      <c r="F737" s="570">
        <v>0.25</v>
      </c>
      <c r="G737" s="175" t="s">
        <v>252</v>
      </c>
      <c r="H737" s="84">
        <v>1183</v>
      </c>
      <c r="I737" s="84">
        <v>0</v>
      </c>
      <c r="J737" s="84">
        <v>0</v>
      </c>
      <c r="K737" s="212" t="e">
        <f t="shared" si="23"/>
        <v>#DIV/0!</v>
      </c>
      <c r="L737" s="82" t="s">
        <v>564</v>
      </c>
    </row>
    <row r="738" spans="1:12" ht="24.75" hidden="1" customHeight="1" x14ac:dyDescent="0.2">
      <c r="A738" s="516"/>
      <c r="B738" s="567"/>
      <c r="C738" s="567"/>
      <c r="D738" s="567"/>
      <c r="E738" s="567"/>
      <c r="F738" s="570"/>
      <c r="G738" s="175" t="s">
        <v>308</v>
      </c>
      <c r="H738" s="178">
        <v>1</v>
      </c>
      <c r="I738" s="178">
        <v>0</v>
      </c>
      <c r="J738" s="178">
        <v>0</v>
      </c>
      <c r="K738" s="212" t="e">
        <f t="shared" si="23"/>
        <v>#DIV/0!</v>
      </c>
      <c r="L738" s="82" t="s">
        <v>561</v>
      </c>
    </row>
    <row r="739" spans="1:12" ht="24.75" hidden="1" customHeight="1" x14ac:dyDescent="0.2">
      <c r="A739" s="559" t="s">
        <v>128</v>
      </c>
      <c r="B739" s="567" t="s">
        <v>342</v>
      </c>
      <c r="C739" s="567" t="s">
        <v>343</v>
      </c>
      <c r="D739" s="567" t="s">
        <v>344</v>
      </c>
      <c r="E739" s="567" t="s">
        <v>345</v>
      </c>
      <c r="F739" s="570">
        <v>0.45</v>
      </c>
      <c r="G739" s="175" t="s">
        <v>304</v>
      </c>
      <c r="H739" s="178">
        <v>1</v>
      </c>
      <c r="I739" s="178">
        <v>0</v>
      </c>
      <c r="J739" s="178">
        <v>0</v>
      </c>
      <c r="K739" s="212" t="e">
        <f t="shared" si="23"/>
        <v>#DIV/0!</v>
      </c>
      <c r="L739" s="82" t="s">
        <v>571</v>
      </c>
    </row>
    <row r="740" spans="1:12" ht="24.75" hidden="1" customHeight="1" x14ac:dyDescent="0.2">
      <c r="A740" s="560"/>
      <c r="B740" s="567"/>
      <c r="C740" s="567"/>
      <c r="D740" s="567"/>
      <c r="E740" s="567"/>
      <c r="F740" s="570"/>
      <c r="G740" s="175" t="s">
        <v>314</v>
      </c>
      <c r="H740" s="84">
        <v>7</v>
      </c>
      <c r="I740" s="84">
        <v>0</v>
      </c>
      <c r="J740" s="84">
        <v>0</v>
      </c>
      <c r="K740" s="212" t="e">
        <f t="shared" si="23"/>
        <v>#DIV/0!</v>
      </c>
      <c r="L740" s="82" t="s">
        <v>572</v>
      </c>
    </row>
    <row r="741" spans="1:12" ht="24.75" hidden="1" customHeight="1" x14ac:dyDescent="0.2">
      <c r="A741" s="560"/>
      <c r="B741" s="567"/>
      <c r="C741" s="567"/>
      <c r="D741" s="567"/>
      <c r="E741" s="567"/>
      <c r="F741" s="570"/>
      <c r="G741" s="175" t="s">
        <v>315</v>
      </c>
      <c r="H741" s="84">
        <v>1.9999999999999996</v>
      </c>
      <c r="I741" s="84">
        <v>0</v>
      </c>
      <c r="J741" s="84">
        <v>0</v>
      </c>
      <c r="K741" s="212" t="e">
        <f t="shared" si="23"/>
        <v>#DIV/0!</v>
      </c>
      <c r="L741" s="82" t="s">
        <v>573</v>
      </c>
    </row>
    <row r="742" spans="1:12" ht="24.75" hidden="1" customHeight="1" x14ac:dyDescent="0.2">
      <c r="A742" s="560"/>
      <c r="B742" s="175" t="s">
        <v>349</v>
      </c>
      <c r="C742" s="175" t="s">
        <v>350</v>
      </c>
      <c r="D742" s="175" t="s">
        <v>351</v>
      </c>
      <c r="E742" s="175" t="s">
        <v>254</v>
      </c>
      <c r="F742" s="178">
        <v>0.15</v>
      </c>
      <c r="G742" s="175" t="s">
        <v>256</v>
      </c>
      <c r="H742" s="84">
        <v>1418</v>
      </c>
      <c r="I742" s="84">
        <v>0</v>
      </c>
      <c r="J742" s="84">
        <v>0</v>
      </c>
      <c r="K742" s="212" t="e">
        <f t="shared" si="23"/>
        <v>#DIV/0!</v>
      </c>
      <c r="L742" s="82" t="s">
        <v>569</v>
      </c>
    </row>
    <row r="743" spans="1:12" ht="24.75" hidden="1" customHeight="1" x14ac:dyDescent="0.2">
      <c r="A743" s="560"/>
      <c r="B743" s="175" t="s">
        <v>353</v>
      </c>
      <c r="C743" s="175" t="s">
        <v>354</v>
      </c>
      <c r="D743" s="175" t="s">
        <v>355</v>
      </c>
      <c r="E743" s="175" t="s">
        <v>254</v>
      </c>
      <c r="F743" s="178">
        <v>0.15</v>
      </c>
      <c r="G743" s="175" t="s">
        <v>257</v>
      </c>
      <c r="H743" s="178">
        <v>1</v>
      </c>
      <c r="I743" s="178">
        <v>0</v>
      </c>
      <c r="J743" s="178">
        <v>0</v>
      </c>
      <c r="K743" s="212" t="e">
        <f t="shared" si="23"/>
        <v>#DIV/0!</v>
      </c>
      <c r="L743" s="82" t="s">
        <v>570</v>
      </c>
    </row>
    <row r="744" spans="1:12" ht="24.75" hidden="1" customHeight="1" x14ac:dyDescent="0.2">
      <c r="A744" s="560"/>
      <c r="B744" s="567" t="s">
        <v>357</v>
      </c>
      <c r="C744" s="567" t="s">
        <v>358</v>
      </c>
      <c r="D744" s="567" t="s">
        <v>359</v>
      </c>
      <c r="E744" s="567" t="s">
        <v>345</v>
      </c>
      <c r="F744" s="570">
        <v>0.25</v>
      </c>
      <c r="G744" s="175" t="s">
        <v>252</v>
      </c>
      <c r="H744" s="84">
        <v>1183</v>
      </c>
      <c r="I744" s="84">
        <v>0</v>
      </c>
      <c r="J744" s="84">
        <v>0</v>
      </c>
      <c r="K744" s="212" t="e">
        <f t="shared" si="23"/>
        <v>#DIV/0!</v>
      </c>
      <c r="L744" s="82" t="s">
        <v>568</v>
      </c>
    </row>
    <row r="745" spans="1:12" ht="24.75" hidden="1" customHeight="1" x14ac:dyDescent="0.2">
      <c r="A745" s="516"/>
      <c r="B745" s="567"/>
      <c r="C745" s="567"/>
      <c r="D745" s="567"/>
      <c r="E745" s="567"/>
      <c r="F745" s="570"/>
      <c r="G745" s="175" t="s">
        <v>308</v>
      </c>
      <c r="H745" s="178">
        <v>1</v>
      </c>
      <c r="I745" s="178">
        <v>0</v>
      </c>
      <c r="J745" s="178">
        <v>0</v>
      </c>
      <c r="K745" s="212" t="e">
        <f t="shared" si="23"/>
        <v>#DIV/0!</v>
      </c>
      <c r="L745" s="82" t="s">
        <v>574</v>
      </c>
    </row>
    <row r="746" spans="1:12" ht="24.75" hidden="1" customHeight="1" x14ac:dyDescent="0.2">
      <c r="A746" s="559" t="s">
        <v>129</v>
      </c>
      <c r="B746" s="567" t="s">
        <v>342</v>
      </c>
      <c r="C746" s="567" t="s">
        <v>343</v>
      </c>
      <c r="D746" s="567" t="s">
        <v>344</v>
      </c>
      <c r="E746" s="567" t="s">
        <v>345</v>
      </c>
      <c r="F746" s="570">
        <v>0.45</v>
      </c>
      <c r="G746" s="175" t="s">
        <v>304</v>
      </c>
      <c r="H746" s="178">
        <v>1</v>
      </c>
      <c r="I746" s="178">
        <v>0</v>
      </c>
      <c r="J746" s="178">
        <v>0</v>
      </c>
      <c r="K746" s="212" t="e">
        <f t="shared" si="23"/>
        <v>#DIV/0!</v>
      </c>
      <c r="L746" s="87" t="s">
        <v>581</v>
      </c>
    </row>
    <row r="747" spans="1:12" ht="24.75" hidden="1" customHeight="1" x14ac:dyDescent="0.2">
      <c r="A747" s="560"/>
      <c r="B747" s="567"/>
      <c r="C747" s="567"/>
      <c r="D747" s="567"/>
      <c r="E747" s="567"/>
      <c r="F747" s="570"/>
      <c r="G747" s="175" t="s">
        <v>314</v>
      </c>
      <c r="H747" s="84">
        <v>7</v>
      </c>
      <c r="I747" s="84">
        <v>0</v>
      </c>
      <c r="J747" s="84">
        <v>0</v>
      </c>
      <c r="K747" s="212" t="e">
        <f t="shared" si="23"/>
        <v>#DIV/0!</v>
      </c>
      <c r="L747" s="87" t="s">
        <v>577</v>
      </c>
    </row>
    <row r="748" spans="1:12" ht="24.75" hidden="1" customHeight="1" x14ac:dyDescent="0.2">
      <c r="A748" s="560"/>
      <c r="B748" s="567"/>
      <c r="C748" s="567"/>
      <c r="D748" s="567"/>
      <c r="E748" s="567"/>
      <c r="F748" s="570"/>
      <c r="G748" s="175" t="s">
        <v>315</v>
      </c>
      <c r="H748" s="84">
        <v>1.9999999999999996</v>
      </c>
      <c r="I748" s="84">
        <v>0</v>
      </c>
      <c r="J748" s="84">
        <v>0</v>
      </c>
      <c r="K748" s="212" t="e">
        <f t="shared" si="23"/>
        <v>#DIV/0!</v>
      </c>
      <c r="L748" s="87" t="s">
        <v>580</v>
      </c>
    </row>
    <row r="749" spans="1:12" ht="24.75" hidden="1" customHeight="1" x14ac:dyDescent="0.2">
      <c r="A749" s="560"/>
      <c r="B749" s="175" t="s">
        <v>349</v>
      </c>
      <c r="C749" s="175" t="s">
        <v>350</v>
      </c>
      <c r="D749" s="175" t="s">
        <v>351</v>
      </c>
      <c r="E749" s="175" t="s">
        <v>254</v>
      </c>
      <c r="F749" s="178">
        <v>0.15</v>
      </c>
      <c r="G749" s="175" t="s">
        <v>256</v>
      </c>
      <c r="H749" s="84">
        <v>1418</v>
      </c>
      <c r="I749" s="84">
        <v>0</v>
      </c>
      <c r="J749" s="84">
        <v>0</v>
      </c>
      <c r="K749" s="212" t="e">
        <f t="shared" si="23"/>
        <v>#DIV/0!</v>
      </c>
      <c r="L749" s="87" t="s">
        <v>576</v>
      </c>
    </row>
    <row r="750" spans="1:12" ht="24.75" hidden="1" customHeight="1" x14ac:dyDescent="0.2">
      <c r="A750" s="560"/>
      <c r="B750" s="175" t="s">
        <v>353</v>
      </c>
      <c r="C750" s="175" t="s">
        <v>354</v>
      </c>
      <c r="D750" s="175" t="s">
        <v>355</v>
      </c>
      <c r="E750" s="175" t="s">
        <v>254</v>
      </c>
      <c r="F750" s="178">
        <v>0.15</v>
      </c>
      <c r="G750" s="175" t="s">
        <v>257</v>
      </c>
      <c r="H750" s="178">
        <v>1</v>
      </c>
      <c r="I750" s="178">
        <v>0</v>
      </c>
      <c r="J750" s="178">
        <v>0</v>
      </c>
      <c r="K750" s="212" t="e">
        <f t="shared" si="23"/>
        <v>#DIV/0!</v>
      </c>
      <c r="L750" s="87" t="s">
        <v>578</v>
      </c>
    </row>
    <row r="751" spans="1:12" ht="24.75" hidden="1" customHeight="1" x14ac:dyDescent="0.2">
      <c r="A751" s="560"/>
      <c r="B751" s="567" t="s">
        <v>357</v>
      </c>
      <c r="C751" s="567" t="s">
        <v>358</v>
      </c>
      <c r="D751" s="567" t="s">
        <v>359</v>
      </c>
      <c r="E751" s="567" t="s">
        <v>345</v>
      </c>
      <c r="F751" s="570">
        <v>0.25</v>
      </c>
      <c r="G751" s="175" t="s">
        <v>252</v>
      </c>
      <c r="H751" s="84">
        <v>1183</v>
      </c>
      <c r="I751" s="84">
        <v>0</v>
      </c>
      <c r="J751" s="84">
        <v>0</v>
      </c>
      <c r="K751" s="212" t="e">
        <f t="shared" si="23"/>
        <v>#DIV/0!</v>
      </c>
      <c r="L751" s="87" t="s">
        <v>575</v>
      </c>
    </row>
    <row r="752" spans="1:12" ht="24.75" hidden="1" customHeight="1" x14ac:dyDescent="0.2">
      <c r="A752" s="516"/>
      <c r="B752" s="567"/>
      <c r="C752" s="567"/>
      <c r="D752" s="567"/>
      <c r="E752" s="567"/>
      <c r="F752" s="570"/>
      <c r="G752" s="175" t="s">
        <v>308</v>
      </c>
      <c r="H752" s="178">
        <v>1</v>
      </c>
      <c r="I752" s="178">
        <v>0</v>
      </c>
      <c r="J752" s="178">
        <v>0</v>
      </c>
      <c r="K752" s="212" t="e">
        <f t="shared" si="23"/>
        <v>#DIV/0!</v>
      </c>
      <c r="L752" s="87" t="s">
        <v>579</v>
      </c>
    </row>
    <row r="753" spans="1:12" ht="24.75" hidden="1" customHeight="1" x14ac:dyDescent="0.2">
      <c r="A753" s="559" t="s">
        <v>130</v>
      </c>
      <c r="B753" s="567" t="s">
        <v>342</v>
      </c>
      <c r="C753" s="567" t="s">
        <v>343</v>
      </c>
      <c r="D753" s="567" t="s">
        <v>344</v>
      </c>
      <c r="E753" s="567" t="s">
        <v>345</v>
      </c>
      <c r="F753" s="570">
        <v>0.45</v>
      </c>
      <c r="G753" s="175" t="s">
        <v>304</v>
      </c>
      <c r="H753" s="178">
        <v>1</v>
      </c>
      <c r="I753" s="178">
        <v>0</v>
      </c>
      <c r="J753" s="178">
        <v>0</v>
      </c>
      <c r="K753" s="212" t="e">
        <f t="shared" si="23"/>
        <v>#DIV/0!</v>
      </c>
      <c r="L753" s="87" t="s">
        <v>586</v>
      </c>
    </row>
    <row r="754" spans="1:12" ht="24.75" hidden="1" customHeight="1" x14ac:dyDescent="0.2">
      <c r="A754" s="560"/>
      <c r="B754" s="567"/>
      <c r="C754" s="567"/>
      <c r="D754" s="567"/>
      <c r="E754" s="567"/>
      <c r="F754" s="570"/>
      <c r="G754" s="175" t="s">
        <v>314</v>
      </c>
      <c r="H754" s="84">
        <v>7</v>
      </c>
      <c r="I754" s="84">
        <v>0</v>
      </c>
      <c r="J754" s="84">
        <v>0</v>
      </c>
      <c r="K754" s="212" t="e">
        <f t="shared" si="23"/>
        <v>#DIV/0!</v>
      </c>
      <c r="L754" s="87" t="s">
        <v>585</v>
      </c>
    </row>
    <row r="755" spans="1:12" ht="24.75" hidden="1" customHeight="1" x14ac:dyDescent="0.2">
      <c r="A755" s="560"/>
      <c r="B755" s="567"/>
      <c r="C755" s="567"/>
      <c r="D755" s="567"/>
      <c r="E755" s="567"/>
      <c r="F755" s="570"/>
      <c r="G755" s="175" t="s">
        <v>315</v>
      </c>
      <c r="H755" s="84">
        <v>1.9999999999999996</v>
      </c>
      <c r="I755" s="84">
        <v>0</v>
      </c>
      <c r="J755" s="84">
        <v>0</v>
      </c>
      <c r="K755" s="212" t="e">
        <f t="shared" si="23"/>
        <v>#DIV/0!</v>
      </c>
      <c r="L755" s="87" t="s">
        <v>587</v>
      </c>
    </row>
    <row r="756" spans="1:12" ht="24.75" hidden="1" customHeight="1" x14ac:dyDescent="0.2">
      <c r="A756" s="560"/>
      <c r="B756" s="175" t="s">
        <v>349</v>
      </c>
      <c r="C756" s="175" t="s">
        <v>350</v>
      </c>
      <c r="D756" s="175" t="s">
        <v>351</v>
      </c>
      <c r="E756" s="175" t="s">
        <v>254</v>
      </c>
      <c r="F756" s="178">
        <v>0.15</v>
      </c>
      <c r="G756" s="175" t="s">
        <v>256</v>
      </c>
      <c r="H756" s="84">
        <v>1418</v>
      </c>
      <c r="I756" s="84">
        <v>0</v>
      </c>
      <c r="J756" s="84">
        <v>0</v>
      </c>
      <c r="K756" s="212" t="e">
        <f t="shared" si="23"/>
        <v>#DIV/0!</v>
      </c>
      <c r="L756" s="87" t="s">
        <v>584</v>
      </c>
    </row>
    <row r="757" spans="1:12" ht="24.75" hidden="1" customHeight="1" x14ac:dyDescent="0.2">
      <c r="A757" s="560"/>
      <c r="B757" s="175" t="s">
        <v>353</v>
      </c>
      <c r="C757" s="175" t="s">
        <v>354</v>
      </c>
      <c r="D757" s="175" t="s">
        <v>355</v>
      </c>
      <c r="E757" s="175" t="s">
        <v>254</v>
      </c>
      <c r="F757" s="178">
        <v>0.15</v>
      </c>
      <c r="G757" s="175" t="s">
        <v>257</v>
      </c>
      <c r="H757" s="178">
        <v>1</v>
      </c>
      <c r="I757" s="178">
        <v>0</v>
      </c>
      <c r="J757" s="178">
        <v>0</v>
      </c>
      <c r="K757" s="212" t="e">
        <f t="shared" si="23"/>
        <v>#DIV/0!</v>
      </c>
      <c r="L757" s="87" t="s">
        <v>578</v>
      </c>
    </row>
    <row r="758" spans="1:12" ht="24.75" hidden="1" customHeight="1" x14ac:dyDescent="0.2">
      <c r="A758" s="560"/>
      <c r="B758" s="567" t="s">
        <v>357</v>
      </c>
      <c r="C758" s="567" t="s">
        <v>358</v>
      </c>
      <c r="D758" s="567" t="s">
        <v>359</v>
      </c>
      <c r="E758" s="567" t="s">
        <v>345</v>
      </c>
      <c r="F758" s="570">
        <v>0.25</v>
      </c>
      <c r="G758" s="175" t="s">
        <v>252</v>
      </c>
      <c r="H758" s="84">
        <v>1183</v>
      </c>
      <c r="I758" s="84">
        <v>0</v>
      </c>
      <c r="J758" s="84">
        <v>0</v>
      </c>
      <c r="K758" s="212" t="e">
        <f t="shared" si="23"/>
        <v>#DIV/0!</v>
      </c>
      <c r="L758" s="87" t="s">
        <v>583</v>
      </c>
    </row>
    <row r="759" spans="1:12" ht="24.75" hidden="1" customHeight="1" x14ac:dyDescent="0.2">
      <c r="A759" s="516"/>
      <c r="B759" s="567"/>
      <c r="C759" s="567"/>
      <c r="D759" s="567"/>
      <c r="E759" s="567"/>
      <c r="F759" s="570"/>
      <c r="G759" s="175" t="s">
        <v>308</v>
      </c>
      <c r="H759" s="178">
        <v>1</v>
      </c>
      <c r="I759" s="178">
        <v>0</v>
      </c>
      <c r="J759" s="178">
        <v>0</v>
      </c>
      <c r="K759" s="212" t="e">
        <f t="shared" si="23"/>
        <v>#DIV/0!</v>
      </c>
      <c r="L759" s="87" t="s">
        <v>582</v>
      </c>
    </row>
    <row r="760" spans="1:12" ht="24.75" hidden="1" customHeight="1" x14ac:dyDescent="0.2">
      <c r="A760" s="559" t="s">
        <v>131</v>
      </c>
      <c r="B760" s="567" t="s">
        <v>342</v>
      </c>
      <c r="C760" s="567" t="s">
        <v>343</v>
      </c>
      <c r="D760" s="567" t="s">
        <v>344</v>
      </c>
      <c r="E760" s="567" t="s">
        <v>345</v>
      </c>
      <c r="F760" s="570">
        <v>0.45</v>
      </c>
      <c r="G760" s="175" t="s">
        <v>304</v>
      </c>
      <c r="H760" s="178">
        <v>1</v>
      </c>
      <c r="I760" s="178">
        <v>0</v>
      </c>
      <c r="J760" s="178">
        <v>0</v>
      </c>
      <c r="K760" s="212" t="e">
        <f t="shared" si="23"/>
        <v>#DIV/0!</v>
      </c>
      <c r="L760" s="87" t="s">
        <v>591</v>
      </c>
    </row>
    <row r="761" spans="1:12" ht="24.75" hidden="1" customHeight="1" x14ac:dyDescent="0.2">
      <c r="A761" s="560"/>
      <c r="B761" s="567"/>
      <c r="C761" s="567"/>
      <c r="D761" s="567"/>
      <c r="E761" s="567"/>
      <c r="F761" s="570"/>
      <c r="G761" s="175" t="s">
        <v>594</v>
      </c>
      <c r="H761" s="84">
        <v>7</v>
      </c>
      <c r="I761" s="84">
        <v>0</v>
      </c>
      <c r="J761" s="84">
        <v>0</v>
      </c>
      <c r="K761" s="212" t="e">
        <f t="shared" si="23"/>
        <v>#DIV/0!</v>
      </c>
      <c r="L761" s="87" t="s">
        <v>592</v>
      </c>
    </row>
    <row r="762" spans="1:12" ht="24.75" hidden="1" customHeight="1" x14ac:dyDescent="0.2">
      <c r="A762" s="560"/>
      <c r="B762" s="567"/>
      <c r="C762" s="567"/>
      <c r="D762" s="567"/>
      <c r="E762" s="567"/>
      <c r="F762" s="570"/>
      <c r="G762" s="175" t="s">
        <v>315</v>
      </c>
      <c r="H762" s="84">
        <v>1.9999999999999996</v>
      </c>
      <c r="I762" s="84">
        <v>0</v>
      </c>
      <c r="J762" s="84">
        <v>0</v>
      </c>
      <c r="K762" s="212" t="e">
        <f t="shared" si="23"/>
        <v>#DIV/0!</v>
      </c>
      <c r="L762" s="87">
        <v>0</v>
      </c>
    </row>
    <row r="763" spans="1:12" ht="24.75" hidden="1" customHeight="1" x14ac:dyDescent="0.2">
      <c r="A763" s="560"/>
      <c r="B763" s="175" t="s">
        <v>349</v>
      </c>
      <c r="C763" s="175" t="s">
        <v>350</v>
      </c>
      <c r="D763" s="175" t="s">
        <v>351</v>
      </c>
      <c r="E763" s="175" t="s">
        <v>254</v>
      </c>
      <c r="F763" s="178">
        <v>0.15</v>
      </c>
      <c r="G763" s="175" t="s">
        <v>256</v>
      </c>
      <c r="H763" s="84">
        <v>1418</v>
      </c>
      <c r="I763" s="84">
        <v>0</v>
      </c>
      <c r="J763" s="84">
        <v>0</v>
      </c>
      <c r="K763" s="212" t="e">
        <f t="shared" si="23"/>
        <v>#DIV/0!</v>
      </c>
      <c r="L763" s="87" t="s">
        <v>589</v>
      </c>
    </row>
    <row r="764" spans="1:12" ht="24.75" hidden="1" customHeight="1" x14ac:dyDescent="0.2">
      <c r="A764" s="560"/>
      <c r="B764" s="175" t="s">
        <v>353</v>
      </c>
      <c r="C764" s="175" t="s">
        <v>354</v>
      </c>
      <c r="D764" s="175" t="s">
        <v>355</v>
      </c>
      <c r="E764" s="175" t="s">
        <v>254</v>
      </c>
      <c r="F764" s="178">
        <v>0.15</v>
      </c>
      <c r="G764" s="175" t="s">
        <v>257</v>
      </c>
      <c r="H764" s="178">
        <v>1</v>
      </c>
      <c r="I764" s="178">
        <v>0</v>
      </c>
      <c r="J764" s="178">
        <v>0</v>
      </c>
      <c r="K764" s="212" t="e">
        <f t="shared" si="23"/>
        <v>#DIV/0!</v>
      </c>
      <c r="L764" s="87" t="s">
        <v>590</v>
      </c>
    </row>
    <row r="765" spans="1:12" ht="24.75" hidden="1" customHeight="1" x14ac:dyDescent="0.2">
      <c r="A765" s="560"/>
      <c r="B765" s="567" t="s">
        <v>357</v>
      </c>
      <c r="C765" s="567" t="s">
        <v>358</v>
      </c>
      <c r="D765" s="567" t="s">
        <v>359</v>
      </c>
      <c r="E765" s="567" t="s">
        <v>345</v>
      </c>
      <c r="F765" s="570">
        <v>0.25</v>
      </c>
      <c r="G765" s="175" t="s">
        <v>252</v>
      </c>
      <c r="H765" s="84">
        <v>1183</v>
      </c>
      <c r="I765" s="84">
        <v>0</v>
      </c>
      <c r="J765" s="84">
        <v>0</v>
      </c>
      <c r="K765" s="212" t="e">
        <f t="shared" si="23"/>
        <v>#DIV/0!</v>
      </c>
      <c r="L765" s="87" t="s">
        <v>588</v>
      </c>
    </row>
    <row r="766" spans="1:12" ht="24.75" hidden="1" customHeight="1" x14ac:dyDescent="0.2">
      <c r="A766" s="516"/>
      <c r="B766" s="567"/>
      <c r="C766" s="567"/>
      <c r="D766" s="567"/>
      <c r="E766" s="567"/>
      <c r="F766" s="570"/>
      <c r="G766" s="175" t="s">
        <v>308</v>
      </c>
      <c r="H766" s="178">
        <v>1</v>
      </c>
      <c r="I766" s="178">
        <v>0</v>
      </c>
      <c r="J766" s="178">
        <v>0</v>
      </c>
      <c r="K766" s="212" t="e">
        <f t="shared" si="23"/>
        <v>#DIV/0!</v>
      </c>
      <c r="L766" s="87" t="s">
        <v>593</v>
      </c>
    </row>
    <row r="767" spans="1:12" ht="24.75" hidden="1" customHeight="1" x14ac:dyDescent="0.2">
      <c r="A767" s="559" t="s">
        <v>132</v>
      </c>
      <c r="B767" s="567" t="s">
        <v>342</v>
      </c>
      <c r="C767" s="567" t="s">
        <v>343</v>
      </c>
      <c r="D767" s="567" t="s">
        <v>344</v>
      </c>
      <c r="E767" s="567" t="s">
        <v>345</v>
      </c>
      <c r="F767" s="570">
        <v>0.45</v>
      </c>
      <c r="G767" s="175" t="s">
        <v>304</v>
      </c>
      <c r="H767" s="178">
        <v>1</v>
      </c>
      <c r="I767" s="178">
        <v>0</v>
      </c>
      <c r="J767" s="178">
        <v>0</v>
      </c>
      <c r="K767" s="212" t="e">
        <f t="shared" si="23"/>
        <v>#DIV/0!</v>
      </c>
      <c r="L767" s="82" t="s">
        <v>599</v>
      </c>
    </row>
    <row r="768" spans="1:12" ht="24.75" hidden="1" customHeight="1" x14ac:dyDescent="0.2">
      <c r="A768" s="560"/>
      <c r="B768" s="567"/>
      <c r="C768" s="567"/>
      <c r="D768" s="567"/>
      <c r="E768" s="567"/>
      <c r="F768" s="570"/>
      <c r="G768" s="175" t="s">
        <v>594</v>
      </c>
      <c r="H768" s="84">
        <v>7</v>
      </c>
      <c r="I768" s="84">
        <v>0</v>
      </c>
      <c r="J768" s="84">
        <v>0</v>
      </c>
      <c r="K768" s="212" t="e">
        <f t="shared" si="23"/>
        <v>#DIV/0!</v>
      </c>
      <c r="L768" s="82" t="s">
        <v>601</v>
      </c>
    </row>
    <row r="769" spans="1:12" ht="24.75" hidden="1" customHeight="1" x14ac:dyDescent="0.2">
      <c r="A769" s="560"/>
      <c r="B769" s="567"/>
      <c r="C769" s="567"/>
      <c r="D769" s="567"/>
      <c r="E769" s="567"/>
      <c r="F769" s="570"/>
      <c r="G769" s="175" t="s">
        <v>315</v>
      </c>
      <c r="H769" s="84">
        <v>1.9999999999999996</v>
      </c>
      <c r="I769" s="84">
        <v>0</v>
      </c>
      <c r="J769" s="84">
        <v>0</v>
      </c>
      <c r="K769" s="212" t="e">
        <f t="shared" si="23"/>
        <v>#DIV/0!</v>
      </c>
      <c r="L769" s="82" t="s">
        <v>602</v>
      </c>
    </row>
    <row r="770" spans="1:12" ht="24.75" hidden="1" customHeight="1" x14ac:dyDescent="0.2">
      <c r="A770" s="560"/>
      <c r="B770" s="175" t="s">
        <v>349</v>
      </c>
      <c r="C770" s="175" t="s">
        <v>350</v>
      </c>
      <c r="D770" s="175" t="s">
        <v>351</v>
      </c>
      <c r="E770" s="175" t="s">
        <v>254</v>
      </c>
      <c r="F770" s="178">
        <v>0.15</v>
      </c>
      <c r="G770" s="175" t="s">
        <v>256</v>
      </c>
      <c r="H770" s="84">
        <v>1418</v>
      </c>
      <c r="I770" s="84">
        <v>0</v>
      </c>
      <c r="J770" s="84">
        <v>0</v>
      </c>
      <c r="K770" s="212" t="e">
        <f t="shared" si="23"/>
        <v>#DIV/0!</v>
      </c>
      <c r="L770" s="82" t="s">
        <v>595</v>
      </c>
    </row>
    <row r="771" spans="1:12" ht="24.75" hidden="1" customHeight="1" x14ac:dyDescent="0.2">
      <c r="A771" s="560"/>
      <c r="B771" s="175" t="s">
        <v>353</v>
      </c>
      <c r="C771" s="175" t="s">
        <v>354</v>
      </c>
      <c r="D771" s="175" t="s">
        <v>355</v>
      </c>
      <c r="E771" s="175" t="s">
        <v>254</v>
      </c>
      <c r="F771" s="178">
        <v>0.15</v>
      </c>
      <c r="G771" s="175" t="s">
        <v>257</v>
      </c>
      <c r="H771" s="178">
        <v>1</v>
      </c>
      <c r="I771" s="178">
        <v>0</v>
      </c>
      <c r="J771" s="178">
        <v>0</v>
      </c>
      <c r="K771" s="212" t="e">
        <f t="shared" si="23"/>
        <v>#DIV/0!</v>
      </c>
      <c r="L771" s="82" t="s">
        <v>597</v>
      </c>
    </row>
    <row r="772" spans="1:12" ht="24.75" hidden="1" customHeight="1" x14ac:dyDescent="0.2">
      <c r="A772" s="560"/>
      <c r="B772" s="567" t="s">
        <v>357</v>
      </c>
      <c r="C772" s="567" t="s">
        <v>358</v>
      </c>
      <c r="D772" s="567" t="s">
        <v>359</v>
      </c>
      <c r="E772" s="567" t="s">
        <v>345</v>
      </c>
      <c r="F772" s="570">
        <v>0.25</v>
      </c>
      <c r="G772" s="175" t="s">
        <v>252</v>
      </c>
      <c r="H772" s="84">
        <v>1183</v>
      </c>
      <c r="I772" s="84">
        <v>0</v>
      </c>
      <c r="J772" s="84">
        <v>0</v>
      </c>
      <c r="K772" s="212" t="e">
        <f t="shared" si="23"/>
        <v>#DIV/0!</v>
      </c>
      <c r="L772" s="82" t="s">
        <v>596</v>
      </c>
    </row>
    <row r="773" spans="1:12" ht="24.75" hidden="1" customHeight="1" x14ac:dyDescent="0.2">
      <c r="A773" s="516"/>
      <c r="B773" s="567"/>
      <c r="C773" s="567"/>
      <c r="D773" s="567"/>
      <c r="E773" s="567"/>
      <c r="F773" s="570"/>
      <c r="G773" s="175" t="s">
        <v>308</v>
      </c>
      <c r="H773" s="178">
        <v>1</v>
      </c>
      <c r="I773" s="178">
        <v>0</v>
      </c>
      <c r="J773" s="178">
        <v>0</v>
      </c>
      <c r="K773" s="212" t="e">
        <f t="shared" si="23"/>
        <v>#DIV/0!</v>
      </c>
      <c r="L773" s="82" t="s">
        <v>598</v>
      </c>
    </row>
    <row r="774" spans="1:12" ht="24.75" hidden="1" customHeight="1" x14ac:dyDescent="0.2">
      <c r="A774" s="559" t="s">
        <v>133</v>
      </c>
      <c r="B774" s="567" t="s">
        <v>342</v>
      </c>
      <c r="C774" s="567" t="s">
        <v>343</v>
      </c>
      <c r="D774" s="567" t="s">
        <v>344</v>
      </c>
      <c r="E774" s="567" t="s">
        <v>345</v>
      </c>
      <c r="F774" s="570">
        <v>0.45</v>
      </c>
      <c r="G774" s="175" t="s">
        <v>304</v>
      </c>
      <c r="H774" s="178">
        <v>1</v>
      </c>
      <c r="I774" s="178">
        <v>0</v>
      </c>
      <c r="J774" s="178">
        <v>0</v>
      </c>
      <c r="K774" s="212" t="e">
        <f t="shared" si="23"/>
        <v>#DIV/0!</v>
      </c>
      <c r="L774" s="82" t="s">
        <v>609</v>
      </c>
    </row>
    <row r="775" spans="1:12" ht="24.75" hidden="1" customHeight="1" x14ac:dyDescent="0.2">
      <c r="A775" s="560"/>
      <c r="B775" s="567"/>
      <c r="C775" s="567"/>
      <c r="D775" s="567"/>
      <c r="E775" s="567"/>
      <c r="F775" s="570"/>
      <c r="G775" s="175" t="s">
        <v>594</v>
      </c>
      <c r="H775" s="84">
        <v>7</v>
      </c>
      <c r="I775" s="84">
        <v>0</v>
      </c>
      <c r="J775" s="84">
        <v>0</v>
      </c>
      <c r="K775" s="212" t="e">
        <f t="shared" si="23"/>
        <v>#DIV/0!</v>
      </c>
      <c r="L775" s="82" t="s">
        <v>607</v>
      </c>
    </row>
    <row r="776" spans="1:12" ht="24.75" hidden="1" customHeight="1" x14ac:dyDescent="0.2">
      <c r="A776" s="560"/>
      <c r="B776" s="567"/>
      <c r="C776" s="567"/>
      <c r="D776" s="567"/>
      <c r="E776" s="567"/>
      <c r="F776" s="570"/>
      <c r="G776" s="175" t="s">
        <v>315</v>
      </c>
      <c r="H776" s="84">
        <v>1.9999999999999996</v>
      </c>
      <c r="I776" s="84">
        <v>0</v>
      </c>
      <c r="J776" s="84">
        <v>0</v>
      </c>
      <c r="K776" s="212" t="e">
        <f>J776/I776</f>
        <v>#DIV/0!</v>
      </c>
      <c r="L776" s="82" t="s">
        <v>603</v>
      </c>
    </row>
    <row r="777" spans="1:12" ht="24.75" hidden="1" customHeight="1" x14ac:dyDescent="0.2">
      <c r="A777" s="560"/>
      <c r="B777" s="175" t="s">
        <v>349</v>
      </c>
      <c r="C777" s="175" t="s">
        <v>350</v>
      </c>
      <c r="D777" s="175" t="s">
        <v>351</v>
      </c>
      <c r="E777" s="175" t="s">
        <v>254</v>
      </c>
      <c r="F777" s="178">
        <v>0.15</v>
      </c>
      <c r="G777" s="175" t="s">
        <v>256</v>
      </c>
      <c r="H777" s="84">
        <v>1418</v>
      </c>
      <c r="I777" s="84">
        <v>0</v>
      </c>
      <c r="J777" s="84">
        <v>0</v>
      </c>
      <c r="K777" s="212" t="e">
        <f>J777/I777</f>
        <v>#DIV/0!</v>
      </c>
      <c r="L777" s="82" t="s">
        <v>604</v>
      </c>
    </row>
    <row r="778" spans="1:12" ht="24.75" hidden="1" customHeight="1" x14ac:dyDescent="0.2">
      <c r="A778" s="560"/>
      <c r="B778" s="175" t="s">
        <v>353</v>
      </c>
      <c r="C778" s="175" t="s">
        <v>354</v>
      </c>
      <c r="D778" s="175" t="s">
        <v>355</v>
      </c>
      <c r="E778" s="175" t="s">
        <v>254</v>
      </c>
      <c r="F778" s="178">
        <v>0.15</v>
      </c>
      <c r="G778" s="175" t="s">
        <v>257</v>
      </c>
      <c r="H778" s="178">
        <v>1</v>
      </c>
      <c r="I778" s="178">
        <v>0</v>
      </c>
      <c r="J778" s="178">
        <v>0</v>
      </c>
      <c r="K778" s="212" t="e">
        <f>J778/I778</f>
        <v>#DIV/0!</v>
      </c>
      <c r="L778" s="82" t="s">
        <v>606</v>
      </c>
    </row>
    <row r="779" spans="1:12" ht="24.75" hidden="1" customHeight="1" x14ac:dyDescent="0.2">
      <c r="A779" s="560"/>
      <c r="B779" s="567" t="s">
        <v>357</v>
      </c>
      <c r="C779" s="567" t="s">
        <v>358</v>
      </c>
      <c r="D779" s="567" t="s">
        <v>359</v>
      </c>
      <c r="E779" s="567" t="s">
        <v>345</v>
      </c>
      <c r="F779" s="570">
        <v>0.25</v>
      </c>
      <c r="G779" s="175" t="s">
        <v>252</v>
      </c>
      <c r="H779" s="84">
        <v>1183</v>
      </c>
      <c r="I779" s="84">
        <v>0</v>
      </c>
      <c r="J779" s="84">
        <v>0</v>
      </c>
      <c r="K779" s="212" t="e">
        <f>J779/I779</f>
        <v>#DIV/0!</v>
      </c>
      <c r="L779" s="82" t="s">
        <v>605</v>
      </c>
    </row>
    <row r="780" spans="1:12" ht="24.75" hidden="1" customHeight="1" x14ac:dyDescent="0.2">
      <c r="A780" s="516"/>
      <c r="B780" s="567"/>
      <c r="C780" s="567"/>
      <c r="D780" s="567"/>
      <c r="E780" s="567"/>
      <c r="F780" s="570"/>
      <c r="G780" s="175" t="s">
        <v>308</v>
      </c>
      <c r="H780" s="178">
        <v>1</v>
      </c>
      <c r="I780" s="178">
        <v>0</v>
      </c>
      <c r="J780" s="178">
        <v>0</v>
      </c>
      <c r="K780" s="212" t="e">
        <f>J780/I780</f>
        <v>#DIV/0!</v>
      </c>
      <c r="L780" s="82" t="s">
        <v>608</v>
      </c>
    </row>
    <row r="782" spans="1:12" ht="24.75" customHeight="1" x14ac:dyDescent="0.2">
      <c r="A782" s="578" t="s">
        <v>160</v>
      </c>
      <c r="B782" s="579"/>
      <c r="C782" s="579"/>
      <c r="D782" s="579"/>
      <c r="E782" s="579"/>
      <c r="F782" s="579"/>
      <c r="G782" s="579"/>
      <c r="H782" s="579"/>
      <c r="I782" s="579"/>
      <c r="J782" s="579"/>
      <c r="K782" s="579"/>
      <c r="L782" s="580"/>
    </row>
    <row r="783" spans="1:12" ht="24.75" customHeight="1" x14ac:dyDescent="0.2">
      <c r="A783" s="74" t="s">
        <v>62</v>
      </c>
      <c r="B783" s="29" t="s">
        <v>144</v>
      </c>
      <c r="C783" s="29" t="s">
        <v>145</v>
      </c>
      <c r="D783" s="29" t="s">
        <v>146</v>
      </c>
      <c r="E783" s="29" t="s">
        <v>147</v>
      </c>
      <c r="F783" s="29" t="s">
        <v>161</v>
      </c>
      <c r="G783" s="29" t="s">
        <v>149</v>
      </c>
      <c r="H783" s="29" t="s">
        <v>162</v>
      </c>
      <c r="I783" s="95" t="s">
        <v>151</v>
      </c>
      <c r="J783" s="29" t="s">
        <v>152</v>
      </c>
      <c r="K783" s="29" t="s">
        <v>153</v>
      </c>
      <c r="L783" s="29" t="s">
        <v>154</v>
      </c>
    </row>
    <row r="784" spans="1:12" ht="24.75" hidden="1" customHeight="1" x14ac:dyDescent="0.2">
      <c r="A784" s="564" t="s">
        <v>135</v>
      </c>
      <c r="B784" s="568" t="s">
        <v>342</v>
      </c>
      <c r="C784" s="568" t="s">
        <v>343</v>
      </c>
      <c r="D784" s="568" t="s">
        <v>344</v>
      </c>
      <c r="E784" s="568" t="s">
        <v>345</v>
      </c>
      <c r="F784" s="569">
        <v>0.45</v>
      </c>
      <c r="G784" s="176" t="s">
        <v>304</v>
      </c>
      <c r="H784" s="179">
        <v>1</v>
      </c>
      <c r="I784" s="179">
        <v>0</v>
      </c>
      <c r="J784" s="179">
        <v>0</v>
      </c>
      <c r="K784" s="193" t="e">
        <f>J784/I784</f>
        <v>#DIV/0!</v>
      </c>
      <c r="L784" s="216" t="s">
        <v>617</v>
      </c>
    </row>
    <row r="785" spans="1:12" ht="24.75" hidden="1" customHeight="1" x14ac:dyDescent="0.2">
      <c r="A785" s="565"/>
      <c r="B785" s="568"/>
      <c r="C785" s="568"/>
      <c r="D785" s="568"/>
      <c r="E785" s="568"/>
      <c r="F785" s="569"/>
      <c r="G785" s="176" t="s">
        <v>594</v>
      </c>
      <c r="H785" s="248">
        <v>7</v>
      </c>
      <c r="I785" s="248">
        <v>1</v>
      </c>
      <c r="J785" s="249">
        <v>0</v>
      </c>
      <c r="K785" s="193">
        <f t="shared" ref="K785:K790" si="24">J785/I785</f>
        <v>0</v>
      </c>
      <c r="L785" s="216" t="s">
        <v>628</v>
      </c>
    </row>
    <row r="786" spans="1:12" ht="24.75" hidden="1" customHeight="1" x14ac:dyDescent="0.2">
      <c r="A786" s="565"/>
      <c r="B786" s="568"/>
      <c r="C786" s="568"/>
      <c r="D786" s="568"/>
      <c r="E786" s="568"/>
      <c r="F786" s="569"/>
      <c r="G786" s="176" t="s">
        <v>315</v>
      </c>
      <c r="H786" s="248">
        <v>1.9999999999999996</v>
      </c>
      <c r="I786" s="248">
        <v>0</v>
      </c>
      <c r="J786" s="249">
        <v>0</v>
      </c>
      <c r="K786" s="193" t="e">
        <f t="shared" si="24"/>
        <v>#DIV/0!</v>
      </c>
      <c r="L786" s="216" t="s">
        <v>629</v>
      </c>
    </row>
    <row r="787" spans="1:12" ht="24.75" hidden="1" customHeight="1" x14ac:dyDescent="0.2">
      <c r="A787" s="565"/>
      <c r="B787" s="176" t="s">
        <v>349</v>
      </c>
      <c r="C787" s="176" t="s">
        <v>350</v>
      </c>
      <c r="D787" s="176" t="s">
        <v>351</v>
      </c>
      <c r="E787" s="176" t="s">
        <v>254</v>
      </c>
      <c r="F787" s="179">
        <v>0.15</v>
      </c>
      <c r="G787" s="176" t="s">
        <v>256</v>
      </c>
      <c r="H787" s="248">
        <v>1585</v>
      </c>
      <c r="I787" s="248">
        <v>0</v>
      </c>
      <c r="J787" s="249">
        <v>0</v>
      </c>
      <c r="K787" s="193" t="e">
        <f t="shared" si="24"/>
        <v>#DIV/0!</v>
      </c>
      <c r="L787" s="216" t="s">
        <v>615</v>
      </c>
    </row>
    <row r="788" spans="1:12" ht="24.75" hidden="1" customHeight="1" x14ac:dyDescent="0.2">
      <c r="A788" s="565"/>
      <c r="B788" s="176" t="s">
        <v>353</v>
      </c>
      <c r="C788" s="176" t="s">
        <v>354</v>
      </c>
      <c r="D788" s="176" t="s">
        <v>355</v>
      </c>
      <c r="E788" s="176" t="s">
        <v>254</v>
      </c>
      <c r="F788" s="179">
        <v>0.15</v>
      </c>
      <c r="G788" s="176" t="s">
        <v>257</v>
      </c>
      <c r="H788" s="179">
        <v>1</v>
      </c>
      <c r="I788" s="248">
        <v>0</v>
      </c>
      <c r="J788" s="179">
        <v>0</v>
      </c>
      <c r="K788" s="193" t="e">
        <f t="shared" si="24"/>
        <v>#DIV/0!</v>
      </c>
      <c r="L788" s="216" t="s">
        <v>616</v>
      </c>
    </row>
    <row r="789" spans="1:12" ht="24.75" hidden="1" customHeight="1" x14ac:dyDescent="0.2">
      <c r="A789" s="565"/>
      <c r="B789" s="568" t="s">
        <v>357</v>
      </c>
      <c r="C789" s="568" t="s">
        <v>358</v>
      </c>
      <c r="D789" s="568" t="s">
        <v>359</v>
      </c>
      <c r="E789" s="568" t="s">
        <v>345</v>
      </c>
      <c r="F789" s="569">
        <v>0.25</v>
      </c>
      <c r="G789" s="176" t="s">
        <v>630</v>
      </c>
      <c r="H789" s="248">
        <v>370</v>
      </c>
      <c r="I789" s="248">
        <v>0</v>
      </c>
      <c r="J789" s="249">
        <v>0</v>
      </c>
      <c r="K789" s="193" t="e">
        <f t="shared" si="24"/>
        <v>#DIV/0!</v>
      </c>
      <c r="L789" s="216" t="s">
        <v>614</v>
      </c>
    </row>
    <row r="790" spans="1:12" ht="24.75" hidden="1" customHeight="1" x14ac:dyDescent="0.2">
      <c r="A790" s="566"/>
      <c r="B790" s="568"/>
      <c r="C790" s="568"/>
      <c r="D790" s="568"/>
      <c r="E790" s="568"/>
      <c r="F790" s="569"/>
      <c r="G790" s="176" t="s">
        <v>308</v>
      </c>
      <c r="H790" s="179">
        <v>1</v>
      </c>
      <c r="I790" s="248">
        <v>0</v>
      </c>
      <c r="J790" s="179">
        <v>0</v>
      </c>
      <c r="K790" s="193" t="e">
        <f t="shared" si="24"/>
        <v>#DIV/0!</v>
      </c>
      <c r="L790" s="216" t="s">
        <v>618</v>
      </c>
    </row>
    <row r="791" spans="1:12" ht="24.75" hidden="1" customHeight="1" x14ac:dyDescent="0.2">
      <c r="A791" s="564" t="s">
        <v>136</v>
      </c>
      <c r="B791" s="568" t="s">
        <v>342</v>
      </c>
      <c r="C791" s="568" t="s">
        <v>343</v>
      </c>
      <c r="D791" s="568" t="s">
        <v>344</v>
      </c>
      <c r="E791" s="568" t="s">
        <v>345</v>
      </c>
      <c r="F791" s="569">
        <v>0.45</v>
      </c>
      <c r="G791" s="176" t="s">
        <v>304</v>
      </c>
      <c r="H791" s="179">
        <v>1</v>
      </c>
      <c r="I791" s="179">
        <v>0</v>
      </c>
      <c r="J791" s="179">
        <v>0</v>
      </c>
      <c r="K791" s="193" t="e">
        <f>J791/I791</f>
        <v>#DIV/0!</v>
      </c>
      <c r="L791" s="216" t="s">
        <v>632</v>
      </c>
    </row>
    <row r="792" spans="1:12" ht="24.75" hidden="1" customHeight="1" x14ac:dyDescent="0.2">
      <c r="A792" s="565"/>
      <c r="B792" s="568"/>
      <c r="C792" s="568"/>
      <c r="D792" s="568"/>
      <c r="E792" s="568"/>
      <c r="F792" s="569"/>
      <c r="G792" s="176" t="s">
        <v>594</v>
      </c>
      <c r="H792" s="248">
        <v>7</v>
      </c>
      <c r="I792" s="248">
        <v>1</v>
      </c>
      <c r="J792" s="249">
        <v>0</v>
      </c>
      <c r="K792" s="193">
        <f t="shared" ref="K792:K797" si="25">J792/I792</f>
        <v>0</v>
      </c>
      <c r="L792" s="216" t="s">
        <v>638</v>
      </c>
    </row>
    <row r="793" spans="1:12" ht="24.75" hidden="1" customHeight="1" x14ac:dyDescent="0.2">
      <c r="A793" s="565"/>
      <c r="B793" s="568"/>
      <c r="C793" s="568"/>
      <c r="D793" s="568"/>
      <c r="E793" s="568"/>
      <c r="F793" s="569"/>
      <c r="G793" s="176" t="s">
        <v>315</v>
      </c>
      <c r="H793" s="248">
        <v>1.9999999999999996</v>
      </c>
      <c r="I793" s="248">
        <v>0</v>
      </c>
      <c r="J793" s="249">
        <v>0</v>
      </c>
      <c r="K793" s="193" t="e">
        <f t="shared" si="25"/>
        <v>#DIV/0!</v>
      </c>
      <c r="L793" s="216" t="s">
        <v>633</v>
      </c>
    </row>
    <row r="794" spans="1:12" ht="24.75" hidden="1" customHeight="1" x14ac:dyDescent="0.2">
      <c r="A794" s="565"/>
      <c r="B794" s="176" t="s">
        <v>349</v>
      </c>
      <c r="C794" s="176" t="s">
        <v>350</v>
      </c>
      <c r="D794" s="176" t="s">
        <v>351</v>
      </c>
      <c r="E794" s="176" t="s">
        <v>254</v>
      </c>
      <c r="F794" s="179">
        <v>0.15</v>
      </c>
      <c r="G794" s="176" t="s">
        <v>256</v>
      </c>
      <c r="H794" s="248">
        <v>1585</v>
      </c>
      <c r="I794" s="248">
        <v>0</v>
      </c>
      <c r="J794" s="249">
        <v>0</v>
      </c>
      <c r="K794" s="193" t="e">
        <f t="shared" si="25"/>
        <v>#DIV/0!</v>
      </c>
      <c r="L794" s="216" t="s">
        <v>631</v>
      </c>
    </row>
    <row r="795" spans="1:12" ht="24.75" hidden="1" customHeight="1" x14ac:dyDescent="0.2">
      <c r="A795" s="565"/>
      <c r="B795" s="176" t="s">
        <v>353</v>
      </c>
      <c r="C795" s="176" t="s">
        <v>354</v>
      </c>
      <c r="D795" s="176" t="s">
        <v>355</v>
      </c>
      <c r="E795" s="176" t="s">
        <v>254</v>
      </c>
      <c r="F795" s="179">
        <v>0.15</v>
      </c>
      <c r="G795" s="176" t="s">
        <v>257</v>
      </c>
      <c r="H795" s="179">
        <v>1</v>
      </c>
      <c r="I795" s="248">
        <v>0</v>
      </c>
      <c r="J795" s="179">
        <v>0</v>
      </c>
      <c r="K795" s="193" t="e">
        <f t="shared" si="25"/>
        <v>#DIV/0!</v>
      </c>
      <c r="L795" s="216" t="s">
        <v>636</v>
      </c>
    </row>
    <row r="796" spans="1:12" ht="24.75" hidden="1" customHeight="1" x14ac:dyDescent="0.2">
      <c r="A796" s="565"/>
      <c r="B796" s="568" t="s">
        <v>357</v>
      </c>
      <c r="C796" s="568" t="s">
        <v>358</v>
      </c>
      <c r="D796" s="568" t="s">
        <v>359</v>
      </c>
      <c r="E796" s="568" t="s">
        <v>345</v>
      </c>
      <c r="F796" s="569">
        <v>0.25</v>
      </c>
      <c r="G796" s="176" t="s">
        <v>630</v>
      </c>
      <c r="H796" s="248">
        <v>370</v>
      </c>
      <c r="I796" s="248">
        <v>0</v>
      </c>
      <c r="J796" s="249">
        <v>0</v>
      </c>
      <c r="K796" s="193" t="e">
        <f t="shared" si="25"/>
        <v>#DIV/0!</v>
      </c>
      <c r="L796" s="216" t="s">
        <v>635</v>
      </c>
    </row>
    <row r="797" spans="1:12" ht="24.75" hidden="1" customHeight="1" x14ac:dyDescent="0.2">
      <c r="A797" s="566"/>
      <c r="B797" s="568"/>
      <c r="C797" s="568"/>
      <c r="D797" s="568"/>
      <c r="E797" s="568"/>
      <c r="F797" s="569"/>
      <c r="G797" s="176" t="s">
        <v>308</v>
      </c>
      <c r="H797" s="179">
        <v>1</v>
      </c>
      <c r="I797" s="248">
        <v>0</v>
      </c>
      <c r="J797" s="179">
        <v>0</v>
      </c>
      <c r="K797" s="193" t="e">
        <f t="shared" si="25"/>
        <v>#DIV/0!</v>
      </c>
      <c r="L797" s="216" t="s">
        <v>637</v>
      </c>
    </row>
    <row r="798" spans="1:12" ht="24.75" hidden="1" customHeight="1" x14ac:dyDescent="0.2">
      <c r="A798" s="564" t="s">
        <v>137</v>
      </c>
      <c r="B798" s="568" t="s">
        <v>342</v>
      </c>
      <c r="C798" s="568" t="s">
        <v>343</v>
      </c>
      <c r="D798" s="568" t="s">
        <v>344</v>
      </c>
      <c r="E798" s="568" t="s">
        <v>345</v>
      </c>
      <c r="F798" s="569">
        <v>0.45</v>
      </c>
      <c r="G798" s="176" t="s">
        <v>304</v>
      </c>
      <c r="H798" s="179">
        <v>1</v>
      </c>
      <c r="I798" s="179">
        <v>0</v>
      </c>
      <c r="J798" s="179">
        <v>0</v>
      </c>
      <c r="K798" s="193" t="e">
        <f>J798/I798</f>
        <v>#DIV/0!</v>
      </c>
      <c r="L798" s="216" t="s">
        <v>642</v>
      </c>
    </row>
    <row r="799" spans="1:12" ht="24.75" hidden="1" customHeight="1" x14ac:dyDescent="0.2">
      <c r="A799" s="565"/>
      <c r="B799" s="568"/>
      <c r="C799" s="568"/>
      <c r="D799" s="568"/>
      <c r="E799" s="568"/>
      <c r="F799" s="569"/>
      <c r="G799" s="176" t="s">
        <v>594</v>
      </c>
      <c r="H799" s="248">
        <v>7</v>
      </c>
      <c r="I799" s="248">
        <v>1</v>
      </c>
      <c r="J799" s="249">
        <v>0</v>
      </c>
      <c r="K799" s="193">
        <f t="shared" ref="K799:K804" si="26">J799/I799</f>
        <v>0</v>
      </c>
      <c r="L799" s="216" t="s">
        <v>643</v>
      </c>
    </row>
    <row r="800" spans="1:12" ht="24.75" hidden="1" customHeight="1" x14ac:dyDescent="0.2">
      <c r="A800" s="565"/>
      <c r="B800" s="568"/>
      <c r="C800" s="568"/>
      <c r="D800" s="568"/>
      <c r="E800" s="568"/>
      <c r="F800" s="569"/>
      <c r="G800" s="176" t="s">
        <v>315</v>
      </c>
      <c r="H800" s="248">
        <v>1.9999999999999996</v>
      </c>
      <c r="I800" s="248">
        <v>0</v>
      </c>
      <c r="J800" s="249">
        <v>0</v>
      </c>
      <c r="K800" s="193" t="e">
        <f t="shared" si="26"/>
        <v>#DIV/0!</v>
      </c>
      <c r="L800" s="216" t="s">
        <v>644</v>
      </c>
    </row>
    <row r="801" spans="1:12" ht="24.75" hidden="1" customHeight="1" x14ac:dyDescent="0.2">
      <c r="A801" s="565"/>
      <c r="B801" s="176" t="s">
        <v>349</v>
      </c>
      <c r="C801" s="176" t="s">
        <v>350</v>
      </c>
      <c r="D801" s="176" t="s">
        <v>351</v>
      </c>
      <c r="E801" s="176" t="s">
        <v>254</v>
      </c>
      <c r="F801" s="179">
        <v>0.15</v>
      </c>
      <c r="G801" s="176" t="s">
        <v>256</v>
      </c>
      <c r="H801" s="248">
        <v>1585</v>
      </c>
      <c r="I801" s="248">
        <v>0</v>
      </c>
      <c r="J801" s="249">
        <v>0</v>
      </c>
      <c r="K801" s="193" t="e">
        <f t="shared" si="26"/>
        <v>#DIV/0!</v>
      </c>
      <c r="L801" s="216" t="s">
        <v>640</v>
      </c>
    </row>
    <row r="802" spans="1:12" ht="24.75" hidden="1" customHeight="1" x14ac:dyDescent="0.2">
      <c r="A802" s="565"/>
      <c r="B802" s="176" t="s">
        <v>353</v>
      </c>
      <c r="C802" s="176" t="s">
        <v>354</v>
      </c>
      <c r="D802" s="176" t="s">
        <v>355</v>
      </c>
      <c r="E802" s="176" t="s">
        <v>254</v>
      </c>
      <c r="F802" s="179">
        <v>0.15</v>
      </c>
      <c r="G802" s="176" t="s">
        <v>257</v>
      </c>
      <c r="H802" s="179">
        <v>1</v>
      </c>
      <c r="I802" s="248">
        <v>0</v>
      </c>
      <c r="J802" s="179">
        <v>0</v>
      </c>
      <c r="K802" s="193" t="e">
        <f t="shared" si="26"/>
        <v>#DIV/0!</v>
      </c>
      <c r="L802" s="216" t="s">
        <v>641</v>
      </c>
    </row>
    <row r="803" spans="1:12" ht="24.75" hidden="1" customHeight="1" x14ac:dyDescent="0.2">
      <c r="A803" s="565"/>
      <c r="B803" s="568" t="s">
        <v>357</v>
      </c>
      <c r="C803" s="568" t="s">
        <v>358</v>
      </c>
      <c r="D803" s="568" t="s">
        <v>359</v>
      </c>
      <c r="E803" s="568" t="s">
        <v>345</v>
      </c>
      <c r="F803" s="569">
        <v>0.25</v>
      </c>
      <c r="G803" s="176" t="s">
        <v>630</v>
      </c>
      <c r="H803" s="248">
        <v>370</v>
      </c>
      <c r="I803" s="248">
        <v>0</v>
      </c>
      <c r="J803" s="249">
        <v>0</v>
      </c>
      <c r="K803" s="193" t="e">
        <f t="shared" si="26"/>
        <v>#DIV/0!</v>
      </c>
      <c r="L803" s="216" t="s">
        <v>639</v>
      </c>
    </row>
    <row r="804" spans="1:12" ht="24.75" hidden="1" customHeight="1" x14ac:dyDescent="0.2">
      <c r="A804" s="566"/>
      <c r="B804" s="568"/>
      <c r="C804" s="568"/>
      <c r="D804" s="568"/>
      <c r="E804" s="568"/>
      <c r="F804" s="569"/>
      <c r="G804" s="176" t="s">
        <v>308</v>
      </c>
      <c r="H804" s="179">
        <v>1</v>
      </c>
      <c r="I804" s="248">
        <v>0</v>
      </c>
      <c r="J804" s="179">
        <v>0</v>
      </c>
      <c r="K804" s="193" t="e">
        <f t="shared" si="26"/>
        <v>#DIV/0!</v>
      </c>
      <c r="L804" s="216" t="s">
        <v>645</v>
      </c>
    </row>
    <row r="805" spans="1:12" ht="24.75" hidden="1" customHeight="1" x14ac:dyDescent="0.2">
      <c r="A805" s="564" t="s">
        <v>138</v>
      </c>
      <c r="B805" s="568" t="s">
        <v>342</v>
      </c>
      <c r="C805" s="568" t="s">
        <v>343</v>
      </c>
      <c r="D805" s="568" t="s">
        <v>344</v>
      </c>
      <c r="E805" s="568" t="s">
        <v>345</v>
      </c>
      <c r="F805" s="569">
        <v>0.45</v>
      </c>
      <c r="G805" s="176" t="s">
        <v>304</v>
      </c>
      <c r="H805" s="179">
        <v>1</v>
      </c>
      <c r="I805" s="179">
        <v>0</v>
      </c>
      <c r="J805" s="179">
        <v>0</v>
      </c>
      <c r="K805" s="193" t="e">
        <f>J805/I805</f>
        <v>#DIV/0!</v>
      </c>
      <c r="L805" s="216" t="s">
        <v>649</v>
      </c>
    </row>
    <row r="806" spans="1:12" ht="24.75" hidden="1" customHeight="1" x14ac:dyDescent="0.2">
      <c r="A806" s="565"/>
      <c r="B806" s="568"/>
      <c r="C806" s="568"/>
      <c r="D806" s="568"/>
      <c r="E806" s="568"/>
      <c r="F806" s="569"/>
      <c r="G806" s="176" t="s">
        <v>594</v>
      </c>
      <c r="H806" s="248">
        <v>7</v>
      </c>
      <c r="I806" s="248">
        <v>1</v>
      </c>
      <c r="J806" s="249">
        <v>0</v>
      </c>
      <c r="K806" s="193">
        <f t="shared" ref="K806:K811" si="27">J806/I806</f>
        <v>0</v>
      </c>
      <c r="L806" s="216" t="s">
        <v>650</v>
      </c>
    </row>
    <row r="807" spans="1:12" ht="24.75" hidden="1" customHeight="1" x14ac:dyDescent="0.2">
      <c r="A807" s="565"/>
      <c r="B807" s="568"/>
      <c r="C807" s="568"/>
      <c r="D807" s="568"/>
      <c r="E807" s="568"/>
      <c r="F807" s="569"/>
      <c r="G807" s="176" t="s">
        <v>315</v>
      </c>
      <c r="H807" s="248">
        <v>1.9999999999999996</v>
      </c>
      <c r="I807" s="248">
        <v>0</v>
      </c>
      <c r="J807" s="249">
        <v>0</v>
      </c>
      <c r="K807" s="193" t="e">
        <f t="shared" si="27"/>
        <v>#DIV/0!</v>
      </c>
      <c r="L807" s="216" t="s">
        <v>651</v>
      </c>
    </row>
    <row r="808" spans="1:12" ht="24.75" hidden="1" customHeight="1" x14ac:dyDescent="0.2">
      <c r="A808" s="565"/>
      <c r="B808" s="176" t="s">
        <v>349</v>
      </c>
      <c r="C808" s="176" t="s">
        <v>350</v>
      </c>
      <c r="D808" s="176" t="s">
        <v>351</v>
      </c>
      <c r="E808" s="176" t="s">
        <v>254</v>
      </c>
      <c r="F808" s="179">
        <v>0.15</v>
      </c>
      <c r="G808" s="176" t="s">
        <v>256</v>
      </c>
      <c r="H808" s="248">
        <v>1585</v>
      </c>
      <c r="I808" s="248">
        <v>0</v>
      </c>
      <c r="J808" s="249">
        <v>0</v>
      </c>
      <c r="K808" s="193" t="e">
        <f t="shared" si="27"/>
        <v>#DIV/0!</v>
      </c>
      <c r="L808" s="216" t="s">
        <v>648</v>
      </c>
    </row>
    <row r="809" spans="1:12" ht="24.75" hidden="1" customHeight="1" x14ac:dyDescent="0.2">
      <c r="A809" s="565"/>
      <c r="B809" s="176" t="s">
        <v>353</v>
      </c>
      <c r="C809" s="176" t="s">
        <v>354</v>
      </c>
      <c r="D809" s="176" t="s">
        <v>355</v>
      </c>
      <c r="E809" s="176" t="s">
        <v>254</v>
      </c>
      <c r="F809" s="179">
        <v>0.15</v>
      </c>
      <c r="G809" s="176" t="s">
        <v>257</v>
      </c>
      <c r="H809" s="179">
        <v>1</v>
      </c>
      <c r="I809" s="248">
        <v>0</v>
      </c>
      <c r="J809" s="179">
        <v>0</v>
      </c>
      <c r="K809" s="193" t="e">
        <f t="shared" si="27"/>
        <v>#DIV/0!</v>
      </c>
      <c r="L809" s="216" t="s">
        <v>646</v>
      </c>
    </row>
    <row r="810" spans="1:12" ht="24.75" hidden="1" customHeight="1" x14ac:dyDescent="0.2">
      <c r="A810" s="565"/>
      <c r="B810" s="568" t="s">
        <v>357</v>
      </c>
      <c r="C810" s="568" t="s">
        <v>358</v>
      </c>
      <c r="D810" s="568" t="s">
        <v>359</v>
      </c>
      <c r="E810" s="568" t="s">
        <v>345</v>
      </c>
      <c r="F810" s="569">
        <v>0.25</v>
      </c>
      <c r="G810" s="176" t="s">
        <v>630</v>
      </c>
      <c r="H810" s="248">
        <v>370</v>
      </c>
      <c r="I810" s="248">
        <v>0</v>
      </c>
      <c r="J810" s="249">
        <v>0</v>
      </c>
      <c r="K810" s="193" t="e">
        <f t="shared" si="27"/>
        <v>#DIV/0!</v>
      </c>
      <c r="L810" s="216" t="s">
        <v>647</v>
      </c>
    </row>
    <row r="811" spans="1:12" ht="24.75" hidden="1" customHeight="1" x14ac:dyDescent="0.2">
      <c r="A811" s="566"/>
      <c r="B811" s="568"/>
      <c r="C811" s="568"/>
      <c r="D811" s="568"/>
      <c r="E811" s="568"/>
      <c r="F811" s="569"/>
      <c r="G811" s="176" t="s">
        <v>308</v>
      </c>
      <c r="H811" s="179">
        <v>1</v>
      </c>
      <c r="I811" s="248">
        <v>0</v>
      </c>
      <c r="J811" s="179">
        <v>0</v>
      </c>
      <c r="K811" s="193" t="e">
        <f t="shared" si="27"/>
        <v>#DIV/0!</v>
      </c>
      <c r="L811" s="216" t="s">
        <v>652</v>
      </c>
    </row>
    <row r="812" spans="1:12" ht="24.75" hidden="1" customHeight="1" x14ac:dyDescent="0.2">
      <c r="A812" s="564" t="s">
        <v>139</v>
      </c>
      <c r="B812" s="568" t="s">
        <v>342</v>
      </c>
      <c r="C812" s="568" t="s">
        <v>343</v>
      </c>
      <c r="D812" s="568" t="s">
        <v>344</v>
      </c>
      <c r="E812" s="568" t="s">
        <v>345</v>
      </c>
      <c r="F812" s="569">
        <v>0.45</v>
      </c>
      <c r="G812" s="176" t="s">
        <v>304</v>
      </c>
      <c r="H812" s="179">
        <v>1</v>
      </c>
      <c r="I812" s="179">
        <v>0</v>
      </c>
      <c r="J812" s="179">
        <v>0</v>
      </c>
      <c r="K812" s="193" t="e">
        <f>J812/I812</f>
        <v>#DIV/0!</v>
      </c>
      <c r="L812" s="216" t="s">
        <v>653</v>
      </c>
    </row>
    <row r="813" spans="1:12" ht="24.75" hidden="1" customHeight="1" x14ac:dyDescent="0.2">
      <c r="A813" s="565"/>
      <c r="B813" s="568"/>
      <c r="C813" s="568"/>
      <c r="D813" s="568"/>
      <c r="E813" s="568"/>
      <c r="F813" s="569"/>
      <c r="G813" s="176" t="s">
        <v>594</v>
      </c>
      <c r="H813" s="248">
        <v>7</v>
      </c>
      <c r="I813" s="248">
        <v>1</v>
      </c>
      <c r="J813" s="249">
        <v>0</v>
      </c>
      <c r="K813" s="193">
        <f t="shared" ref="K813:K818" si="28">J813/I813</f>
        <v>0</v>
      </c>
      <c r="L813" s="216" t="s">
        <v>670</v>
      </c>
    </row>
    <row r="814" spans="1:12" ht="24.75" hidden="1" customHeight="1" x14ac:dyDescent="0.2">
      <c r="A814" s="565"/>
      <c r="B814" s="568"/>
      <c r="C814" s="568"/>
      <c r="D814" s="568"/>
      <c r="E814" s="568"/>
      <c r="F814" s="569"/>
      <c r="G814" s="176" t="s">
        <v>315</v>
      </c>
      <c r="H814" s="248">
        <v>1.9999999999999996</v>
      </c>
      <c r="I814" s="248">
        <v>0</v>
      </c>
      <c r="J814" s="249">
        <v>0</v>
      </c>
      <c r="K814" s="193" t="e">
        <f t="shared" si="28"/>
        <v>#DIV/0!</v>
      </c>
      <c r="L814" s="216" t="s">
        <v>669</v>
      </c>
    </row>
    <row r="815" spans="1:12" ht="24.75" hidden="1" customHeight="1" x14ac:dyDescent="0.2">
      <c r="A815" s="565"/>
      <c r="B815" s="176" t="s">
        <v>349</v>
      </c>
      <c r="C815" s="176" t="s">
        <v>350</v>
      </c>
      <c r="D815" s="176" t="s">
        <v>351</v>
      </c>
      <c r="E815" s="176" t="s">
        <v>254</v>
      </c>
      <c r="F815" s="179">
        <v>0.15</v>
      </c>
      <c r="G815" s="176" t="s">
        <v>256</v>
      </c>
      <c r="H815" s="248">
        <v>1585</v>
      </c>
      <c r="I815" s="248">
        <v>0</v>
      </c>
      <c r="J815" s="249">
        <v>0</v>
      </c>
      <c r="K815" s="193" t="e">
        <f t="shared" si="28"/>
        <v>#DIV/0!</v>
      </c>
      <c r="L815" s="216" t="s">
        <v>668</v>
      </c>
    </row>
    <row r="816" spans="1:12" ht="24.75" hidden="1" customHeight="1" x14ac:dyDescent="0.2">
      <c r="A816" s="565"/>
      <c r="B816" s="176" t="s">
        <v>353</v>
      </c>
      <c r="C816" s="176" t="s">
        <v>354</v>
      </c>
      <c r="D816" s="176" t="s">
        <v>355</v>
      </c>
      <c r="E816" s="176" t="s">
        <v>254</v>
      </c>
      <c r="F816" s="179">
        <v>0.15</v>
      </c>
      <c r="G816" s="176" t="s">
        <v>257</v>
      </c>
      <c r="H816" s="179">
        <v>1</v>
      </c>
      <c r="I816" s="248">
        <v>0</v>
      </c>
      <c r="J816" s="179">
        <v>0</v>
      </c>
      <c r="K816" s="193" t="e">
        <f t="shared" si="28"/>
        <v>#DIV/0!</v>
      </c>
      <c r="L816" s="216" t="s">
        <v>671</v>
      </c>
    </row>
    <row r="817" spans="1:12" ht="24.75" hidden="1" customHeight="1" x14ac:dyDescent="0.2">
      <c r="A817" s="565"/>
      <c r="B817" s="568" t="s">
        <v>357</v>
      </c>
      <c r="C817" s="568" t="s">
        <v>358</v>
      </c>
      <c r="D817" s="568" t="s">
        <v>359</v>
      </c>
      <c r="E817" s="568" t="s">
        <v>345</v>
      </c>
      <c r="F817" s="569">
        <v>0.25</v>
      </c>
      <c r="G817" s="176" t="s">
        <v>630</v>
      </c>
      <c r="H817" s="248">
        <v>370</v>
      </c>
      <c r="I817" s="248">
        <v>0</v>
      </c>
      <c r="J817" s="249">
        <v>0</v>
      </c>
      <c r="K817" s="193" t="e">
        <f t="shared" si="28"/>
        <v>#DIV/0!</v>
      </c>
      <c r="L817" s="216" t="s">
        <v>667</v>
      </c>
    </row>
    <row r="818" spans="1:12" ht="24.75" hidden="1" customHeight="1" x14ac:dyDescent="0.2">
      <c r="A818" s="566"/>
      <c r="B818" s="568"/>
      <c r="C818" s="568"/>
      <c r="D818" s="568"/>
      <c r="E818" s="568"/>
      <c r="F818" s="569"/>
      <c r="G818" s="176" t="s">
        <v>308</v>
      </c>
      <c r="H818" s="179">
        <v>1</v>
      </c>
      <c r="I818" s="248">
        <v>0</v>
      </c>
      <c r="J818" s="179">
        <v>0</v>
      </c>
      <c r="K818" s="193" t="e">
        <f t="shared" si="28"/>
        <v>#DIV/0!</v>
      </c>
      <c r="L818" s="216" t="s">
        <v>672</v>
      </c>
    </row>
    <row r="819" spans="1:12" ht="24.75" hidden="1" customHeight="1" x14ac:dyDescent="0.2">
      <c r="A819" s="564" t="s">
        <v>684</v>
      </c>
      <c r="B819" s="568" t="s">
        <v>342</v>
      </c>
      <c r="C819" s="568" t="s">
        <v>343</v>
      </c>
      <c r="D819" s="568" t="s">
        <v>344</v>
      </c>
      <c r="E819" s="568" t="s">
        <v>345</v>
      </c>
      <c r="F819" s="569">
        <v>0.45</v>
      </c>
      <c r="G819" s="176" t="s">
        <v>304</v>
      </c>
      <c r="H819" s="179">
        <f>+INVERSIÓN!$DI$10</f>
        <v>1</v>
      </c>
      <c r="I819" s="179">
        <f>+INVERSIÓN!$DL$13</f>
        <v>0</v>
      </c>
      <c r="J819" s="179">
        <v>0</v>
      </c>
      <c r="K819" s="193" t="e">
        <f>J819/I819</f>
        <v>#DIV/0!</v>
      </c>
      <c r="L819" s="216" t="str">
        <f>+INVERSIÓN!$EW$10</f>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820" spans="1:12" ht="24.75" hidden="1" customHeight="1" x14ac:dyDescent="0.2">
      <c r="A820" s="565"/>
      <c r="B820" s="568"/>
      <c r="C820" s="568"/>
      <c r="D820" s="568"/>
      <c r="E820" s="568"/>
      <c r="F820" s="569"/>
      <c r="G820" s="176" t="s">
        <v>594</v>
      </c>
      <c r="H820" s="247">
        <f>+INVERSIÓN!$DI$17</f>
        <v>7</v>
      </c>
      <c r="I820" s="247">
        <f>+INVERSIÓN!$DL$20</f>
        <v>1</v>
      </c>
      <c r="J820" s="249">
        <v>0</v>
      </c>
      <c r="K820" s="193">
        <f t="shared" ref="K820:K825" si="29">J820/I820</f>
        <v>0</v>
      </c>
      <c r="L820" s="216" t="str">
        <f>+INVERSIÓN!$EW$17</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row>
    <row r="821" spans="1:12" ht="24.75" hidden="1" customHeight="1" x14ac:dyDescent="0.2">
      <c r="A821" s="565"/>
      <c r="B821" s="568"/>
      <c r="C821" s="568"/>
      <c r="D821" s="568"/>
      <c r="E821" s="568"/>
      <c r="F821" s="569"/>
      <c r="G821" s="176" t="s">
        <v>315</v>
      </c>
      <c r="H821" s="247">
        <f>+INVERSIÓN!$DI$24</f>
        <v>1.9999999999999996</v>
      </c>
      <c r="I821" s="247">
        <f>+INVERSIÓN!$DL$27</f>
        <v>0</v>
      </c>
      <c r="J821" s="249">
        <v>0</v>
      </c>
      <c r="K821" s="193" t="e">
        <f t="shared" si="29"/>
        <v>#DIV/0!</v>
      </c>
      <c r="L821" s="216" t="str">
        <f>+INVERSIÓN!$EW$24</f>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row>
    <row r="822" spans="1:12" ht="24.75" hidden="1" customHeight="1" x14ac:dyDescent="0.2">
      <c r="A822" s="565"/>
      <c r="B822" s="176" t="s">
        <v>349</v>
      </c>
      <c r="C822" s="176" t="s">
        <v>350</v>
      </c>
      <c r="D822" s="176" t="s">
        <v>351</v>
      </c>
      <c r="E822" s="176" t="s">
        <v>254</v>
      </c>
      <c r="F822" s="179">
        <v>0.15</v>
      </c>
      <c r="G822" s="176" t="s">
        <v>256</v>
      </c>
      <c r="H822" s="247">
        <f>+INVERSIÓN!$DI$31</f>
        <v>1585</v>
      </c>
      <c r="I822" s="247">
        <f>+INVERSIÓN!$DL$34</f>
        <v>0</v>
      </c>
      <c r="J822" s="249">
        <v>0</v>
      </c>
      <c r="K822" s="193" t="e">
        <f t="shared" si="29"/>
        <v>#DIV/0!</v>
      </c>
      <c r="L822" s="216">
        <f>+INVERSIÓN!$EW$31</f>
        <v>0</v>
      </c>
    </row>
    <row r="823" spans="1:12" ht="24.75" hidden="1" customHeight="1" x14ac:dyDescent="0.2">
      <c r="A823" s="565"/>
      <c r="B823" s="176" t="s">
        <v>353</v>
      </c>
      <c r="C823" s="176" t="s">
        <v>354</v>
      </c>
      <c r="D823" s="176" t="s">
        <v>355</v>
      </c>
      <c r="E823" s="176" t="s">
        <v>254</v>
      </c>
      <c r="F823" s="179">
        <v>0.15</v>
      </c>
      <c r="G823" s="176" t="s">
        <v>257</v>
      </c>
      <c r="H823" s="179">
        <f>+INVERSIÓN!$DI$38</f>
        <v>1</v>
      </c>
      <c r="I823" s="179">
        <f>+INVERSIÓN!$DL$41</f>
        <v>0</v>
      </c>
      <c r="J823" s="179">
        <v>0</v>
      </c>
      <c r="K823" s="193" t="e">
        <f t="shared" si="29"/>
        <v>#DIV/0!</v>
      </c>
      <c r="L823" s="216" t="str">
        <f>+INVERSIÓN!$EW$38</f>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row>
    <row r="824" spans="1:12" ht="24.75" hidden="1" customHeight="1" x14ac:dyDescent="0.2">
      <c r="A824" s="565"/>
      <c r="B824" s="568" t="s">
        <v>357</v>
      </c>
      <c r="C824" s="568" t="s">
        <v>358</v>
      </c>
      <c r="D824" s="568" t="s">
        <v>359</v>
      </c>
      <c r="E824" s="568" t="s">
        <v>345</v>
      </c>
      <c r="F824" s="569">
        <v>0.25</v>
      </c>
      <c r="G824" s="176" t="s">
        <v>630</v>
      </c>
      <c r="H824" s="247">
        <f>+INVERSIÓN!$DI$45</f>
        <v>1193</v>
      </c>
      <c r="I824" s="247">
        <f>+INVERSIÓN!$DL$48</f>
        <v>0</v>
      </c>
      <c r="J824" s="249">
        <v>0</v>
      </c>
      <c r="K824" s="193" t="e">
        <f t="shared" si="29"/>
        <v>#DIV/0!</v>
      </c>
      <c r="L824" s="216" t="str">
        <f>+INVERSIÓN!$EW$45</f>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row>
    <row r="825" spans="1:12" ht="24.75" hidden="1" customHeight="1" x14ac:dyDescent="0.2">
      <c r="A825" s="566"/>
      <c r="B825" s="568"/>
      <c r="C825" s="568"/>
      <c r="D825" s="568"/>
      <c r="E825" s="568"/>
      <c r="F825" s="569"/>
      <c r="G825" s="176" t="s">
        <v>308</v>
      </c>
      <c r="H825" s="179">
        <f>+INVERSIÓN!$DI$52</f>
        <v>1</v>
      </c>
      <c r="I825" s="179">
        <f>+INVERSIÓN!$DL$55</f>
        <v>0</v>
      </c>
      <c r="J825" s="179">
        <v>0</v>
      </c>
      <c r="K825" s="193" t="e">
        <f t="shared" si="29"/>
        <v>#DIV/0!</v>
      </c>
      <c r="L825" s="216" t="str">
        <f>+INVERSIÓN!$EW$52</f>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row>
    <row r="826" spans="1:12" ht="24.75" hidden="1" customHeight="1" x14ac:dyDescent="0.2">
      <c r="A826" s="564" t="s">
        <v>686</v>
      </c>
      <c r="B826" s="568" t="s">
        <v>342</v>
      </c>
      <c r="C826" s="568" t="s">
        <v>343</v>
      </c>
      <c r="D826" s="568" t="s">
        <v>344</v>
      </c>
      <c r="E826" s="568" t="s">
        <v>345</v>
      </c>
      <c r="F826" s="569">
        <v>0.45</v>
      </c>
      <c r="G826" s="176" t="s">
        <v>304</v>
      </c>
      <c r="H826" s="179">
        <f>+INVERSIÓN!$DI$10</f>
        <v>1</v>
      </c>
      <c r="I826" s="179">
        <f>+INVERSIÓN!$DL$13</f>
        <v>0</v>
      </c>
      <c r="J826" s="179">
        <v>0</v>
      </c>
      <c r="K826" s="193" t="e">
        <f>J826/I826</f>
        <v>#DIV/0!</v>
      </c>
      <c r="L826" s="234" t="str">
        <f>+INVERSIÓN!$EW$10</f>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827" spans="1:12" ht="24.75" hidden="1" customHeight="1" x14ac:dyDescent="0.2">
      <c r="A827" s="565"/>
      <c r="B827" s="568"/>
      <c r="C827" s="568"/>
      <c r="D827" s="568"/>
      <c r="E827" s="568"/>
      <c r="F827" s="569"/>
      <c r="G827" s="176" t="s">
        <v>594</v>
      </c>
      <c r="H827" s="247">
        <f>+INVERSIÓN!$DI$17</f>
        <v>7</v>
      </c>
      <c r="I827" s="247">
        <f>+INVERSIÓN!$DL$20</f>
        <v>1</v>
      </c>
      <c r="J827" s="249">
        <v>0</v>
      </c>
      <c r="K827" s="193">
        <f t="shared" ref="K827:K832" si="30">J827/I827</f>
        <v>0</v>
      </c>
      <c r="L827" s="234" t="str">
        <f>+INVERSIÓN!$EW$17</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row>
    <row r="828" spans="1:12" ht="24.75" hidden="1" customHeight="1" x14ac:dyDescent="0.2">
      <c r="A828" s="565"/>
      <c r="B828" s="568"/>
      <c r="C828" s="568"/>
      <c r="D828" s="568"/>
      <c r="E828" s="568"/>
      <c r="F828" s="569"/>
      <c r="G828" s="176" t="s">
        <v>315</v>
      </c>
      <c r="H828" s="247">
        <f>+INVERSIÓN!$DI$24</f>
        <v>1.9999999999999996</v>
      </c>
      <c r="I828" s="247">
        <f>+INVERSIÓN!$DL$27</f>
        <v>0</v>
      </c>
      <c r="J828" s="249">
        <v>0</v>
      </c>
      <c r="K828" s="193" t="e">
        <f t="shared" si="30"/>
        <v>#DIV/0!</v>
      </c>
      <c r="L828" s="234" t="str">
        <f>+INVERSIÓN!$EW$24</f>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row>
    <row r="829" spans="1:12" ht="24.75" hidden="1" customHeight="1" x14ac:dyDescent="0.2">
      <c r="A829" s="565"/>
      <c r="B829" s="176" t="s">
        <v>349</v>
      </c>
      <c r="C829" s="176" t="s">
        <v>350</v>
      </c>
      <c r="D829" s="176" t="s">
        <v>351</v>
      </c>
      <c r="E829" s="176" t="s">
        <v>254</v>
      </c>
      <c r="F829" s="179">
        <v>0.15</v>
      </c>
      <c r="G829" s="176" t="s">
        <v>256</v>
      </c>
      <c r="H829" s="247">
        <f>+INVERSIÓN!$DI$31</f>
        <v>1585</v>
      </c>
      <c r="I829" s="247">
        <f>+INVERSIÓN!$DL$34</f>
        <v>0</v>
      </c>
      <c r="J829" s="249">
        <v>0</v>
      </c>
      <c r="K829" s="193" t="e">
        <f t="shared" si="30"/>
        <v>#DIV/0!</v>
      </c>
      <c r="L829" s="234">
        <f>+INVERSIÓN!$EW$31</f>
        <v>0</v>
      </c>
    </row>
    <row r="830" spans="1:12" ht="24.75" hidden="1" customHeight="1" x14ac:dyDescent="0.2">
      <c r="A830" s="565"/>
      <c r="B830" s="176" t="s">
        <v>353</v>
      </c>
      <c r="C830" s="176" t="s">
        <v>354</v>
      </c>
      <c r="D830" s="176" t="s">
        <v>355</v>
      </c>
      <c r="E830" s="176" t="s">
        <v>254</v>
      </c>
      <c r="F830" s="179">
        <v>0.15</v>
      </c>
      <c r="G830" s="176" t="s">
        <v>257</v>
      </c>
      <c r="H830" s="179">
        <f>+INVERSIÓN!$DI$38</f>
        <v>1</v>
      </c>
      <c r="I830" s="179">
        <f>+INVERSIÓN!$DL$41</f>
        <v>0</v>
      </c>
      <c r="J830" s="179">
        <v>0</v>
      </c>
      <c r="K830" s="193" t="e">
        <f t="shared" si="30"/>
        <v>#DIV/0!</v>
      </c>
      <c r="L830" s="234" t="str">
        <f>+INVERSIÓN!$EW$38</f>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row>
    <row r="831" spans="1:12" ht="24.75" hidden="1" customHeight="1" x14ac:dyDescent="0.2">
      <c r="A831" s="565"/>
      <c r="B831" s="568" t="s">
        <v>357</v>
      </c>
      <c r="C831" s="568" t="s">
        <v>358</v>
      </c>
      <c r="D831" s="568" t="s">
        <v>359</v>
      </c>
      <c r="E831" s="568" t="s">
        <v>345</v>
      </c>
      <c r="F831" s="569">
        <v>0.25</v>
      </c>
      <c r="G831" s="176" t="s">
        <v>630</v>
      </c>
      <c r="H831" s="247">
        <f>+INVERSIÓN!$DI$45</f>
        <v>1193</v>
      </c>
      <c r="I831" s="247">
        <f>+INVERSIÓN!$DL$48</f>
        <v>0</v>
      </c>
      <c r="J831" s="249">
        <v>0</v>
      </c>
      <c r="K831" s="193" t="e">
        <f t="shared" si="30"/>
        <v>#DIV/0!</v>
      </c>
      <c r="L831" s="234" t="str">
        <f>+INVERSIÓN!$EW$45</f>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row>
    <row r="832" spans="1:12" ht="24.75" hidden="1" customHeight="1" x14ac:dyDescent="0.2">
      <c r="A832" s="566"/>
      <c r="B832" s="568"/>
      <c r="C832" s="568"/>
      <c r="D832" s="568"/>
      <c r="E832" s="568"/>
      <c r="F832" s="569"/>
      <c r="G832" s="176" t="s">
        <v>308</v>
      </c>
      <c r="H832" s="179">
        <f>+INVERSIÓN!$DI$52</f>
        <v>1</v>
      </c>
      <c r="I832" s="179">
        <f>+INVERSIÓN!$DL$55</f>
        <v>0</v>
      </c>
      <c r="J832" s="179">
        <v>0</v>
      </c>
      <c r="K832" s="193" t="e">
        <f t="shared" si="30"/>
        <v>#DIV/0!</v>
      </c>
      <c r="L832" s="234" t="str">
        <f>+INVERSIÓN!$EW$52</f>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row>
    <row r="833" spans="1:12" ht="24.75" hidden="1" customHeight="1" x14ac:dyDescent="0.2">
      <c r="A833" s="564" t="s">
        <v>688</v>
      </c>
      <c r="B833" s="568" t="s">
        <v>342</v>
      </c>
      <c r="C833" s="568" t="s">
        <v>343</v>
      </c>
      <c r="D833" s="568" t="s">
        <v>344</v>
      </c>
      <c r="E833" s="568" t="s">
        <v>345</v>
      </c>
      <c r="F833" s="569">
        <v>0.45</v>
      </c>
      <c r="G833" s="176" t="s">
        <v>304</v>
      </c>
      <c r="H833" s="179">
        <f>+INVERSIÓN!$DI$10</f>
        <v>1</v>
      </c>
      <c r="I833" s="179">
        <f>+INVERSIÓN!$DL$13</f>
        <v>0</v>
      </c>
      <c r="J833" s="179">
        <f>+INVERSIÓN!$DM$13</f>
        <v>0</v>
      </c>
      <c r="K833" s="193" t="e">
        <f>J833/I833</f>
        <v>#DIV/0!</v>
      </c>
      <c r="L833" s="234" t="s">
        <v>693</v>
      </c>
    </row>
    <row r="834" spans="1:12" ht="24.75" hidden="1" customHeight="1" x14ac:dyDescent="0.2">
      <c r="A834" s="565"/>
      <c r="B834" s="568"/>
      <c r="C834" s="568"/>
      <c r="D834" s="568"/>
      <c r="E834" s="568"/>
      <c r="F834" s="569"/>
      <c r="G834" s="176" t="s">
        <v>594</v>
      </c>
      <c r="H834" s="247">
        <f>+INVERSIÓN!$DI$17</f>
        <v>7</v>
      </c>
      <c r="I834" s="247">
        <f>+INVERSIÓN!$DL$20</f>
        <v>1</v>
      </c>
      <c r="J834" s="247">
        <f>+INVERSIÓN!$DM$20</f>
        <v>1</v>
      </c>
      <c r="K834" s="193">
        <f t="shared" ref="K834:K839" si="31">J834/I834</f>
        <v>1</v>
      </c>
      <c r="L834" s="234" t="s">
        <v>694</v>
      </c>
    </row>
    <row r="835" spans="1:12" ht="24.75" hidden="1" customHeight="1" x14ac:dyDescent="0.2">
      <c r="A835" s="565"/>
      <c r="B835" s="568"/>
      <c r="C835" s="568"/>
      <c r="D835" s="568"/>
      <c r="E835" s="568"/>
      <c r="F835" s="569"/>
      <c r="G835" s="176" t="s">
        <v>315</v>
      </c>
      <c r="H835" s="247">
        <f>+INVERSIÓN!$DI$24</f>
        <v>1.9999999999999996</v>
      </c>
      <c r="I835" s="247">
        <f>+INVERSIÓN!$DL$27</f>
        <v>0</v>
      </c>
      <c r="J835" s="247">
        <f>+INVERSIÓN!$DM$27</f>
        <v>0</v>
      </c>
      <c r="K835" s="193" t="e">
        <f t="shared" si="31"/>
        <v>#DIV/0!</v>
      </c>
      <c r="L835" s="234" t="s">
        <v>689</v>
      </c>
    </row>
    <row r="836" spans="1:12" ht="24.75" hidden="1" customHeight="1" x14ac:dyDescent="0.2">
      <c r="A836" s="565"/>
      <c r="B836" s="176" t="s">
        <v>349</v>
      </c>
      <c r="C836" s="176" t="s">
        <v>350</v>
      </c>
      <c r="D836" s="176" t="s">
        <v>351</v>
      </c>
      <c r="E836" s="176" t="s">
        <v>254</v>
      </c>
      <c r="F836" s="179">
        <v>0.15</v>
      </c>
      <c r="G836" s="176" t="s">
        <v>256</v>
      </c>
      <c r="H836" s="247">
        <f>+INVERSIÓN!$DI$31</f>
        <v>1585</v>
      </c>
      <c r="I836" s="247">
        <f>+INVERSIÓN!$DL$34</f>
        <v>0</v>
      </c>
      <c r="J836" s="247">
        <f>+INVERSIÓN!$DM$34</f>
        <v>0</v>
      </c>
      <c r="K836" s="193" t="e">
        <f t="shared" si="31"/>
        <v>#DIV/0!</v>
      </c>
      <c r="L836" s="234" t="s">
        <v>690</v>
      </c>
    </row>
    <row r="837" spans="1:12" ht="24.75" hidden="1" customHeight="1" x14ac:dyDescent="0.2">
      <c r="A837" s="565"/>
      <c r="B837" s="176" t="s">
        <v>353</v>
      </c>
      <c r="C837" s="176" t="s">
        <v>354</v>
      </c>
      <c r="D837" s="176" t="s">
        <v>355</v>
      </c>
      <c r="E837" s="176" t="s">
        <v>254</v>
      </c>
      <c r="F837" s="179">
        <v>0.15</v>
      </c>
      <c r="G837" s="176" t="s">
        <v>257</v>
      </c>
      <c r="H837" s="179">
        <f>+INVERSIÓN!$DI$38</f>
        <v>1</v>
      </c>
      <c r="I837" s="179">
        <f>+INVERSIÓN!$DL$41</f>
        <v>0</v>
      </c>
      <c r="J837" s="179">
        <f>+INVERSIÓN!$DM$41</f>
        <v>0</v>
      </c>
      <c r="K837" s="193" t="e">
        <f t="shared" si="31"/>
        <v>#DIV/0!</v>
      </c>
      <c r="L837" s="234" t="s">
        <v>687</v>
      </c>
    </row>
    <row r="838" spans="1:12" ht="24.75" hidden="1" customHeight="1" x14ac:dyDescent="0.2">
      <c r="A838" s="565"/>
      <c r="B838" s="568" t="s">
        <v>357</v>
      </c>
      <c r="C838" s="568" t="s">
        <v>358</v>
      </c>
      <c r="D838" s="568" t="s">
        <v>359</v>
      </c>
      <c r="E838" s="568" t="s">
        <v>345</v>
      </c>
      <c r="F838" s="569">
        <v>0.25</v>
      </c>
      <c r="G838" s="176" t="s">
        <v>696</v>
      </c>
      <c r="H838" s="247">
        <f>+INVERSIÓN!$DI$45</f>
        <v>1193</v>
      </c>
      <c r="I838" s="247">
        <f>+INVERSIÓN!$DL$48</f>
        <v>0</v>
      </c>
      <c r="J838" s="247">
        <f>+INVERSIÓN!$DM$48</f>
        <v>0</v>
      </c>
      <c r="K838" s="193" t="e">
        <f t="shared" si="31"/>
        <v>#DIV/0!</v>
      </c>
      <c r="L838" s="234" t="s">
        <v>692</v>
      </c>
    </row>
    <row r="839" spans="1:12" ht="24.75" hidden="1" customHeight="1" x14ac:dyDescent="0.2">
      <c r="A839" s="566"/>
      <c r="B839" s="568"/>
      <c r="C839" s="568"/>
      <c r="D839" s="568"/>
      <c r="E839" s="568"/>
      <c r="F839" s="569"/>
      <c r="G839" s="176" t="s">
        <v>308</v>
      </c>
      <c r="H839" s="179">
        <f>+INVERSIÓN!$DI$52</f>
        <v>1</v>
      </c>
      <c r="I839" s="179">
        <f>+INVERSIÓN!$DL$55</f>
        <v>0</v>
      </c>
      <c r="J839" s="179">
        <f>+INVERSIÓN!$DM$55</f>
        <v>0</v>
      </c>
      <c r="K839" s="193" t="e">
        <f t="shared" si="31"/>
        <v>#DIV/0!</v>
      </c>
      <c r="L839" s="234" t="s">
        <v>691</v>
      </c>
    </row>
    <row r="840" spans="1:12" ht="24.75" hidden="1" customHeight="1" x14ac:dyDescent="0.2">
      <c r="A840" s="564" t="s">
        <v>697</v>
      </c>
      <c r="B840" s="568" t="s">
        <v>342</v>
      </c>
      <c r="C840" s="568" t="s">
        <v>343</v>
      </c>
      <c r="D840" s="568" t="s">
        <v>344</v>
      </c>
      <c r="E840" s="568" t="s">
        <v>345</v>
      </c>
      <c r="F840" s="569">
        <v>0.45</v>
      </c>
      <c r="G840" s="176" t="s">
        <v>304</v>
      </c>
      <c r="H840" s="179">
        <f>+INVERSIÓN!$DI$10</f>
        <v>1</v>
      </c>
      <c r="I840" s="179">
        <f>+INVERSIÓN!$DL$13</f>
        <v>0</v>
      </c>
      <c r="J840" s="179">
        <f>+INVERSIÓN!$DM$13</f>
        <v>0</v>
      </c>
      <c r="K840" s="193" t="e">
        <f>J840/I840</f>
        <v>#DIV/0!</v>
      </c>
      <c r="L840" s="234" t="s">
        <v>698</v>
      </c>
    </row>
    <row r="841" spans="1:12" ht="24.75" hidden="1" customHeight="1" x14ac:dyDescent="0.2">
      <c r="A841" s="565"/>
      <c r="B841" s="568"/>
      <c r="C841" s="568"/>
      <c r="D841" s="568"/>
      <c r="E841" s="568"/>
      <c r="F841" s="569"/>
      <c r="G841" s="176" t="s">
        <v>594</v>
      </c>
      <c r="H841" s="247">
        <f>+INVERSIÓN!$DI$17</f>
        <v>7</v>
      </c>
      <c r="I841" s="247">
        <f>+INVERSIÓN!$DL$20</f>
        <v>1</v>
      </c>
      <c r="J841" s="247">
        <f>+INVERSIÓN!$DM$20</f>
        <v>1</v>
      </c>
      <c r="K841" s="193">
        <f t="shared" ref="K841:K846" si="32">J841/I841</f>
        <v>1</v>
      </c>
      <c r="L841" s="234" t="s">
        <v>699</v>
      </c>
    </row>
    <row r="842" spans="1:12" ht="24.75" hidden="1" customHeight="1" x14ac:dyDescent="0.2">
      <c r="A842" s="565"/>
      <c r="B842" s="568"/>
      <c r="C842" s="568"/>
      <c r="D842" s="568"/>
      <c r="E842" s="568"/>
      <c r="F842" s="569"/>
      <c r="G842" s="176" t="s">
        <v>315</v>
      </c>
      <c r="H842" s="247">
        <f>+INVERSIÓN!$DI$24</f>
        <v>1.9999999999999996</v>
      </c>
      <c r="I842" s="247">
        <f>+INVERSIÓN!$DL$27</f>
        <v>0</v>
      </c>
      <c r="J842" s="247">
        <f>+INVERSIÓN!$DM$27</f>
        <v>0</v>
      </c>
      <c r="K842" s="193" t="e">
        <f t="shared" si="32"/>
        <v>#DIV/0!</v>
      </c>
      <c r="L842" s="234" t="s">
        <v>700</v>
      </c>
    </row>
    <row r="843" spans="1:12" ht="24.75" hidden="1" customHeight="1" x14ac:dyDescent="0.2">
      <c r="A843" s="565"/>
      <c r="B843" s="176" t="s">
        <v>349</v>
      </c>
      <c r="C843" s="176" t="s">
        <v>350</v>
      </c>
      <c r="D843" s="176" t="s">
        <v>351</v>
      </c>
      <c r="E843" s="176" t="s">
        <v>254</v>
      </c>
      <c r="F843" s="179">
        <v>0.15</v>
      </c>
      <c r="G843" s="176" t="s">
        <v>256</v>
      </c>
      <c r="H843" s="247">
        <f>+INVERSIÓN!$DI$31</f>
        <v>1585</v>
      </c>
      <c r="I843" s="247">
        <f>+INVERSIÓN!$DL$34</f>
        <v>0</v>
      </c>
      <c r="J843" s="247">
        <f>+INVERSIÓN!$DM$34</f>
        <v>0</v>
      </c>
      <c r="K843" s="193" t="e">
        <f t="shared" si="32"/>
        <v>#DIV/0!</v>
      </c>
      <c r="L843" s="234" t="s">
        <v>701</v>
      </c>
    </row>
    <row r="844" spans="1:12" ht="24.75" hidden="1" customHeight="1" x14ac:dyDescent="0.2">
      <c r="A844" s="565"/>
      <c r="B844" s="176" t="s">
        <v>353</v>
      </c>
      <c r="C844" s="176" t="s">
        <v>354</v>
      </c>
      <c r="D844" s="176" t="s">
        <v>355</v>
      </c>
      <c r="E844" s="176" t="s">
        <v>254</v>
      </c>
      <c r="F844" s="179">
        <v>0.15</v>
      </c>
      <c r="G844" s="176" t="s">
        <v>257</v>
      </c>
      <c r="H844" s="179">
        <f>+INVERSIÓN!$DI$38</f>
        <v>1</v>
      </c>
      <c r="I844" s="179">
        <f>+INVERSIÓN!$DL$41</f>
        <v>0</v>
      </c>
      <c r="J844" s="179">
        <f>+INVERSIÓN!$DM$41</f>
        <v>0</v>
      </c>
      <c r="K844" s="193" t="e">
        <f t="shared" si="32"/>
        <v>#DIV/0!</v>
      </c>
      <c r="L844" s="234" t="s">
        <v>702</v>
      </c>
    </row>
    <row r="845" spans="1:12" ht="24.75" hidden="1" customHeight="1" x14ac:dyDescent="0.2">
      <c r="A845" s="565"/>
      <c r="B845" s="568" t="s">
        <v>357</v>
      </c>
      <c r="C845" s="568" t="s">
        <v>358</v>
      </c>
      <c r="D845" s="568" t="s">
        <v>359</v>
      </c>
      <c r="E845" s="568" t="s">
        <v>345</v>
      </c>
      <c r="F845" s="569">
        <v>0.25</v>
      </c>
      <c r="G845" s="176" t="s">
        <v>696</v>
      </c>
      <c r="H845" s="247">
        <f>+INVERSIÓN!$DI$45</f>
        <v>1193</v>
      </c>
      <c r="I845" s="247">
        <f>+INVERSIÓN!$DL$48</f>
        <v>0</v>
      </c>
      <c r="J845" s="247">
        <f>+INVERSIÓN!$DM$48</f>
        <v>0</v>
      </c>
      <c r="K845" s="193" t="e">
        <f t="shared" si="32"/>
        <v>#DIV/0!</v>
      </c>
      <c r="L845" s="234" t="s">
        <v>703</v>
      </c>
    </row>
    <row r="846" spans="1:12" ht="24.75" hidden="1" customHeight="1" x14ac:dyDescent="0.2">
      <c r="A846" s="566"/>
      <c r="B846" s="568"/>
      <c r="C846" s="568"/>
      <c r="D846" s="568"/>
      <c r="E846" s="568"/>
      <c r="F846" s="569"/>
      <c r="G846" s="176" t="s">
        <v>308</v>
      </c>
      <c r="H846" s="179">
        <f>+INVERSIÓN!$DI$52</f>
        <v>1</v>
      </c>
      <c r="I846" s="179">
        <f>+INVERSIÓN!$DL$55</f>
        <v>0</v>
      </c>
      <c r="J846" s="179">
        <f>+INVERSIÓN!$DM$55</f>
        <v>0</v>
      </c>
      <c r="K846" s="193" t="e">
        <f t="shared" si="32"/>
        <v>#DIV/0!</v>
      </c>
      <c r="L846" s="234" t="s">
        <v>704</v>
      </c>
    </row>
    <row r="847" spans="1:12" ht="24.75" hidden="1" customHeight="1" x14ac:dyDescent="0.2">
      <c r="A847" s="564" t="s">
        <v>713</v>
      </c>
      <c r="B847" s="568" t="s">
        <v>342</v>
      </c>
      <c r="C847" s="568" t="s">
        <v>343</v>
      </c>
      <c r="D847" s="568" t="s">
        <v>344</v>
      </c>
      <c r="E847" s="568" t="s">
        <v>345</v>
      </c>
      <c r="F847" s="569">
        <v>0.45</v>
      </c>
      <c r="G847" s="176" t="s">
        <v>304</v>
      </c>
      <c r="H847" s="179">
        <v>1</v>
      </c>
      <c r="I847" s="179">
        <v>0</v>
      </c>
      <c r="J847" s="179">
        <v>0</v>
      </c>
      <c r="K847" s="193" t="e">
        <f>J847/I847</f>
        <v>#DIV/0!</v>
      </c>
      <c r="L847" s="234" t="s">
        <v>705</v>
      </c>
    </row>
    <row r="848" spans="1:12" ht="24.75" hidden="1" customHeight="1" x14ac:dyDescent="0.2">
      <c r="A848" s="565"/>
      <c r="B848" s="568"/>
      <c r="C848" s="568"/>
      <c r="D848" s="568"/>
      <c r="E848" s="568"/>
      <c r="F848" s="569"/>
      <c r="G848" s="176" t="s">
        <v>594</v>
      </c>
      <c r="H848" s="247">
        <v>7</v>
      </c>
      <c r="I848" s="247">
        <v>1</v>
      </c>
      <c r="J848" s="247">
        <v>1</v>
      </c>
      <c r="K848" s="193">
        <f t="shared" ref="K848:K853" si="33">J848/I848</f>
        <v>1</v>
      </c>
      <c r="L848" s="234" t="s">
        <v>706</v>
      </c>
    </row>
    <row r="849" spans="1:12" ht="24.75" hidden="1" customHeight="1" x14ac:dyDescent="0.2">
      <c r="A849" s="565"/>
      <c r="B849" s="568"/>
      <c r="C849" s="568"/>
      <c r="D849" s="568"/>
      <c r="E849" s="568"/>
      <c r="F849" s="569"/>
      <c r="G849" s="176" t="s">
        <v>315</v>
      </c>
      <c r="H849" s="247">
        <v>1.9999999999999996</v>
      </c>
      <c r="I849" s="247">
        <v>0</v>
      </c>
      <c r="J849" s="247">
        <v>0</v>
      </c>
      <c r="K849" s="193" t="e">
        <f t="shared" si="33"/>
        <v>#DIV/0!</v>
      </c>
      <c r="L849" s="234" t="s">
        <v>707</v>
      </c>
    </row>
    <row r="850" spans="1:12" ht="24.75" hidden="1" customHeight="1" x14ac:dyDescent="0.2">
      <c r="A850" s="565"/>
      <c r="B850" s="176" t="s">
        <v>349</v>
      </c>
      <c r="C850" s="176" t="s">
        <v>350</v>
      </c>
      <c r="D850" s="176" t="s">
        <v>351</v>
      </c>
      <c r="E850" s="176" t="s">
        <v>254</v>
      </c>
      <c r="F850" s="179">
        <v>0.15</v>
      </c>
      <c r="G850" s="176" t="s">
        <v>256</v>
      </c>
      <c r="H850" s="247">
        <v>1585</v>
      </c>
      <c r="I850" s="247">
        <v>0</v>
      </c>
      <c r="J850" s="247">
        <v>0</v>
      </c>
      <c r="K850" s="193" t="e">
        <f t="shared" si="33"/>
        <v>#DIV/0!</v>
      </c>
      <c r="L850" s="234" t="s">
        <v>708</v>
      </c>
    </row>
    <row r="851" spans="1:12" ht="24.75" hidden="1" customHeight="1" x14ac:dyDescent="0.2">
      <c r="A851" s="565"/>
      <c r="B851" s="176" t="s">
        <v>353</v>
      </c>
      <c r="C851" s="176" t="s">
        <v>354</v>
      </c>
      <c r="D851" s="176" t="s">
        <v>355</v>
      </c>
      <c r="E851" s="176" t="s">
        <v>254</v>
      </c>
      <c r="F851" s="179">
        <v>0.15</v>
      </c>
      <c r="G851" s="176" t="s">
        <v>257</v>
      </c>
      <c r="H851" s="179">
        <v>1</v>
      </c>
      <c r="I851" s="179">
        <v>0</v>
      </c>
      <c r="J851" s="179">
        <v>0</v>
      </c>
      <c r="K851" s="193" t="e">
        <f t="shared" si="33"/>
        <v>#DIV/0!</v>
      </c>
      <c r="L851" s="234" t="s">
        <v>709</v>
      </c>
    </row>
    <row r="852" spans="1:12" ht="24.75" hidden="1" customHeight="1" x14ac:dyDescent="0.2">
      <c r="A852" s="565"/>
      <c r="B852" s="568" t="s">
        <v>357</v>
      </c>
      <c r="C852" s="568" t="s">
        <v>358</v>
      </c>
      <c r="D852" s="568" t="s">
        <v>359</v>
      </c>
      <c r="E852" s="568" t="s">
        <v>345</v>
      </c>
      <c r="F852" s="569">
        <v>0.25</v>
      </c>
      <c r="G852" s="176" t="s">
        <v>696</v>
      </c>
      <c r="H852" s="247">
        <v>902</v>
      </c>
      <c r="I852" s="247">
        <v>0</v>
      </c>
      <c r="J852" s="247">
        <v>0</v>
      </c>
      <c r="K852" s="193" t="e">
        <f t="shared" si="33"/>
        <v>#DIV/0!</v>
      </c>
      <c r="L852" s="234" t="s">
        <v>710</v>
      </c>
    </row>
    <row r="853" spans="1:12" ht="24.75" hidden="1" customHeight="1" x14ac:dyDescent="0.2">
      <c r="A853" s="566"/>
      <c r="B853" s="568"/>
      <c r="C853" s="568"/>
      <c r="D853" s="568"/>
      <c r="E853" s="568"/>
      <c r="F853" s="569"/>
      <c r="G853" s="176" t="s">
        <v>308</v>
      </c>
      <c r="H853" s="179">
        <v>1</v>
      </c>
      <c r="I853" s="179">
        <v>0</v>
      </c>
      <c r="J853" s="179">
        <v>0</v>
      </c>
      <c r="K853" s="193" t="e">
        <f t="shared" si="33"/>
        <v>#DIV/0!</v>
      </c>
      <c r="L853" s="234" t="s">
        <v>711</v>
      </c>
    </row>
    <row r="854" spans="1:12" ht="24.75" hidden="1" customHeight="1" x14ac:dyDescent="0.2">
      <c r="A854" s="564" t="s">
        <v>714</v>
      </c>
      <c r="B854" s="568" t="s">
        <v>342</v>
      </c>
      <c r="C854" s="568" t="s">
        <v>343</v>
      </c>
      <c r="D854" s="568" t="s">
        <v>344</v>
      </c>
      <c r="E854" s="568" t="s">
        <v>345</v>
      </c>
      <c r="F854" s="569">
        <v>0.45</v>
      </c>
      <c r="G854" s="176" t="s">
        <v>304</v>
      </c>
      <c r="H854" s="179">
        <f>+INVERSIÓN!$DI$10</f>
        <v>1</v>
      </c>
      <c r="I854" s="179">
        <f>+INVERSIÓN!$DL$13</f>
        <v>0</v>
      </c>
      <c r="J854" s="179">
        <f>+INVERSIÓN!$DM$13</f>
        <v>0</v>
      </c>
      <c r="K854" s="193" t="e">
        <f>J854/I854</f>
        <v>#DIV/0!</v>
      </c>
      <c r="L854" s="234" t="s">
        <v>715</v>
      </c>
    </row>
    <row r="855" spans="1:12" ht="24.75" hidden="1" customHeight="1" x14ac:dyDescent="0.2">
      <c r="A855" s="565"/>
      <c r="B855" s="568"/>
      <c r="C855" s="568"/>
      <c r="D855" s="568"/>
      <c r="E855" s="568"/>
      <c r="F855" s="569"/>
      <c r="G855" s="176" t="s">
        <v>594</v>
      </c>
      <c r="H855" s="247">
        <f>+INVERSIÓN!$DI$17</f>
        <v>7</v>
      </c>
      <c r="I855" s="247">
        <f>+INVERSIÓN!$DL$20</f>
        <v>1</v>
      </c>
      <c r="J855" s="247">
        <f>+INVERSIÓN!$DM$20</f>
        <v>1</v>
      </c>
      <c r="K855" s="193">
        <f t="shared" ref="K855:K860" si="34">J855/I855</f>
        <v>1</v>
      </c>
      <c r="L855" s="234" t="s">
        <v>716</v>
      </c>
    </row>
    <row r="856" spans="1:12" ht="24.75" hidden="1" customHeight="1" x14ac:dyDescent="0.2">
      <c r="A856" s="565"/>
      <c r="B856" s="568"/>
      <c r="C856" s="568"/>
      <c r="D856" s="568"/>
      <c r="E856" s="568"/>
      <c r="F856" s="569"/>
      <c r="G856" s="176" t="s">
        <v>315</v>
      </c>
      <c r="H856" s="247">
        <f>+INVERSIÓN!$DI$24</f>
        <v>1.9999999999999996</v>
      </c>
      <c r="I856" s="247">
        <f>+INVERSIÓN!$DL$27</f>
        <v>0</v>
      </c>
      <c r="J856" s="247">
        <f>+INVERSIÓN!$DM$27</f>
        <v>0</v>
      </c>
      <c r="K856" s="193" t="e">
        <f t="shared" si="34"/>
        <v>#DIV/0!</v>
      </c>
      <c r="L856" s="234" t="s">
        <v>717</v>
      </c>
    </row>
    <row r="857" spans="1:12" ht="24.75" hidden="1" customHeight="1" x14ac:dyDescent="0.2">
      <c r="A857" s="565"/>
      <c r="B857" s="176" t="s">
        <v>349</v>
      </c>
      <c r="C857" s="176" t="s">
        <v>350</v>
      </c>
      <c r="D857" s="176" t="s">
        <v>351</v>
      </c>
      <c r="E857" s="176" t="s">
        <v>254</v>
      </c>
      <c r="F857" s="179">
        <v>0.15</v>
      </c>
      <c r="G857" s="176" t="s">
        <v>256</v>
      </c>
      <c r="H857" s="247">
        <f>+INVERSIÓN!$DI$31</f>
        <v>1585</v>
      </c>
      <c r="I857" s="247">
        <f>+INVERSIÓN!$DL$34</f>
        <v>0</v>
      </c>
      <c r="J857" s="247">
        <f>+INVERSIÓN!$DM$34</f>
        <v>0</v>
      </c>
      <c r="K857" s="193" t="e">
        <f t="shared" si="34"/>
        <v>#DIV/0!</v>
      </c>
      <c r="L857" s="234" t="s">
        <v>718</v>
      </c>
    </row>
    <row r="858" spans="1:12" ht="24.75" hidden="1" customHeight="1" x14ac:dyDescent="0.2">
      <c r="A858" s="565"/>
      <c r="B858" s="176" t="s">
        <v>353</v>
      </c>
      <c r="C858" s="176" t="s">
        <v>354</v>
      </c>
      <c r="D858" s="176" t="s">
        <v>355</v>
      </c>
      <c r="E858" s="176" t="s">
        <v>254</v>
      </c>
      <c r="F858" s="179">
        <v>0.15</v>
      </c>
      <c r="G858" s="176" t="s">
        <v>257</v>
      </c>
      <c r="H858" s="179">
        <f>+INVERSIÓN!$DI$38</f>
        <v>1</v>
      </c>
      <c r="I858" s="179">
        <f>+INVERSIÓN!$DL$41</f>
        <v>0</v>
      </c>
      <c r="J858" s="179">
        <f>+INVERSIÓN!$DM$41</f>
        <v>0</v>
      </c>
      <c r="K858" s="193" t="e">
        <f t="shared" si="34"/>
        <v>#DIV/0!</v>
      </c>
      <c r="L858" s="234" t="s">
        <v>719</v>
      </c>
    </row>
    <row r="859" spans="1:12" ht="24.75" hidden="1" customHeight="1" x14ac:dyDescent="0.2">
      <c r="A859" s="565"/>
      <c r="B859" s="568" t="s">
        <v>357</v>
      </c>
      <c r="C859" s="568" t="s">
        <v>358</v>
      </c>
      <c r="D859" s="568" t="s">
        <v>359</v>
      </c>
      <c r="E859" s="568" t="s">
        <v>345</v>
      </c>
      <c r="F859" s="569">
        <v>0.25</v>
      </c>
      <c r="G859" s="176" t="s">
        <v>696</v>
      </c>
      <c r="H859" s="247">
        <f>+INVERSIÓN!$DI$45</f>
        <v>1193</v>
      </c>
      <c r="I859" s="247">
        <f>+INVERSIÓN!$DL$48</f>
        <v>0</v>
      </c>
      <c r="J859" s="247">
        <f>+INVERSIÓN!$DM$48</f>
        <v>0</v>
      </c>
      <c r="K859" s="193" t="e">
        <f t="shared" si="34"/>
        <v>#DIV/0!</v>
      </c>
      <c r="L859" s="234" t="s">
        <v>720</v>
      </c>
    </row>
    <row r="860" spans="1:12" ht="24.75" hidden="1" customHeight="1" x14ac:dyDescent="0.2">
      <c r="A860" s="566"/>
      <c r="B860" s="568"/>
      <c r="C860" s="568"/>
      <c r="D860" s="568"/>
      <c r="E860" s="568"/>
      <c r="F860" s="569"/>
      <c r="G860" s="176" t="s">
        <v>308</v>
      </c>
      <c r="H860" s="179">
        <f>+INVERSIÓN!$DI$52</f>
        <v>1</v>
      </c>
      <c r="I860" s="179">
        <f>+INVERSIÓN!$DL$55</f>
        <v>0</v>
      </c>
      <c r="J860" s="179">
        <f>+INVERSIÓN!$DM$55</f>
        <v>0</v>
      </c>
      <c r="K860" s="193" t="e">
        <f t="shared" si="34"/>
        <v>#DIV/0!</v>
      </c>
      <c r="L860" s="234" t="s">
        <v>721</v>
      </c>
    </row>
    <row r="861" spans="1:12" ht="24.75" hidden="1" customHeight="1" x14ac:dyDescent="0.2">
      <c r="A861" s="564" t="s">
        <v>723</v>
      </c>
      <c r="B861" s="568" t="s">
        <v>342</v>
      </c>
      <c r="C861" s="568" t="s">
        <v>343</v>
      </c>
      <c r="D861" s="568" t="s">
        <v>344</v>
      </c>
      <c r="E861" s="568" t="s">
        <v>345</v>
      </c>
      <c r="F861" s="569">
        <v>0.45</v>
      </c>
      <c r="G861" s="176" t="s">
        <v>304</v>
      </c>
      <c r="H861" s="179">
        <f>+INVERSIÓN!$DI$10</f>
        <v>1</v>
      </c>
      <c r="I861" s="179">
        <f>+INVERSIÓN!$DL$13</f>
        <v>0</v>
      </c>
      <c r="J861" s="179">
        <f>+INVERSIÓN!$DM$13</f>
        <v>0</v>
      </c>
      <c r="K861" s="193">
        <f>IFERROR(J861/I861,0)</f>
        <v>0</v>
      </c>
      <c r="L861" s="234" t="str">
        <f>+INVERSIÓN!EW10</f>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862" spans="1:12" ht="24.75" hidden="1" customHeight="1" x14ac:dyDescent="0.2">
      <c r="A862" s="565"/>
      <c r="B862" s="568"/>
      <c r="C862" s="568"/>
      <c r="D862" s="568"/>
      <c r="E862" s="568"/>
      <c r="F862" s="569"/>
      <c r="G862" s="176" t="s">
        <v>594</v>
      </c>
      <c r="H862" s="247">
        <f>+INVERSIÓN!$DI$17</f>
        <v>7</v>
      </c>
      <c r="I862" s="247">
        <f>+INVERSIÓN!$DL$20</f>
        <v>1</v>
      </c>
      <c r="J862" s="247">
        <f>+INVERSIÓN!$DM$20</f>
        <v>1</v>
      </c>
      <c r="K862" s="193">
        <f>J862/I862</f>
        <v>1</v>
      </c>
      <c r="L862" s="234" t="str">
        <f>+INVERSIÓN!EW17</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row>
    <row r="863" spans="1:12" ht="24.75" hidden="1" customHeight="1" x14ac:dyDescent="0.2">
      <c r="A863" s="565"/>
      <c r="B863" s="568"/>
      <c r="C863" s="568"/>
      <c r="D863" s="568"/>
      <c r="E863" s="568"/>
      <c r="F863" s="569"/>
      <c r="G863" s="176" t="s">
        <v>315</v>
      </c>
      <c r="H863" s="247">
        <f>+INVERSIÓN!$DI$24</f>
        <v>1.9999999999999996</v>
      </c>
      <c r="I863" s="247">
        <f>+INVERSIÓN!$DL$27</f>
        <v>0</v>
      </c>
      <c r="J863" s="247">
        <f>+INVERSIÓN!$DM$27</f>
        <v>0</v>
      </c>
      <c r="K863" s="193">
        <f>IFERROR(J863/I863,0)</f>
        <v>0</v>
      </c>
      <c r="L863" s="234" t="str">
        <f>+INVERSIÓN!EW24</f>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row>
    <row r="864" spans="1:12" ht="24.75" hidden="1" customHeight="1" x14ac:dyDescent="0.2">
      <c r="A864" s="565"/>
      <c r="B864" s="176" t="s">
        <v>349</v>
      </c>
      <c r="C864" s="176" t="s">
        <v>350</v>
      </c>
      <c r="D864" s="176" t="s">
        <v>351</v>
      </c>
      <c r="E864" s="176" t="s">
        <v>254</v>
      </c>
      <c r="F864" s="179">
        <v>0.15</v>
      </c>
      <c r="G864" s="176" t="s">
        <v>256</v>
      </c>
      <c r="H864" s="247">
        <f>+INVERSIÓN!$DI$31</f>
        <v>1585</v>
      </c>
      <c r="I864" s="247">
        <f>+INVERSIÓN!$DL$34</f>
        <v>0</v>
      </c>
      <c r="J864" s="247">
        <f>+INVERSIÓN!$DM$34</f>
        <v>0</v>
      </c>
      <c r="K864" s="193">
        <f>IFERROR(J864/I864,0)</f>
        <v>0</v>
      </c>
      <c r="L864" s="234">
        <f>+INVERSIÓN!EW31</f>
        <v>0</v>
      </c>
    </row>
    <row r="865" spans="1:12" ht="24.75" hidden="1" customHeight="1" x14ac:dyDescent="0.2">
      <c r="A865" s="565"/>
      <c r="B865" s="176" t="s">
        <v>353</v>
      </c>
      <c r="C865" s="176" t="s">
        <v>354</v>
      </c>
      <c r="D865" s="176" t="s">
        <v>355</v>
      </c>
      <c r="E865" s="176" t="s">
        <v>254</v>
      </c>
      <c r="F865" s="179">
        <v>0.15</v>
      </c>
      <c r="G865" s="176" t="s">
        <v>257</v>
      </c>
      <c r="H865" s="179">
        <f>+INVERSIÓN!$DI$38</f>
        <v>1</v>
      </c>
      <c r="I865" s="179">
        <f>+INVERSIÓN!$DL$41</f>
        <v>0</v>
      </c>
      <c r="J865" s="179">
        <f>+INVERSIÓN!$DM$41</f>
        <v>0</v>
      </c>
      <c r="K865" s="193">
        <f>IFERROR(J865/I865,0)</f>
        <v>0</v>
      </c>
      <c r="L865" s="234" t="str">
        <f>+INVERSIÓN!EW38</f>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row>
    <row r="866" spans="1:12" ht="24.75" hidden="1" customHeight="1" x14ac:dyDescent="0.2">
      <c r="A866" s="565"/>
      <c r="B866" s="568" t="s">
        <v>357</v>
      </c>
      <c r="C866" s="568" t="s">
        <v>358</v>
      </c>
      <c r="D866" s="568" t="s">
        <v>359</v>
      </c>
      <c r="E866" s="568" t="s">
        <v>345</v>
      </c>
      <c r="F866" s="569">
        <v>0.25</v>
      </c>
      <c r="G866" s="176" t="s">
        <v>696</v>
      </c>
      <c r="H866" s="247">
        <f>+INVERSIÓN!$DI$45</f>
        <v>1193</v>
      </c>
      <c r="I866" s="247">
        <f>+INVERSIÓN!$DL$48</f>
        <v>0</v>
      </c>
      <c r="J866" s="247">
        <f>+INVERSIÓN!$DM$48</f>
        <v>0</v>
      </c>
      <c r="K866" s="193">
        <f>IFERROR(J866/I866,0)</f>
        <v>0</v>
      </c>
      <c r="L866" s="234" t="str">
        <f>+INVERSIÓN!EW45</f>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row>
    <row r="867" spans="1:12" ht="24.75" hidden="1" customHeight="1" x14ac:dyDescent="0.2">
      <c r="A867" s="566"/>
      <c r="B867" s="568"/>
      <c r="C867" s="568"/>
      <c r="D867" s="568"/>
      <c r="E867" s="568"/>
      <c r="F867" s="569"/>
      <c r="G867" s="176" t="s">
        <v>308</v>
      </c>
      <c r="H867" s="179">
        <f>+INVERSIÓN!$DI$52</f>
        <v>1</v>
      </c>
      <c r="I867" s="179">
        <f>+INVERSIÓN!$DL$55</f>
        <v>0</v>
      </c>
      <c r="J867" s="179">
        <f>+INVERSIÓN!$DM$55</f>
        <v>0</v>
      </c>
      <c r="K867" s="193">
        <f>IFERROR(J867/I867,0)</f>
        <v>0</v>
      </c>
      <c r="L867" s="234" t="str">
        <f>+INVERSIÓN!EW52</f>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row>
    <row r="868" spans="1:12" ht="24.75" customHeight="1" x14ac:dyDescent="0.2">
      <c r="A868" s="300"/>
      <c r="B868" s="301"/>
      <c r="C868" s="301"/>
      <c r="D868" s="301"/>
      <c r="E868" s="301"/>
      <c r="F868" s="302"/>
      <c r="G868" s="301"/>
      <c r="H868" s="303"/>
      <c r="I868" s="303"/>
      <c r="J868" s="303"/>
      <c r="K868" s="304"/>
      <c r="L868" s="305"/>
    </row>
    <row r="869" spans="1:12" ht="24.75" customHeight="1" x14ac:dyDescent="0.2">
      <c r="A869" s="578" t="s">
        <v>745</v>
      </c>
      <c r="B869" s="579"/>
      <c r="C869" s="579"/>
      <c r="D869" s="579"/>
      <c r="E869" s="579"/>
      <c r="F869" s="579"/>
      <c r="G869" s="579"/>
      <c r="H869" s="579"/>
      <c r="I869" s="579"/>
      <c r="J869" s="579"/>
      <c r="K869" s="579"/>
      <c r="L869" s="580"/>
    </row>
    <row r="870" spans="1:12" ht="24.75" customHeight="1" x14ac:dyDescent="0.2">
      <c r="A870" s="74" t="s">
        <v>63</v>
      </c>
      <c r="B870" s="29" t="s">
        <v>144</v>
      </c>
      <c r="C870" s="29" t="s">
        <v>145</v>
      </c>
      <c r="D870" s="29" t="s">
        <v>146</v>
      </c>
      <c r="E870" s="29" t="s">
        <v>147</v>
      </c>
      <c r="F870" s="29" t="s">
        <v>746</v>
      </c>
      <c r="G870" s="29" t="s">
        <v>149</v>
      </c>
      <c r="H870" s="29" t="s">
        <v>747</v>
      </c>
      <c r="I870" s="95" t="s">
        <v>151</v>
      </c>
      <c r="J870" s="29" t="s">
        <v>152</v>
      </c>
      <c r="K870" s="29" t="s">
        <v>153</v>
      </c>
      <c r="L870" s="29" t="s">
        <v>154</v>
      </c>
    </row>
    <row r="871" spans="1:12" ht="24.75" customHeight="1" x14ac:dyDescent="0.2">
      <c r="A871" s="564" t="s">
        <v>135</v>
      </c>
      <c r="B871" s="568" t="s">
        <v>342</v>
      </c>
      <c r="C871" s="568" t="s">
        <v>343</v>
      </c>
      <c r="D871" s="568" t="s">
        <v>344</v>
      </c>
      <c r="E871" s="568" t="s">
        <v>345</v>
      </c>
      <c r="F871" s="569">
        <v>0.45</v>
      </c>
      <c r="G871" s="176" t="s">
        <v>304</v>
      </c>
      <c r="H871" s="179">
        <v>1</v>
      </c>
      <c r="I871" s="179">
        <v>0</v>
      </c>
      <c r="J871" s="179">
        <v>0</v>
      </c>
      <c r="K871" s="193" t="e">
        <v>#DIV/0!</v>
      </c>
      <c r="L871" s="234" t="s">
        <v>729</v>
      </c>
    </row>
    <row r="872" spans="1:12" ht="24.75" customHeight="1" x14ac:dyDescent="0.2">
      <c r="A872" s="565"/>
      <c r="B872" s="568"/>
      <c r="C872" s="568"/>
      <c r="D872" s="568"/>
      <c r="E872" s="568"/>
      <c r="F872" s="569"/>
      <c r="G872" s="176" t="s">
        <v>594</v>
      </c>
      <c r="H872" s="176">
        <v>4</v>
      </c>
      <c r="I872" s="248">
        <v>0</v>
      </c>
      <c r="J872" s="249">
        <v>0</v>
      </c>
      <c r="K872" s="193" t="e">
        <v>#DIV/0!</v>
      </c>
      <c r="L872" s="234" t="s">
        <v>748</v>
      </c>
    </row>
    <row r="873" spans="1:12" ht="24.75" customHeight="1" x14ac:dyDescent="0.2">
      <c r="A873" s="565"/>
      <c r="B873" s="568"/>
      <c r="C873" s="568"/>
      <c r="D873" s="568"/>
      <c r="E873" s="568"/>
      <c r="F873" s="569"/>
      <c r="G873" s="176" t="s">
        <v>315</v>
      </c>
      <c r="H873" s="176">
        <v>1</v>
      </c>
      <c r="I873" s="248">
        <v>0</v>
      </c>
      <c r="J873" s="249">
        <v>0</v>
      </c>
      <c r="K873" s="193" t="e">
        <v>#DIV/0!</v>
      </c>
      <c r="L873" s="234" t="s">
        <v>749</v>
      </c>
    </row>
    <row r="874" spans="1:12" ht="24.75" customHeight="1" x14ac:dyDescent="0.2">
      <c r="A874" s="565"/>
      <c r="B874" s="176" t="s">
        <v>349</v>
      </c>
      <c r="C874" s="176" t="s">
        <v>350</v>
      </c>
      <c r="D874" s="176" t="s">
        <v>351</v>
      </c>
      <c r="E874" s="176" t="s">
        <v>254</v>
      </c>
      <c r="F874" s="179">
        <v>0.15</v>
      </c>
      <c r="G874" s="176" t="s">
        <v>256</v>
      </c>
      <c r="H874" s="176">
        <v>413</v>
      </c>
      <c r="I874" s="248">
        <v>0</v>
      </c>
      <c r="J874" s="249">
        <v>0</v>
      </c>
      <c r="K874" s="193" t="e">
        <v>#DIV/0!</v>
      </c>
      <c r="L874" s="234" t="s">
        <v>730</v>
      </c>
    </row>
    <row r="875" spans="1:12" ht="24.75" customHeight="1" x14ac:dyDescent="0.2">
      <c r="A875" s="565"/>
      <c r="B875" s="176" t="s">
        <v>353</v>
      </c>
      <c r="C875" s="176" t="s">
        <v>354</v>
      </c>
      <c r="D875" s="176" t="s">
        <v>355</v>
      </c>
      <c r="E875" s="176" t="s">
        <v>254</v>
      </c>
      <c r="F875" s="179">
        <v>0.15</v>
      </c>
      <c r="G875" s="176" t="s">
        <v>257</v>
      </c>
      <c r="H875" s="179">
        <v>1</v>
      </c>
      <c r="I875" s="248">
        <v>0</v>
      </c>
      <c r="J875" s="179">
        <v>0</v>
      </c>
      <c r="K875" s="193" t="e">
        <v>#DIV/0!</v>
      </c>
      <c r="L875" s="234" t="s">
        <v>728</v>
      </c>
    </row>
    <row r="876" spans="1:12" ht="24.75" customHeight="1" x14ac:dyDescent="0.2">
      <c r="A876" s="565"/>
      <c r="B876" s="568" t="s">
        <v>357</v>
      </c>
      <c r="C876" s="568" t="s">
        <v>358</v>
      </c>
      <c r="D876" s="568" t="s">
        <v>359</v>
      </c>
      <c r="E876" s="568" t="s">
        <v>345</v>
      </c>
      <c r="F876" s="569">
        <v>0.25</v>
      </c>
      <c r="G876" s="176" t="s">
        <v>750</v>
      </c>
      <c r="H876" s="176">
        <v>153</v>
      </c>
      <c r="I876" s="248">
        <v>0</v>
      </c>
      <c r="J876" s="249">
        <v>0</v>
      </c>
      <c r="K876" s="193" t="e">
        <v>#DIV/0!</v>
      </c>
      <c r="L876" s="234" t="s">
        <v>751</v>
      </c>
    </row>
    <row r="877" spans="1:12" ht="24.75" customHeight="1" x14ac:dyDescent="0.2">
      <c r="A877" s="566"/>
      <c r="B877" s="568"/>
      <c r="C877" s="568"/>
      <c r="D877" s="568"/>
      <c r="E877" s="568"/>
      <c r="F877" s="569"/>
      <c r="G877" s="176" t="s">
        <v>308</v>
      </c>
      <c r="H877" s="179">
        <v>1</v>
      </c>
      <c r="I877" s="248">
        <v>0</v>
      </c>
      <c r="J877" s="179">
        <v>0</v>
      </c>
      <c r="K877" s="193" t="e">
        <v>#DIV/0!</v>
      </c>
      <c r="L877" s="234" t="s">
        <v>752</v>
      </c>
    </row>
    <row r="878" spans="1:12" ht="24.75" customHeight="1" x14ac:dyDescent="0.2">
      <c r="A878" s="564" t="s">
        <v>136</v>
      </c>
      <c r="B878" s="568" t="s">
        <v>342</v>
      </c>
      <c r="C878" s="568" t="s">
        <v>343</v>
      </c>
      <c r="D878" s="568" t="s">
        <v>344</v>
      </c>
      <c r="E878" s="568" t="s">
        <v>345</v>
      </c>
      <c r="F878" s="569">
        <v>0.45</v>
      </c>
      <c r="G878" s="176" t="s">
        <v>304</v>
      </c>
      <c r="H878" s="179">
        <v>1</v>
      </c>
      <c r="I878" s="179">
        <v>0</v>
      </c>
      <c r="J878" s="179">
        <v>0</v>
      </c>
      <c r="K878" s="193" t="e">
        <f>J878/I878</f>
        <v>#DIV/0!</v>
      </c>
      <c r="L878" s="234" t="s">
        <v>761</v>
      </c>
    </row>
    <row r="879" spans="1:12" ht="24.75" customHeight="1" x14ac:dyDescent="0.2">
      <c r="A879" s="565"/>
      <c r="B879" s="568"/>
      <c r="C879" s="568"/>
      <c r="D879" s="568"/>
      <c r="E879" s="568"/>
      <c r="F879" s="569"/>
      <c r="G879" s="176" t="s">
        <v>594</v>
      </c>
      <c r="H879" s="330">
        <v>4</v>
      </c>
      <c r="I879" s="176">
        <v>0</v>
      </c>
      <c r="J879" s="176">
        <v>0</v>
      </c>
      <c r="K879" s="193" t="e">
        <f t="shared" ref="K879:K884" si="35">J879/I879</f>
        <v>#DIV/0!</v>
      </c>
      <c r="L879" s="234" t="s">
        <v>762</v>
      </c>
    </row>
    <row r="880" spans="1:12" ht="24.75" customHeight="1" x14ac:dyDescent="0.2">
      <c r="A880" s="565"/>
      <c r="B880" s="568"/>
      <c r="C880" s="568"/>
      <c r="D880" s="568"/>
      <c r="E880" s="568"/>
      <c r="F880" s="569"/>
      <c r="G880" s="176" t="s">
        <v>315</v>
      </c>
      <c r="H880" s="330">
        <v>1</v>
      </c>
      <c r="I880" s="176">
        <v>0</v>
      </c>
      <c r="J880" s="176">
        <v>0</v>
      </c>
      <c r="K880" s="193" t="e">
        <f t="shared" si="35"/>
        <v>#DIV/0!</v>
      </c>
      <c r="L880" s="234" t="s">
        <v>763</v>
      </c>
    </row>
    <row r="881" spans="1:12" ht="24.75" customHeight="1" x14ac:dyDescent="0.2">
      <c r="A881" s="565"/>
      <c r="B881" s="176" t="s">
        <v>349</v>
      </c>
      <c r="C881" s="176" t="s">
        <v>350</v>
      </c>
      <c r="D881" s="176" t="s">
        <v>351</v>
      </c>
      <c r="E881" s="176" t="s">
        <v>254</v>
      </c>
      <c r="F881" s="179">
        <v>0.15</v>
      </c>
      <c r="G881" s="176" t="s">
        <v>256</v>
      </c>
      <c r="H881" s="330">
        <v>413</v>
      </c>
      <c r="I881" s="176">
        <v>0</v>
      </c>
      <c r="J881" s="176">
        <v>0</v>
      </c>
      <c r="K881" s="193" t="e">
        <f t="shared" si="35"/>
        <v>#DIV/0!</v>
      </c>
      <c r="L881" s="234" t="s">
        <v>765</v>
      </c>
    </row>
    <row r="882" spans="1:12" ht="24.75" customHeight="1" x14ac:dyDescent="0.2">
      <c r="A882" s="565"/>
      <c r="B882" s="176" t="s">
        <v>353</v>
      </c>
      <c r="C882" s="176" t="s">
        <v>354</v>
      </c>
      <c r="D882" s="176" t="s">
        <v>355</v>
      </c>
      <c r="E882" s="176" t="s">
        <v>254</v>
      </c>
      <c r="F882" s="179">
        <v>0.15</v>
      </c>
      <c r="G882" s="176" t="s">
        <v>257</v>
      </c>
      <c r="H882" s="179">
        <v>1</v>
      </c>
      <c r="I882" s="179">
        <v>0</v>
      </c>
      <c r="J882" s="179">
        <v>0</v>
      </c>
      <c r="K882" s="193" t="e">
        <f t="shared" si="35"/>
        <v>#DIV/0!</v>
      </c>
      <c r="L882" s="234" t="s">
        <v>764</v>
      </c>
    </row>
    <row r="883" spans="1:12" ht="24.75" customHeight="1" x14ac:dyDescent="0.2">
      <c r="A883" s="565"/>
      <c r="B883" s="568" t="s">
        <v>357</v>
      </c>
      <c r="C883" s="568" t="s">
        <v>358</v>
      </c>
      <c r="D883" s="568" t="s">
        <v>359</v>
      </c>
      <c r="E883" s="568" t="s">
        <v>345</v>
      </c>
      <c r="F883" s="569">
        <v>0.25</v>
      </c>
      <c r="G883" s="176" t="s">
        <v>750</v>
      </c>
      <c r="H883" s="330">
        <v>153</v>
      </c>
      <c r="I883" s="176">
        <v>0</v>
      </c>
      <c r="J883" s="176">
        <v>0</v>
      </c>
      <c r="K883" s="193" t="e">
        <f t="shared" si="35"/>
        <v>#DIV/0!</v>
      </c>
      <c r="L883" s="234" t="s">
        <v>742</v>
      </c>
    </row>
    <row r="884" spans="1:12" ht="24.75" customHeight="1" x14ac:dyDescent="0.2">
      <c r="A884" s="566"/>
      <c r="B884" s="568"/>
      <c r="C884" s="568"/>
      <c r="D884" s="568"/>
      <c r="E884" s="568"/>
      <c r="F884" s="569"/>
      <c r="G884" s="176" t="s">
        <v>308</v>
      </c>
      <c r="H884" s="179">
        <v>1</v>
      </c>
      <c r="I884" s="179">
        <v>0</v>
      </c>
      <c r="J884" s="179">
        <v>0</v>
      </c>
      <c r="K884" s="193" t="e">
        <f t="shared" si="35"/>
        <v>#DIV/0!</v>
      </c>
      <c r="L884" s="234" t="s">
        <v>743</v>
      </c>
    </row>
    <row r="885" spans="1:12" ht="24.75" customHeight="1" x14ac:dyDescent="0.2">
      <c r="A885" s="564" t="s">
        <v>768</v>
      </c>
      <c r="B885" s="568" t="s">
        <v>342</v>
      </c>
      <c r="C885" s="568" t="s">
        <v>343</v>
      </c>
      <c r="D885" s="568" t="s">
        <v>344</v>
      </c>
      <c r="E885" s="568" t="s">
        <v>345</v>
      </c>
      <c r="F885" s="569">
        <v>0.45</v>
      </c>
      <c r="G885" s="176" t="s">
        <v>304</v>
      </c>
      <c r="H885" s="179">
        <f>+INVERSIÓN!$EP$10</f>
        <v>1</v>
      </c>
      <c r="I885" s="179">
        <v>0</v>
      </c>
      <c r="J885" s="179">
        <v>0</v>
      </c>
      <c r="K885" s="193" t="e">
        <f>J885/I885</f>
        <v>#DIV/0!</v>
      </c>
      <c r="L885" s="234" t="s">
        <v>772</v>
      </c>
    </row>
    <row r="886" spans="1:12" ht="24.75" customHeight="1" x14ac:dyDescent="0.2">
      <c r="A886" s="565"/>
      <c r="B886" s="568"/>
      <c r="C886" s="568"/>
      <c r="D886" s="568"/>
      <c r="E886" s="568"/>
      <c r="F886" s="569"/>
      <c r="G886" s="176" t="s">
        <v>594</v>
      </c>
      <c r="H886" s="330">
        <f>+INVERSIÓN!$EP$17</f>
        <v>4</v>
      </c>
      <c r="I886" s="176">
        <v>0</v>
      </c>
      <c r="J886" s="176">
        <v>0</v>
      </c>
      <c r="K886" s="193" t="e">
        <f t="shared" ref="K886:K891" si="36">J886/I886</f>
        <v>#DIV/0!</v>
      </c>
      <c r="L886" s="234" t="s">
        <v>773</v>
      </c>
    </row>
    <row r="887" spans="1:12" ht="24.75" customHeight="1" x14ac:dyDescent="0.2">
      <c r="A887" s="565"/>
      <c r="B887" s="568"/>
      <c r="C887" s="568"/>
      <c r="D887" s="568"/>
      <c r="E887" s="568"/>
      <c r="F887" s="569"/>
      <c r="G887" s="176" t="s">
        <v>315</v>
      </c>
      <c r="H887" s="330">
        <f>+INVERSIÓN!$EP$24</f>
        <v>1</v>
      </c>
      <c r="I887" s="176">
        <v>0</v>
      </c>
      <c r="J887" s="176">
        <v>0</v>
      </c>
      <c r="K887" s="193" t="e">
        <f t="shared" si="36"/>
        <v>#DIV/0!</v>
      </c>
      <c r="L887" s="234" t="s">
        <v>774</v>
      </c>
    </row>
    <row r="888" spans="1:12" ht="24.75" customHeight="1" x14ac:dyDescent="0.2">
      <c r="A888" s="565"/>
      <c r="B888" s="176" t="s">
        <v>349</v>
      </c>
      <c r="C888" s="176" t="s">
        <v>350</v>
      </c>
      <c r="D888" s="176" t="s">
        <v>351</v>
      </c>
      <c r="E888" s="176" t="s">
        <v>254</v>
      </c>
      <c r="F888" s="179">
        <v>0.15</v>
      </c>
      <c r="G888" s="176" t="s">
        <v>256</v>
      </c>
      <c r="H888" s="330">
        <f>+INVERSIÓN!$EP$31</f>
        <v>413</v>
      </c>
      <c r="I888" s="176">
        <v>0</v>
      </c>
      <c r="J888" s="176">
        <v>0</v>
      </c>
      <c r="K888" s="193" t="e">
        <f t="shared" si="36"/>
        <v>#DIV/0!</v>
      </c>
      <c r="L888" s="234" t="s">
        <v>769</v>
      </c>
    </row>
    <row r="889" spans="1:12" ht="24.75" customHeight="1" x14ac:dyDescent="0.2">
      <c r="A889" s="565"/>
      <c r="B889" s="176" t="s">
        <v>353</v>
      </c>
      <c r="C889" s="176" t="s">
        <v>354</v>
      </c>
      <c r="D889" s="176" t="s">
        <v>355</v>
      </c>
      <c r="E889" s="176" t="s">
        <v>254</v>
      </c>
      <c r="F889" s="179">
        <v>0.15</v>
      </c>
      <c r="G889" s="176" t="s">
        <v>257</v>
      </c>
      <c r="H889" s="179">
        <f>+INVERSIÓN!$EP$38</f>
        <v>1</v>
      </c>
      <c r="I889" s="179">
        <v>0</v>
      </c>
      <c r="J889" s="179">
        <v>0</v>
      </c>
      <c r="K889" s="193" t="e">
        <f t="shared" si="36"/>
        <v>#DIV/0!</v>
      </c>
      <c r="L889" s="234" t="s">
        <v>776</v>
      </c>
    </row>
    <row r="890" spans="1:12" ht="24.75" customHeight="1" x14ac:dyDescent="0.2">
      <c r="A890" s="565"/>
      <c r="B890" s="568" t="s">
        <v>357</v>
      </c>
      <c r="C890" s="568" t="s">
        <v>358</v>
      </c>
      <c r="D890" s="568" t="s">
        <v>359</v>
      </c>
      <c r="E890" s="568" t="s">
        <v>345</v>
      </c>
      <c r="F890" s="569">
        <v>0.25</v>
      </c>
      <c r="G890" s="176" t="s">
        <v>750</v>
      </c>
      <c r="H890" s="330">
        <f>+INVERSIÓN!$EP$45</f>
        <v>432</v>
      </c>
      <c r="I890" s="176">
        <v>0</v>
      </c>
      <c r="J890" s="176">
        <v>0</v>
      </c>
      <c r="K890" s="193" t="e">
        <f t="shared" si="36"/>
        <v>#DIV/0!</v>
      </c>
      <c r="L890" s="234" t="s">
        <v>771</v>
      </c>
    </row>
    <row r="891" spans="1:12" ht="24.75" customHeight="1" x14ac:dyDescent="0.2">
      <c r="A891" s="566"/>
      <c r="B891" s="568"/>
      <c r="C891" s="568"/>
      <c r="D891" s="568"/>
      <c r="E891" s="568"/>
      <c r="F891" s="569"/>
      <c r="G891" s="176" t="s">
        <v>308</v>
      </c>
      <c r="H891" s="179">
        <f>+INVERSIÓN!$EP$52</f>
        <v>1</v>
      </c>
      <c r="I891" s="179">
        <v>0</v>
      </c>
      <c r="J891" s="179">
        <v>0</v>
      </c>
      <c r="K891" s="193" t="e">
        <f t="shared" si="36"/>
        <v>#DIV/0!</v>
      </c>
      <c r="L891" s="234" t="s">
        <v>775</v>
      </c>
    </row>
    <row r="892" spans="1:12" ht="24.95" customHeight="1" x14ac:dyDescent="0.2">
      <c r="A892" s="559" t="s">
        <v>778</v>
      </c>
      <c r="B892" s="567" t="s">
        <v>342</v>
      </c>
      <c r="C892" s="567" t="s">
        <v>343</v>
      </c>
      <c r="D892" s="567" t="s">
        <v>344</v>
      </c>
      <c r="E892" s="567" t="s">
        <v>345</v>
      </c>
      <c r="F892" s="570">
        <v>0.45</v>
      </c>
      <c r="G892" s="175" t="s">
        <v>304</v>
      </c>
      <c r="H892" s="178">
        <f>+INVERSIÓN!$EP$10</f>
        <v>1</v>
      </c>
      <c r="I892" s="178">
        <v>0</v>
      </c>
      <c r="J892" s="178">
        <v>0</v>
      </c>
      <c r="K892" s="174" t="e">
        <f>J892/I892</f>
        <v>#DIV/0!</v>
      </c>
      <c r="L892" s="87" t="str">
        <f>+INVERSIÓN!EW10</f>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893" spans="1:12" ht="24.75" customHeight="1" x14ac:dyDescent="0.2">
      <c r="A893" s="560"/>
      <c r="B893" s="567"/>
      <c r="C893" s="567"/>
      <c r="D893" s="567"/>
      <c r="E893" s="567"/>
      <c r="F893" s="570"/>
      <c r="G893" s="175" t="s">
        <v>594</v>
      </c>
      <c r="H893" s="80">
        <f>+INVERSIÓN!$EP$17</f>
        <v>4</v>
      </c>
      <c r="I893" s="175">
        <v>0</v>
      </c>
      <c r="J893" s="175">
        <v>0</v>
      </c>
      <c r="K893" s="174" t="e">
        <f t="shared" ref="K893:K898" si="37">J893/I893</f>
        <v>#DIV/0!</v>
      </c>
      <c r="L893" s="87" t="str">
        <f>+INVERSIÓN!EW17</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row>
    <row r="894" spans="1:12" ht="24.75" customHeight="1" x14ac:dyDescent="0.2">
      <c r="A894" s="560"/>
      <c r="B894" s="567"/>
      <c r="C894" s="567"/>
      <c r="D894" s="567"/>
      <c r="E894" s="567"/>
      <c r="F894" s="570"/>
      <c r="G894" s="175" t="s">
        <v>315</v>
      </c>
      <c r="H894" s="80">
        <f>+INVERSIÓN!$EP$24</f>
        <v>1</v>
      </c>
      <c r="I894" s="175">
        <v>0</v>
      </c>
      <c r="J894" s="175">
        <v>0</v>
      </c>
      <c r="K894" s="174" t="e">
        <f t="shared" si="37"/>
        <v>#DIV/0!</v>
      </c>
      <c r="L894" s="87" t="str">
        <f>+INVERSIÓN!EW24</f>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row>
    <row r="895" spans="1:12" ht="24.75" customHeight="1" x14ac:dyDescent="0.2">
      <c r="A895" s="560"/>
      <c r="B895" s="175" t="s">
        <v>349</v>
      </c>
      <c r="C895" s="175" t="s">
        <v>350</v>
      </c>
      <c r="D895" s="175" t="s">
        <v>351</v>
      </c>
      <c r="E895" s="175" t="s">
        <v>254</v>
      </c>
      <c r="F895" s="178">
        <v>0.15</v>
      </c>
      <c r="G895" s="175" t="s">
        <v>256</v>
      </c>
      <c r="H895" s="80">
        <f>+INVERSIÓN!$EP$31</f>
        <v>413</v>
      </c>
      <c r="I895" s="175">
        <v>0</v>
      </c>
      <c r="J895" s="175">
        <v>0</v>
      </c>
      <c r="K895" s="174" t="e">
        <f t="shared" si="37"/>
        <v>#DIV/0!</v>
      </c>
      <c r="L895" s="87">
        <f>+INVERSIÓN!EW31</f>
        <v>0</v>
      </c>
    </row>
    <row r="896" spans="1:12" ht="24.75" customHeight="1" x14ac:dyDescent="0.2">
      <c r="A896" s="560"/>
      <c r="B896" s="175" t="s">
        <v>353</v>
      </c>
      <c r="C896" s="175" t="s">
        <v>354</v>
      </c>
      <c r="D896" s="175" t="s">
        <v>355</v>
      </c>
      <c r="E896" s="175" t="s">
        <v>254</v>
      </c>
      <c r="F896" s="178">
        <v>0.15</v>
      </c>
      <c r="G896" s="175" t="s">
        <v>257</v>
      </c>
      <c r="H896" s="178">
        <f>+INVERSIÓN!$EP$38</f>
        <v>1</v>
      </c>
      <c r="I896" s="178">
        <v>0</v>
      </c>
      <c r="J896" s="178">
        <v>0</v>
      </c>
      <c r="K896" s="174" t="e">
        <f t="shared" si="37"/>
        <v>#DIV/0!</v>
      </c>
      <c r="L896" s="87" t="str">
        <f>+INVERSIÓN!EW38</f>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row>
    <row r="897" spans="1:12" ht="24.75" customHeight="1" x14ac:dyDescent="0.2">
      <c r="A897" s="560"/>
      <c r="B897" s="567" t="s">
        <v>357</v>
      </c>
      <c r="C897" s="567" t="s">
        <v>358</v>
      </c>
      <c r="D897" s="567" t="s">
        <v>359</v>
      </c>
      <c r="E897" s="567" t="s">
        <v>345</v>
      </c>
      <c r="F897" s="570">
        <v>0.25</v>
      </c>
      <c r="G897" s="175" t="s">
        <v>750</v>
      </c>
      <c r="H897" s="80">
        <f>+INVERSIÓN!$EP$45</f>
        <v>432</v>
      </c>
      <c r="I897" s="175">
        <v>0</v>
      </c>
      <c r="J897" s="175">
        <v>0</v>
      </c>
      <c r="K897" s="174" t="e">
        <f t="shared" si="37"/>
        <v>#DIV/0!</v>
      </c>
      <c r="L897" s="87" t="str">
        <f>+INVERSIÓN!EW45</f>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row>
    <row r="898" spans="1:12" ht="24.75" customHeight="1" x14ac:dyDescent="0.2">
      <c r="A898" s="516"/>
      <c r="B898" s="567"/>
      <c r="C898" s="567"/>
      <c r="D898" s="567"/>
      <c r="E898" s="567"/>
      <c r="F898" s="570"/>
      <c r="G898" s="175" t="s">
        <v>308</v>
      </c>
      <c r="H898" s="178">
        <f>+INVERSIÓN!$EP$52</f>
        <v>1</v>
      </c>
      <c r="I898" s="178">
        <v>0</v>
      </c>
      <c r="J898" s="178">
        <v>0</v>
      </c>
      <c r="K898" s="174" t="e">
        <f t="shared" si="37"/>
        <v>#DIV/0!</v>
      </c>
      <c r="L898" s="87" t="str">
        <f>+INVERSIÓN!EW52</f>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row>
    <row r="899" spans="1:12" ht="24.75" customHeight="1" x14ac:dyDescent="0.2">
      <c r="A899" s="678" t="s">
        <v>783</v>
      </c>
      <c r="B899" s="763" t="s">
        <v>342</v>
      </c>
      <c r="C899" s="763" t="s">
        <v>343</v>
      </c>
      <c r="D899" s="763" t="s">
        <v>344</v>
      </c>
      <c r="E899" s="763" t="s">
        <v>345</v>
      </c>
      <c r="F899" s="670">
        <v>0.45</v>
      </c>
      <c r="G899" s="764" t="s">
        <v>304</v>
      </c>
      <c r="H899" s="669">
        <f>+INVERSIÓN!$EP$10</f>
        <v>1</v>
      </c>
      <c r="I899" s="669">
        <v>0</v>
      </c>
      <c r="J899" s="669">
        <v>0</v>
      </c>
      <c r="K899" s="765" t="e">
        <f>J899/I899</f>
        <v>#DIV/0!</v>
      </c>
      <c r="L899" s="812" t="s">
        <v>786</v>
      </c>
    </row>
    <row r="900" spans="1:12" ht="24.75" customHeight="1" x14ac:dyDescent="0.2">
      <c r="A900" s="668"/>
      <c r="B900" s="763"/>
      <c r="C900" s="763"/>
      <c r="D900" s="763"/>
      <c r="E900" s="763"/>
      <c r="F900" s="670"/>
      <c r="G900" s="764" t="s">
        <v>594</v>
      </c>
      <c r="H900" s="667">
        <f>+INVERSIÓN!$EP$17</f>
        <v>4</v>
      </c>
      <c r="I900" s="764">
        <v>0</v>
      </c>
      <c r="J900" s="764">
        <v>0</v>
      </c>
      <c r="K900" s="765" t="e">
        <f t="shared" ref="K900:K905" si="38">J900/I900</f>
        <v>#DIV/0!</v>
      </c>
      <c r="L900" s="812" t="s">
        <v>787</v>
      </c>
    </row>
    <row r="901" spans="1:12" ht="24.75" customHeight="1" x14ac:dyDescent="0.2">
      <c r="A901" s="668"/>
      <c r="B901" s="763"/>
      <c r="C901" s="763"/>
      <c r="D901" s="763"/>
      <c r="E901" s="763"/>
      <c r="F901" s="670"/>
      <c r="G901" s="764" t="s">
        <v>315</v>
      </c>
      <c r="H901" s="667">
        <f>+INVERSIÓN!$EP$24</f>
        <v>1</v>
      </c>
      <c r="I901" s="764">
        <v>0</v>
      </c>
      <c r="J901" s="764">
        <v>0</v>
      </c>
      <c r="K901" s="765" t="e">
        <f t="shared" si="38"/>
        <v>#DIV/0!</v>
      </c>
      <c r="L901" s="812" t="s">
        <v>788</v>
      </c>
    </row>
    <row r="902" spans="1:12" ht="24.75" customHeight="1" x14ac:dyDescent="0.2">
      <c r="A902" s="668"/>
      <c r="B902" s="764" t="s">
        <v>349</v>
      </c>
      <c r="C902" s="764" t="s">
        <v>350</v>
      </c>
      <c r="D902" s="764" t="s">
        <v>351</v>
      </c>
      <c r="E902" s="764" t="s">
        <v>254</v>
      </c>
      <c r="F902" s="669">
        <v>0.15</v>
      </c>
      <c r="G902" s="764" t="s">
        <v>256</v>
      </c>
      <c r="H902" s="667">
        <f>+INVERSIÓN!$EP$31</f>
        <v>413</v>
      </c>
      <c r="I902" s="764">
        <v>0</v>
      </c>
      <c r="J902" s="764">
        <v>0</v>
      </c>
      <c r="K902" s="765" t="e">
        <f t="shared" si="38"/>
        <v>#DIV/0!</v>
      </c>
      <c r="L902" s="812" t="s">
        <v>789</v>
      </c>
    </row>
    <row r="903" spans="1:12" ht="24.75" customHeight="1" x14ac:dyDescent="0.2">
      <c r="A903" s="668"/>
      <c r="B903" s="764" t="s">
        <v>353</v>
      </c>
      <c r="C903" s="764" t="s">
        <v>354</v>
      </c>
      <c r="D903" s="764" t="s">
        <v>355</v>
      </c>
      <c r="E903" s="764" t="s">
        <v>254</v>
      </c>
      <c r="F903" s="669">
        <v>0.15</v>
      </c>
      <c r="G903" s="764" t="s">
        <v>257</v>
      </c>
      <c r="H903" s="669">
        <f>+INVERSIÓN!$EP$38</f>
        <v>1</v>
      </c>
      <c r="I903" s="669">
        <v>0</v>
      </c>
      <c r="J903" s="669">
        <v>0</v>
      </c>
      <c r="K903" s="765" t="e">
        <f t="shared" si="38"/>
        <v>#DIV/0!</v>
      </c>
      <c r="L903" s="812" t="s">
        <v>785</v>
      </c>
    </row>
    <row r="904" spans="1:12" ht="24.75" customHeight="1" x14ac:dyDescent="0.2">
      <c r="A904" s="668"/>
      <c r="B904" s="763" t="s">
        <v>357</v>
      </c>
      <c r="C904" s="763" t="s">
        <v>358</v>
      </c>
      <c r="D904" s="763" t="s">
        <v>359</v>
      </c>
      <c r="E904" s="763" t="s">
        <v>345</v>
      </c>
      <c r="F904" s="670">
        <v>0.25</v>
      </c>
      <c r="G904" s="764" t="s">
        <v>750</v>
      </c>
      <c r="H904" s="667">
        <f>+INVERSIÓN!$EP$45</f>
        <v>432</v>
      </c>
      <c r="I904" s="764">
        <v>0</v>
      </c>
      <c r="J904" s="764">
        <v>0</v>
      </c>
      <c r="K904" s="765" t="e">
        <f t="shared" si="38"/>
        <v>#DIV/0!</v>
      </c>
      <c r="L904" s="812" t="s">
        <v>790</v>
      </c>
    </row>
    <row r="905" spans="1:12" ht="24.75" customHeight="1" x14ac:dyDescent="0.2">
      <c r="A905" s="666"/>
      <c r="B905" s="763"/>
      <c r="C905" s="763"/>
      <c r="D905" s="763"/>
      <c r="E905" s="763"/>
      <c r="F905" s="670"/>
      <c r="G905" s="764" t="s">
        <v>308</v>
      </c>
      <c r="H905" s="669">
        <f>+INVERSIÓN!$EP$52</f>
        <v>1</v>
      </c>
      <c r="I905" s="669">
        <v>0</v>
      </c>
      <c r="J905" s="669">
        <v>0</v>
      </c>
      <c r="K905" s="765" t="e">
        <f t="shared" si="38"/>
        <v>#DIV/0!</v>
      </c>
      <c r="L905" s="812" t="s">
        <v>791</v>
      </c>
    </row>
    <row r="906" spans="1:12" ht="24.75" customHeight="1" x14ac:dyDescent="0.2">
      <c r="A906" s="231"/>
      <c r="B906" s="306"/>
      <c r="C906" s="306"/>
      <c r="D906" s="306"/>
      <c r="E906" s="306"/>
      <c r="F906" s="307"/>
      <c r="G906" s="308"/>
      <c r="H906" s="303"/>
      <c r="I906" s="303"/>
      <c r="J906" s="303"/>
      <c r="K906" s="304"/>
      <c r="L906" s="305"/>
    </row>
    <row r="907" spans="1:12" ht="24.75" customHeight="1" x14ac:dyDescent="0.2">
      <c r="A907" s="231"/>
      <c r="B907" s="306"/>
      <c r="C907" s="306"/>
      <c r="D907" s="306"/>
      <c r="E907" s="306"/>
      <c r="F907" s="307"/>
      <c r="G907" s="308"/>
      <c r="H907" s="303"/>
      <c r="I907" s="309"/>
      <c r="J907" s="303"/>
      <c r="K907" s="304"/>
      <c r="L907" s="305"/>
    </row>
    <row r="908" spans="1:12" ht="24.75" customHeight="1" x14ac:dyDescent="0.2">
      <c r="A908" s="561" t="s">
        <v>163</v>
      </c>
      <c r="B908" s="562"/>
      <c r="C908" s="562"/>
      <c r="D908" s="562"/>
      <c r="E908" s="562"/>
      <c r="F908" s="562"/>
      <c r="G908" s="563"/>
    </row>
    <row r="909" spans="1:12" ht="24.75" customHeight="1" x14ac:dyDescent="0.2">
      <c r="A909" s="74" t="s">
        <v>48</v>
      </c>
      <c r="B909" s="29" t="s">
        <v>144</v>
      </c>
      <c r="C909" s="29" t="s">
        <v>145</v>
      </c>
      <c r="D909" s="29" t="s">
        <v>164</v>
      </c>
      <c r="E909" s="29" t="s">
        <v>165</v>
      </c>
      <c r="F909" s="29" t="s">
        <v>166</v>
      </c>
      <c r="G909" s="29" t="s">
        <v>167</v>
      </c>
    </row>
    <row r="910" spans="1:12" s="77" customFormat="1" ht="24.75" hidden="1" customHeight="1" x14ac:dyDescent="0.25">
      <c r="A910" s="560" t="s">
        <v>128</v>
      </c>
      <c r="B910" s="571" t="s">
        <v>342</v>
      </c>
      <c r="C910" s="571" t="s">
        <v>411</v>
      </c>
      <c r="D910" s="175" t="s">
        <v>304</v>
      </c>
      <c r="E910" s="76">
        <v>775545944</v>
      </c>
      <c r="F910" s="76">
        <v>56548312</v>
      </c>
      <c r="G910" s="175" t="s">
        <v>412</v>
      </c>
      <c r="I910" s="94"/>
    </row>
    <row r="911" spans="1:12" s="77" customFormat="1" ht="24.75" hidden="1" customHeight="1" x14ac:dyDescent="0.25">
      <c r="A911" s="560"/>
      <c r="B911" s="572"/>
      <c r="C911" s="572"/>
      <c r="D911" s="175" t="s">
        <v>314</v>
      </c>
      <c r="E911" s="76">
        <v>613840322</v>
      </c>
      <c r="F911" s="76">
        <v>0</v>
      </c>
      <c r="G911" s="175" t="s">
        <v>413</v>
      </c>
      <c r="I911" s="94"/>
    </row>
    <row r="912" spans="1:12" s="77" customFormat="1" ht="24.75" hidden="1" customHeight="1" x14ac:dyDescent="0.25">
      <c r="A912" s="560"/>
      <c r="B912" s="573"/>
      <c r="C912" s="573"/>
      <c r="D912" s="175" t="s">
        <v>414</v>
      </c>
      <c r="E912" s="76">
        <v>1412790000</v>
      </c>
      <c r="F912" s="76">
        <v>79976000</v>
      </c>
      <c r="G912" s="175" t="s">
        <v>412</v>
      </c>
      <c r="I912" s="94"/>
    </row>
    <row r="913" spans="1:9" s="77" customFormat="1" ht="24.75" hidden="1" customHeight="1" x14ac:dyDescent="0.25">
      <c r="A913" s="560"/>
      <c r="B913" s="175" t="s">
        <v>349</v>
      </c>
      <c r="C913" s="175" t="s">
        <v>415</v>
      </c>
      <c r="D913" s="175" t="s">
        <v>416</v>
      </c>
      <c r="E913" s="76">
        <v>621054131</v>
      </c>
      <c r="F913" s="76">
        <v>0</v>
      </c>
      <c r="G913" s="175" t="s">
        <v>413</v>
      </c>
      <c r="I913" s="94"/>
    </row>
    <row r="914" spans="1:9" s="77" customFormat="1" ht="24.75" hidden="1" customHeight="1" x14ac:dyDescent="0.25">
      <c r="A914" s="560"/>
      <c r="B914" s="175" t="s">
        <v>353</v>
      </c>
      <c r="C914" s="175" t="s">
        <v>417</v>
      </c>
      <c r="D914" s="175" t="s">
        <v>418</v>
      </c>
      <c r="E914" s="76">
        <v>403410000</v>
      </c>
      <c r="F914" s="76">
        <v>10000000</v>
      </c>
      <c r="G914" s="175" t="s">
        <v>412</v>
      </c>
      <c r="I914" s="94"/>
    </row>
    <row r="915" spans="1:9" s="77" customFormat="1" ht="24.75" hidden="1" customHeight="1" x14ac:dyDescent="0.25">
      <c r="A915" s="560"/>
      <c r="B915" s="571" t="s">
        <v>357</v>
      </c>
      <c r="C915" s="571" t="s">
        <v>419</v>
      </c>
      <c r="D915" s="175" t="s">
        <v>420</v>
      </c>
      <c r="E915" s="76">
        <v>658814131</v>
      </c>
      <c r="F915" s="76">
        <v>0</v>
      </c>
      <c r="G915" s="175" t="s">
        <v>413</v>
      </c>
      <c r="I915" s="94"/>
    </row>
    <row r="916" spans="1:9" s="77" customFormat="1" ht="24.75" hidden="1" customHeight="1" x14ac:dyDescent="0.25">
      <c r="A916" s="560"/>
      <c r="B916" s="573"/>
      <c r="C916" s="573"/>
      <c r="D916" s="175" t="s">
        <v>308</v>
      </c>
      <c r="E916" s="76">
        <v>450000000</v>
      </c>
      <c r="F916" s="76">
        <v>0</v>
      </c>
      <c r="G916" s="175" t="s">
        <v>413</v>
      </c>
      <c r="I916" s="94"/>
    </row>
    <row r="917" spans="1:9" s="77" customFormat="1" ht="24.75" hidden="1" customHeight="1" x14ac:dyDescent="0.25">
      <c r="A917" s="559" t="s">
        <v>129</v>
      </c>
      <c r="B917" s="571" t="s">
        <v>342</v>
      </c>
      <c r="C917" s="571" t="s">
        <v>411</v>
      </c>
      <c r="D917" s="175" t="s">
        <v>304</v>
      </c>
      <c r="E917" s="76">
        <v>775545944</v>
      </c>
      <c r="F917" s="76">
        <v>404965456</v>
      </c>
      <c r="G917" s="175" t="s">
        <v>421</v>
      </c>
      <c r="I917" s="94"/>
    </row>
    <row r="918" spans="1:9" s="77" customFormat="1" ht="24.75" hidden="1" customHeight="1" x14ac:dyDescent="0.25">
      <c r="A918" s="560"/>
      <c r="B918" s="572"/>
      <c r="C918" s="572"/>
      <c r="D918" s="175" t="s">
        <v>314</v>
      </c>
      <c r="E918" s="76">
        <v>613840322</v>
      </c>
      <c r="F918" s="76">
        <v>465500000</v>
      </c>
      <c r="G918" s="175" t="s">
        <v>421</v>
      </c>
      <c r="I918" s="94"/>
    </row>
    <row r="919" spans="1:9" s="77" customFormat="1" ht="24.75" hidden="1" customHeight="1" x14ac:dyDescent="0.25">
      <c r="A919" s="560"/>
      <c r="B919" s="573"/>
      <c r="C919" s="573"/>
      <c r="D919" s="175" t="s">
        <v>414</v>
      </c>
      <c r="E919" s="76">
        <v>1412790000</v>
      </c>
      <c r="F919" s="76">
        <v>835107984</v>
      </c>
      <c r="G919" s="175" t="s">
        <v>421</v>
      </c>
      <c r="I919" s="94"/>
    </row>
    <row r="920" spans="1:9" s="77" customFormat="1" ht="24.75" hidden="1" customHeight="1" x14ac:dyDescent="0.25">
      <c r="A920" s="560"/>
      <c r="B920" s="175" t="s">
        <v>349</v>
      </c>
      <c r="C920" s="175" t="s">
        <v>415</v>
      </c>
      <c r="D920" s="175" t="s">
        <v>416</v>
      </c>
      <c r="E920" s="76">
        <v>621054131</v>
      </c>
      <c r="F920" s="76">
        <v>433428000</v>
      </c>
      <c r="G920" s="175" t="s">
        <v>421</v>
      </c>
      <c r="I920" s="94"/>
    </row>
    <row r="921" spans="1:9" s="77" customFormat="1" ht="24.75" hidden="1" customHeight="1" x14ac:dyDescent="0.25">
      <c r="A921" s="560"/>
      <c r="B921" s="175" t="s">
        <v>353</v>
      </c>
      <c r="C921" s="175" t="s">
        <v>417</v>
      </c>
      <c r="D921" s="175" t="s">
        <v>418</v>
      </c>
      <c r="E921" s="76">
        <v>403410000</v>
      </c>
      <c r="F921" s="76">
        <v>92564000</v>
      </c>
      <c r="G921" s="175" t="s">
        <v>421</v>
      </c>
      <c r="I921" s="94"/>
    </row>
    <row r="922" spans="1:9" s="77" customFormat="1" ht="24.75" hidden="1" customHeight="1" x14ac:dyDescent="0.25">
      <c r="A922" s="560"/>
      <c r="B922" s="571" t="s">
        <v>357</v>
      </c>
      <c r="C922" s="571" t="s">
        <v>419</v>
      </c>
      <c r="D922" s="175" t="s">
        <v>420</v>
      </c>
      <c r="E922" s="76">
        <v>658814131</v>
      </c>
      <c r="F922" s="76">
        <v>451588000</v>
      </c>
      <c r="G922" s="175" t="s">
        <v>421</v>
      </c>
      <c r="I922" s="94"/>
    </row>
    <row r="923" spans="1:9" s="77" customFormat="1" ht="24.75" hidden="1" customHeight="1" x14ac:dyDescent="0.25">
      <c r="A923" s="560"/>
      <c r="B923" s="573"/>
      <c r="C923" s="573"/>
      <c r="D923" s="175" t="s">
        <v>308</v>
      </c>
      <c r="E923" s="76">
        <v>450000000</v>
      </c>
      <c r="F923" s="76">
        <v>373112000</v>
      </c>
      <c r="G923" s="175" t="s">
        <v>421</v>
      </c>
      <c r="I923" s="94"/>
    </row>
    <row r="924" spans="1:9" s="77" customFormat="1" ht="24.75" hidden="1" customHeight="1" x14ac:dyDescent="0.25">
      <c r="A924" s="559" t="s">
        <v>130</v>
      </c>
      <c r="B924" s="571" t="s">
        <v>342</v>
      </c>
      <c r="C924" s="571" t="s">
        <v>411</v>
      </c>
      <c r="D924" s="175" t="s">
        <v>304</v>
      </c>
      <c r="E924" s="76">
        <v>775545944</v>
      </c>
      <c r="F924" s="76">
        <v>433527167</v>
      </c>
      <c r="G924" s="175" t="s">
        <v>421</v>
      </c>
      <c r="I924" s="94"/>
    </row>
    <row r="925" spans="1:9" s="77" customFormat="1" ht="24.75" hidden="1" customHeight="1" x14ac:dyDescent="0.25">
      <c r="A925" s="560"/>
      <c r="B925" s="572"/>
      <c r="C925" s="572"/>
      <c r="D925" s="175" t="s">
        <v>314</v>
      </c>
      <c r="E925" s="76">
        <v>613840322</v>
      </c>
      <c r="F925" s="76">
        <v>465500000</v>
      </c>
      <c r="G925" s="175" t="s">
        <v>421</v>
      </c>
      <c r="I925" s="94"/>
    </row>
    <row r="926" spans="1:9" s="77" customFormat="1" ht="24.75" hidden="1" customHeight="1" x14ac:dyDescent="0.25">
      <c r="A926" s="560"/>
      <c r="B926" s="573"/>
      <c r="C926" s="573"/>
      <c r="D926" s="175" t="s">
        <v>414</v>
      </c>
      <c r="E926" s="76">
        <v>1412790000</v>
      </c>
      <c r="F926" s="76">
        <v>860130666</v>
      </c>
      <c r="G926" s="175" t="s">
        <v>421</v>
      </c>
      <c r="I926" s="94"/>
    </row>
    <row r="927" spans="1:9" s="77" customFormat="1" ht="24.75" hidden="1" customHeight="1" x14ac:dyDescent="0.25">
      <c r="A927" s="560"/>
      <c r="B927" s="175" t="s">
        <v>349</v>
      </c>
      <c r="C927" s="175" t="s">
        <v>415</v>
      </c>
      <c r="D927" s="175" t="s">
        <v>416</v>
      </c>
      <c r="E927" s="76">
        <v>621054131</v>
      </c>
      <c r="F927" s="76">
        <v>433428000</v>
      </c>
      <c r="G927" s="175" t="s">
        <v>421</v>
      </c>
      <c r="I927" s="94"/>
    </row>
    <row r="928" spans="1:9" s="77" customFormat="1" ht="24.75" hidden="1" customHeight="1" x14ac:dyDescent="0.25">
      <c r="A928" s="560"/>
      <c r="B928" s="175" t="s">
        <v>353</v>
      </c>
      <c r="C928" s="175" t="s">
        <v>417</v>
      </c>
      <c r="D928" s="175" t="s">
        <v>418</v>
      </c>
      <c r="E928" s="76">
        <v>403410000</v>
      </c>
      <c r="F928" s="76">
        <v>164519000</v>
      </c>
      <c r="G928" s="175" t="s">
        <v>421</v>
      </c>
      <c r="I928" s="94"/>
    </row>
    <row r="929" spans="1:9" s="77" customFormat="1" ht="24.75" hidden="1" customHeight="1" x14ac:dyDescent="0.25">
      <c r="A929" s="560"/>
      <c r="B929" s="571" t="s">
        <v>357</v>
      </c>
      <c r="C929" s="571" t="s">
        <v>419</v>
      </c>
      <c r="D929" s="175" t="s">
        <v>420</v>
      </c>
      <c r="E929" s="76">
        <v>658814131</v>
      </c>
      <c r="F929" s="76">
        <v>472900000</v>
      </c>
      <c r="G929" s="175" t="s">
        <v>421</v>
      </c>
      <c r="I929" s="94"/>
    </row>
    <row r="930" spans="1:9" s="77" customFormat="1" ht="24.75" hidden="1" customHeight="1" x14ac:dyDescent="0.25">
      <c r="A930" s="560"/>
      <c r="B930" s="573"/>
      <c r="C930" s="573"/>
      <c r="D930" s="175" t="s">
        <v>308</v>
      </c>
      <c r="E930" s="76">
        <v>450000000</v>
      </c>
      <c r="F930" s="76">
        <v>373112000</v>
      </c>
      <c r="G930" s="175" t="s">
        <v>421</v>
      </c>
      <c r="I930" s="94"/>
    </row>
    <row r="931" spans="1:9" s="77" customFormat="1" ht="24.75" hidden="1" customHeight="1" x14ac:dyDescent="0.25">
      <c r="A931" s="506" t="s">
        <v>131</v>
      </c>
      <c r="B931" s="567" t="s">
        <v>342</v>
      </c>
      <c r="C931" s="567" t="s">
        <v>411</v>
      </c>
      <c r="D931" s="175" t="s">
        <v>304</v>
      </c>
      <c r="E931" s="76">
        <v>790545944</v>
      </c>
      <c r="F931" s="76">
        <v>458874846</v>
      </c>
      <c r="G931" s="175" t="s">
        <v>421</v>
      </c>
      <c r="I931" s="94"/>
    </row>
    <row r="932" spans="1:9" s="77" customFormat="1" ht="24.75" hidden="1" customHeight="1" x14ac:dyDescent="0.25">
      <c r="A932" s="506"/>
      <c r="B932" s="567"/>
      <c r="C932" s="567"/>
      <c r="D932" s="175" t="s">
        <v>314</v>
      </c>
      <c r="E932" s="76">
        <v>816840322</v>
      </c>
      <c r="F932" s="76">
        <v>519098750</v>
      </c>
      <c r="G932" s="175" t="s">
        <v>421</v>
      </c>
      <c r="I932" s="94"/>
    </row>
    <row r="933" spans="1:9" s="77" customFormat="1" ht="24.75" hidden="1" customHeight="1" x14ac:dyDescent="0.25">
      <c r="A933" s="506"/>
      <c r="B933" s="567"/>
      <c r="C933" s="567"/>
      <c r="D933" s="175" t="s">
        <v>414</v>
      </c>
      <c r="E933" s="76">
        <v>1399790000</v>
      </c>
      <c r="F933" s="76">
        <v>892349267</v>
      </c>
      <c r="G933" s="175" t="s">
        <v>421</v>
      </c>
      <c r="I933" s="94"/>
    </row>
    <row r="934" spans="1:9" s="77" customFormat="1" ht="24.75" hidden="1" customHeight="1" x14ac:dyDescent="0.25">
      <c r="A934" s="506"/>
      <c r="B934" s="175" t="s">
        <v>349</v>
      </c>
      <c r="C934" s="175" t="s">
        <v>415</v>
      </c>
      <c r="D934" s="175" t="s">
        <v>416</v>
      </c>
      <c r="E934" s="76">
        <v>556054131</v>
      </c>
      <c r="F934" s="76">
        <v>433428000</v>
      </c>
      <c r="G934" s="175" t="s">
        <v>421</v>
      </c>
      <c r="I934" s="94"/>
    </row>
    <row r="935" spans="1:9" s="77" customFormat="1" ht="24.75" hidden="1" customHeight="1" x14ac:dyDescent="0.25">
      <c r="A935" s="506"/>
      <c r="B935" s="175" t="s">
        <v>353</v>
      </c>
      <c r="C935" s="175" t="s">
        <v>417</v>
      </c>
      <c r="D935" s="175" t="s">
        <v>418</v>
      </c>
      <c r="E935" s="76">
        <v>263410000</v>
      </c>
      <c r="F935" s="76">
        <v>164519000</v>
      </c>
      <c r="G935" s="175" t="s">
        <v>421</v>
      </c>
      <c r="I935" s="94"/>
    </row>
    <row r="936" spans="1:9" s="77" customFormat="1" ht="24.75" hidden="1" customHeight="1" x14ac:dyDescent="0.25">
      <c r="A936" s="506"/>
      <c r="B936" s="567" t="s">
        <v>357</v>
      </c>
      <c r="C936" s="567" t="s">
        <v>419</v>
      </c>
      <c r="D936" s="175" t="s">
        <v>420</v>
      </c>
      <c r="E936" s="76">
        <v>658814131</v>
      </c>
      <c r="F936" s="76">
        <v>516280000</v>
      </c>
      <c r="G936" s="175" t="s">
        <v>421</v>
      </c>
      <c r="I936" s="94"/>
    </row>
    <row r="937" spans="1:9" s="77" customFormat="1" ht="24.75" hidden="1" customHeight="1" x14ac:dyDescent="0.25">
      <c r="A937" s="506"/>
      <c r="B937" s="567"/>
      <c r="C937" s="567"/>
      <c r="D937" s="175" t="s">
        <v>308</v>
      </c>
      <c r="E937" s="76">
        <v>450000000</v>
      </c>
      <c r="F937" s="76">
        <v>373112000</v>
      </c>
      <c r="G937" s="175" t="s">
        <v>421</v>
      </c>
      <c r="I937" s="94"/>
    </row>
    <row r="938" spans="1:9" s="77" customFormat="1" ht="24.75" hidden="1" customHeight="1" x14ac:dyDescent="0.25">
      <c r="A938" s="506" t="s">
        <v>132</v>
      </c>
      <c r="B938" s="567" t="s">
        <v>342</v>
      </c>
      <c r="C938" s="567" t="s">
        <v>411</v>
      </c>
      <c r="D938" s="175" t="s">
        <v>304</v>
      </c>
      <c r="E938" s="76">
        <v>780545944</v>
      </c>
      <c r="F938" s="76">
        <v>488375819</v>
      </c>
      <c r="G938" s="175" t="s">
        <v>421</v>
      </c>
      <c r="I938" s="94"/>
    </row>
    <row r="939" spans="1:9" s="77" customFormat="1" ht="24.75" hidden="1" customHeight="1" x14ac:dyDescent="0.25">
      <c r="A939" s="506"/>
      <c r="B939" s="567"/>
      <c r="C939" s="567"/>
      <c r="D939" s="175" t="s">
        <v>314</v>
      </c>
      <c r="E939" s="76">
        <v>826840322</v>
      </c>
      <c r="F939" s="76">
        <v>542938322</v>
      </c>
      <c r="G939" s="175" t="s">
        <v>421</v>
      </c>
      <c r="I939" s="94"/>
    </row>
    <row r="940" spans="1:9" s="77" customFormat="1" ht="24.75" hidden="1" customHeight="1" x14ac:dyDescent="0.25">
      <c r="A940" s="506"/>
      <c r="B940" s="567"/>
      <c r="C940" s="567"/>
      <c r="D940" s="175" t="s">
        <v>414</v>
      </c>
      <c r="E940" s="76">
        <v>1399790000</v>
      </c>
      <c r="F940" s="76">
        <v>905631416</v>
      </c>
      <c r="G940" s="175" t="s">
        <v>421</v>
      </c>
      <c r="I940" s="94"/>
    </row>
    <row r="941" spans="1:9" s="77" customFormat="1" ht="24.75" hidden="1" customHeight="1" x14ac:dyDescent="0.25">
      <c r="A941" s="506"/>
      <c r="B941" s="175" t="s">
        <v>349</v>
      </c>
      <c r="C941" s="175" t="s">
        <v>415</v>
      </c>
      <c r="D941" s="175" t="s">
        <v>416</v>
      </c>
      <c r="E941" s="76">
        <v>556054131</v>
      </c>
      <c r="F941" s="76">
        <v>437787131</v>
      </c>
      <c r="G941" s="175" t="s">
        <v>421</v>
      </c>
      <c r="I941" s="94"/>
    </row>
    <row r="942" spans="1:9" s="77" customFormat="1" ht="24.75" hidden="1" customHeight="1" x14ac:dyDescent="0.25">
      <c r="A942" s="506"/>
      <c r="B942" s="175" t="s">
        <v>353</v>
      </c>
      <c r="C942" s="175" t="s">
        <v>417</v>
      </c>
      <c r="D942" s="175" t="s">
        <v>418</v>
      </c>
      <c r="E942" s="76">
        <v>263410000</v>
      </c>
      <c r="F942" s="76">
        <v>191691000</v>
      </c>
      <c r="G942" s="175" t="s">
        <v>421</v>
      </c>
      <c r="I942" s="94"/>
    </row>
    <row r="943" spans="1:9" s="77" customFormat="1" ht="24.75" hidden="1" customHeight="1" x14ac:dyDescent="0.25">
      <c r="A943" s="506"/>
      <c r="B943" s="567" t="s">
        <v>357</v>
      </c>
      <c r="C943" s="567" t="s">
        <v>419</v>
      </c>
      <c r="D943" s="175" t="s">
        <v>420</v>
      </c>
      <c r="E943" s="76">
        <v>658814131</v>
      </c>
      <c r="F943" s="76">
        <v>545531000</v>
      </c>
      <c r="G943" s="175" t="s">
        <v>421</v>
      </c>
      <c r="I943" s="94"/>
    </row>
    <row r="944" spans="1:9" s="77" customFormat="1" ht="24.75" hidden="1" customHeight="1" x14ac:dyDescent="0.25">
      <c r="A944" s="506"/>
      <c r="B944" s="567"/>
      <c r="C944" s="567"/>
      <c r="D944" s="175" t="s">
        <v>308</v>
      </c>
      <c r="E944" s="76">
        <v>450000000</v>
      </c>
      <c r="F944" s="76">
        <v>377292000</v>
      </c>
      <c r="G944" s="175" t="s">
        <v>421</v>
      </c>
      <c r="I944" s="94"/>
    </row>
    <row r="945" spans="1:9" s="77" customFormat="1" ht="24.75" hidden="1" customHeight="1" x14ac:dyDescent="0.25">
      <c r="A945" s="559" t="s">
        <v>133</v>
      </c>
      <c r="B945" s="567" t="s">
        <v>342</v>
      </c>
      <c r="C945" s="567" t="s">
        <v>411</v>
      </c>
      <c r="D945" s="175" t="s">
        <v>304</v>
      </c>
      <c r="E945" s="76">
        <v>780545944</v>
      </c>
      <c r="F945" s="76">
        <v>731213017</v>
      </c>
      <c r="G945" s="175" t="s">
        <v>421</v>
      </c>
      <c r="I945" s="94"/>
    </row>
    <row r="946" spans="1:9" s="77" customFormat="1" ht="24.75" hidden="1" customHeight="1" x14ac:dyDescent="0.25">
      <c r="A946" s="560"/>
      <c r="B946" s="567"/>
      <c r="C946" s="567"/>
      <c r="D946" s="175" t="s">
        <v>314</v>
      </c>
      <c r="E946" s="76">
        <v>826840322</v>
      </c>
      <c r="F946" s="76">
        <v>670473105</v>
      </c>
      <c r="G946" s="175" t="s">
        <v>421</v>
      </c>
      <c r="I946" s="94"/>
    </row>
    <row r="947" spans="1:9" s="77" customFormat="1" ht="24.75" hidden="1" customHeight="1" x14ac:dyDescent="0.25">
      <c r="A947" s="560"/>
      <c r="B947" s="567"/>
      <c r="C947" s="567"/>
      <c r="D947" s="175" t="s">
        <v>414</v>
      </c>
      <c r="E947" s="76">
        <v>1399790000</v>
      </c>
      <c r="F947" s="76">
        <v>1326141063</v>
      </c>
      <c r="G947" s="175" t="s">
        <v>421</v>
      </c>
      <c r="I947" s="94"/>
    </row>
    <row r="948" spans="1:9" s="77" customFormat="1" ht="24.75" hidden="1" customHeight="1" x14ac:dyDescent="0.25">
      <c r="A948" s="560"/>
      <c r="B948" s="175" t="s">
        <v>349</v>
      </c>
      <c r="C948" s="175" t="s">
        <v>415</v>
      </c>
      <c r="D948" s="175" t="s">
        <v>416</v>
      </c>
      <c r="E948" s="76">
        <v>556054131</v>
      </c>
      <c r="F948" s="76">
        <v>535986131</v>
      </c>
      <c r="G948" s="175" t="s">
        <v>421</v>
      </c>
      <c r="I948" s="94"/>
    </row>
    <row r="949" spans="1:9" s="77" customFormat="1" ht="24.75" hidden="1" customHeight="1" x14ac:dyDescent="0.25">
      <c r="A949" s="560"/>
      <c r="B949" s="175" t="s">
        <v>353</v>
      </c>
      <c r="C949" s="175" t="s">
        <v>417</v>
      </c>
      <c r="D949" s="175" t="s">
        <v>418</v>
      </c>
      <c r="E949" s="76">
        <v>263410000</v>
      </c>
      <c r="F949" s="76">
        <v>232617000</v>
      </c>
      <c r="G949" s="175" t="s">
        <v>421</v>
      </c>
      <c r="I949" s="94"/>
    </row>
    <row r="950" spans="1:9" s="77" customFormat="1" ht="24.75" hidden="1" customHeight="1" x14ac:dyDescent="0.25">
      <c r="A950" s="560"/>
      <c r="B950" s="567" t="s">
        <v>357</v>
      </c>
      <c r="C950" s="567" t="s">
        <v>419</v>
      </c>
      <c r="D950" s="175" t="s">
        <v>420</v>
      </c>
      <c r="E950" s="76">
        <v>658814131</v>
      </c>
      <c r="F950" s="76">
        <v>644978000</v>
      </c>
      <c r="G950" s="175" t="s">
        <v>421</v>
      </c>
      <c r="I950" s="94"/>
    </row>
    <row r="951" spans="1:9" s="77" customFormat="1" ht="24.75" hidden="1" customHeight="1" x14ac:dyDescent="0.25">
      <c r="A951" s="516"/>
      <c r="B951" s="567"/>
      <c r="C951" s="567"/>
      <c r="D951" s="175" t="s">
        <v>308</v>
      </c>
      <c r="E951" s="76">
        <v>450000000</v>
      </c>
      <c r="F951" s="76">
        <v>447516000</v>
      </c>
      <c r="G951" s="175" t="s">
        <v>421</v>
      </c>
      <c r="I951" s="94"/>
    </row>
    <row r="952" spans="1:9" ht="24.75" customHeight="1" collapsed="1" x14ac:dyDescent="0.2"/>
    <row r="953" spans="1:9" ht="24.75" customHeight="1" x14ac:dyDescent="0.2">
      <c r="A953" s="561" t="s">
        <v>168</v>
      </c>
      <c r="B953" s="562"/>
      <c r="C953" s="562"/>
      <c r="D953" s="562"/>
      <c r="E953" s="562"/>
      <c r="F953" s="562"/>
      <c r="G953" s="563"/>
    </row>
    <row r="954" spans="1:9" ht="24.75" customHeight="1" x14ac:dyDescent="0.2">
      <c r="A954" s="74" t="s">
        <v>49</v>
      </c>
      <c r="B954" s="29" t="s">
        <v>144</v>
      </c>
      <c r="C954" s="29" t="s">
        <v>145</v>
      </c>
      <c r="D954" s="29" t="s">
        <v>164</v>
      </c>
      <c r="E954" s="29" t="s">
        <v>169</v>
      </c>
      <c r="F954" s="29" t="s">
        <v>170</v>
      </c>
      <c r="G954" s="29" t="s">
        <v>167</v>
      </c>
    </row>
    <row r="955" spans="1:9" ht="24.75" hidden="1" customHeight="1" x14ac:dyDescent="0.2">
      <c r="A955" s="559" t="s">
        <v>135</v>
      </c>
      <c r="B955" s="567" t="s">
        <v>342</v>
      </c>
      <c r="C955" s="567" t="s">
        <v>411</v>
      </c>
      <c r="D955" s="175" t="s">
        <v>304</v>
      </c>
      <c r="E955" s="76">
        <v>1564678000</v>
      </c>
      <c r="F955" s="76">
        <v>0</v>
      </c>
      <c r="G955" s="175" t="s">
        <v>421</v>
      </c>
    </row>
    <row r="956" spans="1:9" ht="24.75" hidden="1" customHeight="1" x14ac:dyDescent="0.2">
      <c r="A956" s="560"/>
      <c r="B956" s="567"/>
      <c r="C956" s="567"/>
      <c r="D956" s="175" t="s">
        <v>314</v>
      </c>
      <c r="E956" s="76">
        <v>1374057000</v>
      </c>
      <c r="F956" s="76">
        <v>0</v>
      </c>
      <c r="G956" s="175" t="s">
        <v>421</v>
      </c>
    </row>
    <row r="957" spans="1:9" ht="24.75" hidden="1" customHeight="1" x14ac:dyDescent="0.2">
      <c r="A957" s="560"/>
      <c r="B957" s="567"/>
      <c r="C957" s="567"/>
      <c r="D957" s="175" t="s">
        <v>414</v>
      </c>
      <c r="E957" s="76">
        <v>2973776000</v>
      </c>
      <c r="F957" s="76">
        <v>0</v>
      </c>
      <c r="G957" s="175" t="s">
        <v>421</v>
      </c>
    </row>
    <row r="958" spans="1:9" ht="24.75" hidden="1" customHeight="1" x14ac:dyDescent="0.2">
      <c r="A958" s="560"/>
      <c r="B958" s="175" t="s">
        <v>349</v>
      </c>
      <c r="C958" s="175" t="s">
        <v>415</v>
      </c>
      <c r="D958" s="175" t="s">
        <v>416</v>
      </c>
      <c r="E958" s="76">
        <v>1480481000</v>
      </c>
      <c r="F958" s="76">
        <v>0</v>
      </c>
      <c r="G958" s="175" t="s">
        <v>421</v>
      </c>
    </row>
    <row r="959" spans="1:9" ht="24.75" hidden="1" customHeight="1" x14ac:dyDescent="0.2">
      <c r="A959" s="560"/>
      <c r="B959" s="175" t="s">
        <v>353</v>
      </c>
      <c r="C959" s="175" t="s">
        <v>417</v>
      </c>
      <c r="D959" s="175" t="s">
        <v>418</v>
      </c>
      <c r="E959" s="76">
        <v>689070000</v>
      </c>
      <c r="F959" s="76">
        <v>0</v>
      </c>
      <c r="G959" s="175" t="s">
        <v>421</v>
      </c>
    </row>
    <row r="960" spans="1:9" ht="24.75" hidden="1" customHeight="1" x14ac:dyDescent="0.2">
      <c r="A960" s="560"/>
      <c r="B960" s="567" t="s">
        <v>357</v>
      </c>
      <c r="C960" s="567" t="s">
        <v>419</v>
      </c>
      <c r="D960" s="175" t="s">
        <v>420</v>
      </c>
      <c r="E960" s="76">
        <v>1294148000</v>
      </c>
      <c r="F960" s="76">
        <v>0</v>
      </c>
      <c r="G960" s="175" t="s">
        <v>421</v>
      </c>
    </row>
    <row r="961" spans="1:7" ht="24.75" hidden="1" customHeight="1" x14ac:dyDescent="0.2">
      <c r="A961" s="516"/>
      <c r="B961" s="567"/>
      <c r="C961" s="567"/>
      <c r="D961" s="175" t="s">
        <v>308</v>
      </c>
      <c r="E961" s="76">
        <v>691670000</v>
      </c>
      <c r="F961" s="76">
        <v>0</v>
      </c>
      <c r="G961" s="175" t="s">
        <v>421</v>
      </c>
    </row>
    <row r="962" spans="1:7" ht="24.75" hidden="1" customHeight="1" x14ac:dyDescent="0.2">
      <c r="A962" s="559" t="s">
        <v>136</v>
      </c>
      <c r="B962" s="567" t="s">
        <v>342</v>
      </c>
      <c r="C962" s="567" t="s">
        <v>411</v>
      </c>
      <c r="D962" s="175" t="s">
        <v>304</v>
      </c>
      <c r="E962" s="76">
        <v>1564678000</v>
      </c>
      <c r="F962" s="76">
        <v>188232000</v>
      </c>
      <c r="G962" s="175" t="s">
        <v>421</v>
      </c>
    </row>
    <row r="963" spans="1:7" ht="24.75" hidden="1" customHeight="1" x14ac:dyDescent="0.2">
      <c r="A963" s="560"/>
      <c r="B963" s="567"/>
      <c r="C963" s="567"/>
      <c r="D963" s="175" t="s">
        <v>314</v>
      </c>
      <c r="E963" s="76">
        <v>1374057000</v>
      </c>
      <c r="F963" s="76">
        <v>582050000</v>
      </c>
      <c r="G963" s="175" t="s">
        <v>421</v>
      </c>
    </row>
    <row r="964" spans="1:7" ht="24.75" hidden="1" customHeight="1" x14ac:dyDescent="0.2">
      <c r="A964" s="560"/>
      <c r="B964" s="567"/>
      <c r="C964" s="567"/>
      <c r="D964" s="175" t="s">
        <v>414</v>
      </c>
      <c r="E964" s="76">
        <v>2973776000</v>
      </c>
      <c r="F964" s="76">
        <v>408790000</v>
      </c>
      <c r="G964" s="175" t="s">
        <v>421</v>
      </c>
    </row>
    <row r="965" spans="1:7" ht="24.75" hidden="1" customHeight="1" x14ac:dyDescent="0.2">
      <c r="A965" s="560"/>
      <c r="B965" s="175" t="s">
        <v>349</v>
      </c>
      <c r="C965" s="175" t="s">
        <v>415</v>
      </c>
      <c r="D965" s="175" t="s">
        <v>416</v>
      </c>
      <c r="E965" s="76">
        <v>1480481000</v>
      </c>
      <c r="F965" s="76">
        <v>740287000</v>
      </c>
      <c r="G965" s="175" t="s">
        <v>421</v>
      </c>
    </row>
    <row r="966" spans="1:7" ht="24.75" hidden="1" customHeight="1" x14ac:dyDescent="0.2">
      <c r="A966" s="560"/>
      <c r="B966" s="175" t="s">
        <v>353</v>
      </c>
      <c r="C966" s="175" t="s">
        <v>417</v>
      </c>
      <c r="D966" s="175" t="s">
        <v>418</v>
      </c>
      <c r="E966" s="76">
        <v>689070000</v>
      </c>
      <c r="F966" s="76">
        <v>34584000</v>
      </c>
      <c r="G966" s="175" t="s">
        <v>421</v>
      </c>
    </row>
    <row r="967" spans="1:7" ht="24.75" hidden="1" customHeight="1" x14ac:dyDescent="0.2">
      <c r="A967" s="560"/>
      <c r="B967" s="567" t="s">
        <v>357</v>
      </c>
      <c r="C967" s="567" t="s">
        <v>419</v>
      </c>
      <c r="D967" s="175" t="s">
        <v>420</v>
      </c>
      <c r="E967" s="76">
        <v>1294148000</v>
      </c>
      <c r="F967" s="76">
        <v>385283000</v>
      </c>
      <c r="G967" s="175" t="s">
        <v>421</v>
      </c>
    </row>
    <row r="968" spans="1:7" ht="24.75" hidden="1" customHeight="1" x14ac:dyDescent="0.2">
      <c r="A968" s="516"/>
      <c r="B968" s="567"/>
      <c r="C968" s="567"/>
      <c r="D968" s="175" t="s">
        <v>308</v>
      </c>
      <c r="E968" s="76">
        <v>691670000</v>
      </c>
      <c r="F968" s="76">
        <v>326043000</v>
      </c>
      <c r="G968" s="175" t="s">
        <v>421</v>
      </c>
    </row>
    <row r="969" spans="1:7" ht="24.75" hidden="1" customHeight="1" x14ac:dyDescent="0.2">
      <c r="A969" s="559" t="s">
        <v>137</v>
      </c>
      <c r="B969" s="567" t="s">
        <v>342</v>
      </c>
      <c r="C969" s="567" t="s">
        <v>411</v>
      </c>
      <c r="D969" s="175" t="s">
        <v>304</v>
      </c>
      <c r="E969" s="76">
        <v>1564678000</v>
      </c>
      <c r="F969" s="76">
        <v>537224000</v>
      </c>
      <c r="G969" s="175" t="s">
        <v>421</v>
      </c>
    </row>
    <row r="970" spans="1:7" ht="24.75" hidden="1" customHeight="1" x14ac:dyDescent="0.2">
      <c r="A970" s="560"/>
      <c r="B970" s="567"/>
      <c r="C970" s="567"/>
      <c r="D970" s="175" t="s">
        <v>314</v>
      </c>
      <c r="E970" s="76">
        <v>1374057000</v>
      </c>
      <c r="F970" s="76">
        <v>1121617000</v>
      </c>
      <c r="G970" s="175" t="s">
        <v>421</v>
      </c>
    </row>
    <row r="971" spans="1:7" ht="24.75" hidden="1" customHeight="1" x14ac:dyDescent="0.2">
      <c r="A971" s="560"/>
      <c r="B971" s="567"/>
      <c r="C971" s="567"/>
      <c r="D971" s="175" t="s">
        <v>414</v>
      </c>
      <c r="E971" s="76">
        <v>2973776000</v>
      </c>
      <c r="F971" s="76">
        <v>1793944150</v>
      </c>
      <c r="G971" s="175" t="s">
        <v>421</v>
      </c>
    </row>
    <row r="972" spans="1:7" ht="24.75" hidden="1" customHeight="1" x14ac:dyDescent="0.2">
      <c r="A972" s="560"/>
      <c r="B972" s="175" t="s">
        <v>349</v>
      </c>
      <c r="C972" s="175" t="s">
        <v>415</v>
      </c>
      <c r="D972" s="175" t="s">
        <v>416</v>
      </c>
      <c r="E972" s="76">
        <v>1480481000</v>
      </c>
      <c r="F972" s="76">
        <v>1001575000</v>
      </c>
      <c r="G972" s="175" t="s">
        <v>421</v>
      </c>
    </row>
    <row r="973" spans="1:7" ht="24.75" hidden="1" customHeight="1" x14ac:dyDescent="0.2">
      <c r="A973" s="560"/>
      <c r="B973" s="175" t="s">
        <v>353</v>
      </c>
      <c r="C973" s="175" t="s">
        <v>417</v>
      </c>
      <c r="D973" s="175" t="s">
        <v>418</v>
      </c>
      <c r="E973" s="76">
        <v>689070000</v>
      </c>
      <c r="F973" s="76">
        <v>343006000</v>
      </c>
      <c r="G973" s="175" t="s">
        <v>421</v>
      </c>
    </row>
    <row r="974" spans="1:7" ht="24.75" hidden="1" customHeight="1" x14ac:dyDescent="0.2">
      <c r="A974" s="560"/>
      <c r="B974" s="567" t="s">
        <v>357</v>
      </c>
      <c r="C974" s="567" t="s">
        <v>419</v>
      </c>
      <c r="D974" s="175" t="s">
        <v>420</v>
      </c>
      <c r="E974" s="76">
        <v>1294148000</v>
      </c>
      <c r="F974" s="76">
        <v>1137979000</v>
      </c>
      <c r="G974" s="175" t="s">
        <v>421</v>
      </c>
    </row>
    <row r="975" spans="1:7" ht="24.75" hidden="1" customHeight="1" x14ac:dyDescent="0.2">
      <c r="A975" s="516"/>
      <c r="B975" s="567"/>
      <c r="C975" s="567"/>
      <c r="D975" s="175" t="s">
        <v>308</v>
      </c>
      <c r="E975" s="76">
        <v>691670000</v>
      </c>
      <c r="F975" s="76">
        <v>415638000</v>
      </c>
      <c r="G975" s="175" t="s">
        <v>421</v>
      </c>
    </row>
    <row r="976" spans="1:7" ht="24.75" hidden="1" customHeight="1" x14ac:dyDescent="0.2">
      <c r="A976" s="559" t="s">
        <v>138</v>
      </c>
      <c r="B976" s="567" t="s">
        <v>342</v>
      </c>
      <c r="C976" s="567" t="s">
        <v>411</v>
      </c>
      <c r="D976" s="175" t="s">
        <v>304</v>
      </c>
      <c r="E976" s="76">
        <v>837335614</v>
      </c>
      <c r="F976" s="76">
        <v>664703857</v>
      </c>
      <c r="G976" s="175" t="s">
        <v>421</v>
      </c>
    </row>
    <row r="977" spans="1:7" ht="24.75" hidden="1" customHeight="1" x14ac:dyDescent="0.2">
      <c r="A977" s="560"/>
      <c r="B977" s="567"/>
      <c r="C977" s="567"/>
      <c r="D977" s="175" t="s">
        <v>314</v>
      </c>
      <c r="E977" s="76">
        <v>1262994000</v>
      </c>
      <c r="F977" s="76">
        <v>1215729000</v>
      </c>
      <c r="G977" s="175" t="s">
        <v>421</v>
      </c>
    </row>
    <row r="978" spans="1:7" ht="24.75" hidden="1" customHeight="1" x14ac:dyDescent="0.2">
      <c r="A978" s="560"/>
      <c r="B978" s="567"/>
      <c r="C978" s="567"/>
      <c r="D978" s="175" t="s">
        <v>414</v>
      </c>
      <c r="E978" s="76">
        <v>2636043000</v>
      </c>
      <c r="F978" s="76">
        <v>1942784150</v>
      </c>
      <c r="G978" s="175" t="s">
        <v>421</v>
      </c>
    </row>
    <row r="979" spans="1:7" ht="24.75" hidden="1" customHeight="1" x14ac:dyDescent="0.2">
      <c r="A979" s="560"/>
      <c r="B979" s="175" t="s">
        <v>349</v>
      </c>
      <c r="C979" s="175" t="s">
        <v>415</v>
      </c>
      <c r="D979" s="175" t="s">
        <v>416</v>
      </c>
      <c r="E979" s="76">
        <v>1453575000</v>
      </c>
      <c r="F979" s="76">
        <v>1001575000</v>
      </c>
      <c r="G979" s="175" t="s">
        <v>421</v>
      </c>
    </row>
    <row r="980" spans="1:7" ht="24.75" hidden="1" customHeight="1" x14ac:dyDescent="0.2">
      <c r="A980" s="560"/>
      <c r="B980" s="175" t="s">
        <v>353</v>
      </c>
      <c r="C980" s="175" t="s">
        <v>417</v>
      </c>
      <c r="D980" s="175" t="s">
        <v>418</v>
      </c>
      <c r="E980" s="76">
        <v>483246000</v>
      </c>
      <c r="F980" s="76">
        <v>344744634</v>
      </c>
      <c r="G980" s="175" t="s">
        <v>421</v>
      </c>
    </row>
    <row r="981" spans="1:7" ht="24.75" hidden="1" customHeight="1" x14ac:dyDescent="0.2">
      <c r="A981" s="560"/>
      <c r="B981" s="567" t="s">
        <v>357</v>
      </c>
      <c r="C981" s="567" t="s">
        <v>419</v>
      </c>
      <c r="D981" s="175" t="s">
        <v>420</v>
      </c>
      <c r="E981" s="76">
        <v>1294148000</v>
      </c>
      <c r="F981" s="76">
        <v>1137979000</v>
      </c>
      <c r="G981" s="175" t="s">
        <v>421</v>
      </c>
    </row>
    <row r="982" spans="1:7" ht="24.75" hidden="1" customHeight="1" x14ac:dyDescent="0.2">
      <c r="A982" s="516"/>
      <c r="B982" s="567"/>
      <c r="C982" s="567"/>
      <c r="D982" s="175" t="s">
        <v>308</v>
      </c>
      <c r="E982" s="76">
        <v>528678000</v>
      </c>
      <c r="F982" s="76">
        <v>516118000</v>
      </c>
      <c r="G982" s="175" t="s">
        <v>421</v>
      </c>
    </row>
    <row r="983" spans="1:7" ht="24.75" hidden="1" customHeight="1" x14ac:dyDescent="0.2">
      <c r="A983" s="559" t="s">
        <v>139</v>
      </c>
      <c r="B983" s="567" t="s">
        <v>342</v>
      </c>
      <c r="C983" s="567" t="s">
        <v>411</v>
      </c>
      <c r="D983" s="175" t="s">
        <v>304</v>
      </c>
      <c r="E983" s="76">
        <v>837335614</v>
      </c>
      <c r="F983" s="76">
        <v>664703857</v>
      </c>
      <c r="G983" s="175" t="s">
        <v>421</v>
      </c>
    </row>
    <row r="984" spans="1:7" ht="24.75" hidden="1" customHeight="1" x14ac:dyDescent="0.2">
      <c r="A984" s="560"/>
      <c r="B984" s="567"/>
      <c r="C984" s="567"/>
      <c r="D984" s="175" t="s">
        <v>314</v>
      </c>
      <c r="E984" s="76">
        <v>1262994000</v>
      </c>
      <c r="F984" s="76">
        <v>1215729000</v>
      </c>
      <c r="G984" s="175" t="s">
        <v>421</v>
      </c>
    </row>
    <row r="985" spans="1:7" ht="24.75" hidden="1" customHeight="1" x14ac:dyDescent="0.2">
      <c r="A985" s="560"/>
      <c r="B985" s="567"/>
      <c r="C985" s="567"/>
      <c r="D985" s="175" t="s">
        <v>414</v>
      </c>
      <c r="E985" s="76">
        <v>2636043000</v>
      </c>
      <c r="F985" s="76">
        <v>1947784150</v>
      </c>
      <c r="G985" s="175" t="s">
        <v>421</v>
      </c>
    </row>
    <row r="986" spans="1:7" ht="24.75" hidden="1" customHeight="1" x14ac:dyDescent="0.2">
      <c r="A986" s="560"/>
      <c r="B986" s="175" t="s">
        <v>349</v>
      </c>
      <c r="C986" s="175" t="s">
        <v>415</v>
      </c>
      <c r="D986" s="175" t="s">
        <v>416</v>
      </c>
      <c r="E986" s="76">
        <v>1453575000</v>
      </c>
      <c r="F986" s="76">
        <v>1001575000</v>
      </c>
      <c r="G986" s="175" t="s">
        <v>421</v>
      </c>
    </row>
    <row r="987" spans="1:7" ht="24.75" hidden="1" customHeight="1" x14ac:dyDescent="0.2">
      <c r="A987" s="560"/>
      <c r="B987" s="175" t="s">
        <v>353</v>
      </c>
      <c r="C987" s="175" t="s">
        <v>417</v>
      </c>
      <c r="D987" s="175" t="s">
        <v>418</v>
      </c>
      <c r="E987" s="76">
        <v>483246000</v>
      </c>
      <c r="F987" s="76">
        <v>353986578</v>
      </c>
      <c r="G987" s="175" t="s">
        <v>421</v>
      </c>
    </row>
    <row r="988" spans="1:7" ht="24.75" hidden="1" customHeight="1" x14ac:dyDescent="0.2">
      <c r="A988" s="560"/>
      <c r="B988" s="567" t="s">
        <v>357</v>
      </c>
      <c r="C988" s="567" t="s">
        <v>419</v>
      </c>
      <c r="D988" s="175" t="s">
        <v>420</v>
      </c>
      <c r="E988" s="76">
        <v>1294148000</v>
      </c>
      <c r="F988" s="76">
        <v>1162045000</v>
      </c>
      <c r="G988" s="175" t="s">
        <v>421</v>
      </c>
    </row>
    <row r="989" spans="1:7" ht="24.75" hidden="1" customHeight="1" x14ac:dyDescent="0.2">
      <c r="A989" s="516"/>
      <c r="B989" s="567"/>
      <c r="C989" s="567"/>
      <c r="D989" s="175" t="s">
        <v>308</v>
      </c>
      <c r="E989" s="76">
        <v>528678000</v>
      </c>
      <c r="F989" s="76">
        <v>516118000</v>
      </c>
      <c r="G989" s="175" t="s">
        <v>421</v>
      </c>
    </row>
    <row r="990" spans="1:7" ht="24.75" hidden="1" customHeight="1" x14ac:dyDescent="0.2">
      <c r="A990" s="559" t="s">
        <v>140</v>
      </c>
      <c r="B990" s="567" t="s">
        <v>342</v>
      </c>
      <c r="C990" s="567" t="s">
        <v>411</v>
      </c>
      <c r="D990" s="175" t="s">
        <v>304</v>
      </c>
      <c r="E990" s="76">
        <v>837335614</v>
      </c>
      <c r="F990" s="76">
        <v>871181753</v>
      </c>
      <c r="G990" s="175" t="s">
        <v>421</v>
      </c>
    </row>
    <row r="991" spans="1:7" ht="24.75" hidden="1" customHeight="1" x14ac:dyDescent="0.2">
      <c r="A991" s="560"/>
      <c r="B991" s="567"/>
      <c r="C991" s="567"/>
      <c r="D991" s="175" t="s">
        <v>314</v>
      </c>
      <c r="E991" s="76">
        <v>1262994000</v>
      </c>
      <c r="F991" s="76">
        <v>1215729000</v>
      </c>
      <c r="G991" s="175" t="s">
        <v>421</v>
      </c>
    </row>
    <row r="992" spans="1:7" ht="24.75" hidden="1" customHeight="1" x14ac:dyDescent="0.2">
      <c r="A992" s="560"/>
      <c r="B992" s="567"/>
      <c r="C992" s="567"/>
      <c r="D992" s="175" t="s">
        <v>414</v>
      </c>
      <c r="E992" s="76">
        <v>2636043000</v>
      </c>
      <c r="F992" s="76">
        <v>2192515714</v>
      </c>
      <c r="G992" s="175" t="s">
        <v>421</v>
      </c>
    </row>
    <row r="993" spans="1:7" ht="24.75" hidden="1" customHeight="1" x14ac:dyDescent="0.2">
      <c r="A993" s="560"/>
      <c r="B993" s="175" t="s">
        <v>349</v>
      </c>
      <c r="C993" s="175" t="s">
        <v>415</v>
      </c>
      <c r="D993" s="175" t="s">
        <v>416</v>
      </c>
      <c r="E993" s="76">
        <v>1453575000</v>
      </c>
      <c r="F993" s="76">
        <v>1151575000</v>
      </c>
      <c r="G993" s="175" t="s">
        <v>421</v>
      </c>
    </row>
    <row r="994" spans="1:7" ht="24.75" hidden="1" customHeight="1" x14ac:dyDescent="0.2">
      <c r="A994" s="560"/>
      <c r="B994" s="175" t="s">
        <v>353</v>
      </c>
      <c r="C994" s="175" t="s">
        <v>417</v>
      </c>
      <c r="D994" s="175" t="s">
        <v>418</v>
      </c>
      <c r="E994" s="76">
        <v>483246000</v>
      </c>
      <c r="F994" s="76">
        <v>455766292</v>
      </c>
      <c r="G994" s="175" t="s">
        <v>421</v>
      </c>
    </row>
    <row r="995" spans="1:7" ht="24.75" hidden="1" customHeight="1" x14ac:dyDescent="0.2">
      <c r="A995" s="560"/>
      <c r="B995" s="567" t="s">
        <v>357</v>
      </c>
      <c r="C995" s="567" t="s">
        <v>419</v>
      </c>
      <c r="D995" s="175" t="s">
        <v>420</v>
      </c>
      <c r="E995" s="76">
        <v>1294148000</v>
      </c>
      <c r="F995" s="76">
        <v>1162045000</v>
      </c>
      <c r="G995" s="175" t="s">
        <v>421</v>
      </c>
    </row>
    <row r="996" spans="1:7" ht="24.75" hidden="1" customHeight="1" x14ac:dyDescent="0.2">
      <c r="A996" s="516"/>
      <c r="B996" s="567"/>
      <c r="C996" s="567"/>
      <c r="D996" s="175" t="s">
        <v>308</v>
      </c>
      <c r="E996" s="76">
        <v>528678000</v>
      </c>
      <c r="F996" s="76">
        <v>516118000</v>
      </c>
      <c r="G996" s="175" t="s">
        <v>421</v>
      </c>
    </row>
    <row r="997" spans="1:7" ht="24.75" hidden="1" customHeight="1" x14ac:dyDescent="0.2">
      <c r="A997" s="559" t="s">
        <v>128</v>
      </c>
      <c r="B997" s="567" t="s">
        <v>342</v>
      </c>
      <c r="C997" s="567" t="s">
        <v>411</v>
      </c>
      <c r="D997" s="175" t="s">
        <v>304</v>
      </c>
      <c r="E997" s="76">
        <v>837335614</v>
      </c>
      <c r="F997" s="76">
        <v>1496588620</v>
      </c>
      <c r="G997" s="175" t="s">
        <v>421</v>
      </c>
    </row>
    <row r="998" spans="1:7" ht="24.75" hidden="1" customHeight="1" x14ac:dyDescent="0.2">
      <c r="A998" s="560"/>
      <c r="B998" s="567"/>
      <c r="C998" s="567"/>
      <c r="D998" s="175" t="s">
        <v>314</v>
      </c>
      <c r="E998" s="76">
        <v>1262994000</v>
      </c>
      <c r="F998" s="76">
        <v>1338348800</v>
      </c>
      <c r="G998" s="175" t="s">
        <v>421</v>
      </c>
    </row>
    <row r="999" spans="1:7" ht="24.75" hidden="1" customHeight="1" x14ac:dyDescent="0.2">
      <c r="A999" s="560"/>
      <c r="B999" s="567"/>
      <c r="C999" s="567"/>
      <c r="D999" s="175" t="s">
        <v>414</v>
      </c>
      <c r="E999" s="76">
        <v>2636043000</v>
      </c>
      <c r="F999" s="76">
        <v>2682109323</v>
      </c>
      <c r="G999" s="175" t="s">
        <v>421</v>
      </c>
    </row>
    <row r="1000" spans="1:7" ht="24.75" hidden="1" customHeight="1" x14ac:dyDescent="0.2">
      <c r="A1000" s="560"/>
      <c r="B1000" s="175" t="s">
        <v>349</v>
      </c>
      <c r="C1000" s="175" t="s">
        <v>415</v>
      </c>
      <c r="D1000" s="175" t="s">
        <v>416</v>
      </c>
      <c r="E1000" s="76">
        <v>1453575000</v>
      </c>
      <c r="F1000" s="76">
        <v>1587021667</v>
      </c>
      <c r="G1000" s="175" t="s">
        <v>421</v>
      </c>
    </row>
    <row r="1001" spans="1:7" ht="24.75" hidden="1" customHeight="1" x14ac:dyDescent="0.2">
      <c r="A1001" s="560"/>
      <c r="B1001" s="175" t="s">
        <v>353</v>
      </c>
      <c r="C1001" s="175" t="s">
        <v>417</v>
      </c>
      <c r="D1001" s="175" t="s">
        <v>418</v>
      </c>
      <c r="E1001" s="76">
        <v>483246000</v>
      </c>
      <c r="F1001" s="76">
        <v>703847144</v>
      </c>
      <c r="G1001" s="175" t="s">
        <v>421</v>
      </c>
    </row>
    <row r="1002" spans="1:7" ht="24.75" hidden="1" customHeight="1" x14ac:dyDescent="0.2">
      <c r="A1002" s="560"/>
      <c r="B1002" s="567" t="s">
        <v>357</v>
      </c>
      <c r="C1002" s="567" t="s">
        <v>419</v>
      </c>
      <c r="D1002" s="175" t="s">
        <v>420</v>
      </c>
      <c r="E1002" s="76">
        <v>1294148000</v>
      </c>
      <c r="F1002" s="76">
        <v>1272316799</v>
      </c>
      <c r="G1002" s="175" t="s">
        <v>421</v>
      </c>
    </row>
    <row r="1003" spans="1:7" ht="24.75" hidden="1" customHeight="1" x14ac:dyDescent="0.2">
      <c r="A1003" s="516"/>
      <c r="B1003" s="567"/>
      <c r="C1003" s="567"/>
      <c r="D1003" s="175" t="s">
        <v>308</v>
      </c>
      <c r="E1003" s="76">
        <v>528678000</v>
      </c>
      <c r="F1003" s="76">
        <v>556933365</v>
      </c>
      <c r="G1003" s="175" t="s">
        <v>421</v>
      </c>
    </row>
    <row r="1004" spans="1:7" ht="24.75" hidden="1" customHeight="1" x14ac:dyDescent="0.2">
      <c r="A1004" s="559" t="s">
        <v>129</v>
      </c>
      <c r="B1004" s="567" t="s">
        <v>342</v>
      </c>
      <c r="C1004" s="567" t="s">
        <v>411</v>
      </c>
      <c r="D1004" s="175" t="s">
        <v>304</v>
      </c>
      <c r="E1004" s="76">
        <v>1534521300</v>
      </c>
      <c r="F1004" s="76">
        <v>898822087</v>
      </c>
      <c r="G1004" s="175" t="s">
        <v>421</v>
      </c>
    </row>
    <row r="1005" spans="1:7" ht="24.75" hidden="1" customHeight="1" x14ac:dyDescent="0.2">
      <c r="A1005" s="560"/>
      <c r="B1005" s="567"/>
      <c r="C1005" s="567"/>
      <c r="D1005" s="175" t="s">
        <v>314</v>
      </c>
      <c r="E1005" s="76">
        <v>1389997314</v>
      </c>
      <c r="F1005" s="76">
        <v>1256382667</v>
      </c>
      <c r="G1005" s="175" t="s">
        <v>421</v>
      </c>
    </row>
    <row r="1006" spans="1:7" ht="24.75" hidden="1" customHeight="1" x14ac:dyDescent="0.2">
      <c r="A1006" s="560"/>
      <c r="B1006" s="567"/>
      <c r="C1006" s="567"/>
      <c r="D1006" s="175" t="s">
        <v>414</v>
      </c>
      <c r="E1006" s="76">
        <v>2930900316</v>
      </c>
      <c r="F1006" s="76">
        <v>2205742548</v>
      </c>
      <c r="G1006" s="175" t="s">
        <v>421</v>
      </c>
    </row>
    <row r="1007" spans="1:7" ht="24.75" hidden="1" customHeight="1" x14ac:dyDescent="0.2">
      <c r="A1007" s="560"/>
      <c r="B1007" s="175" t="s">
        <v>349</v>
      </c>
      <c r="C1007" s="175" t="s">
        <v>415</v>
      </c>
      <c r="D1007" s="175" t="s">
        <v>416</v>
      </c>
      <c r="E1007" s="76">
        <v>1587481000.0000007</v>
      </c>
      <c r="F1007" s="76">
        <v>1151575000</v>
      </c>
      <c r="G1007" s="175" t="s">
        <v>421</v>
      </c>
    </row>
    <row r="1008" spans="1:7" ht="24.75" hidden="1" customHeight="1" x14ac:dyDescent="0.2">
      <c r="A1008" s="560"/>
      <c r="B1008" s="175" t="s">
        <v>353</v>
      </c>
      <c r="C1008" s="175" t="s">
        <v>417</v>
      </c>
      <c r="D1008" s="175" t="s">
        <v>418</v>
      </c>
      <c r="E1008" s="76">
        <v>749389999.99999988</v>
      </c>
      <c r="F1008" s="76">
        <v>492530292</v>
      </c>
      <c r="G1008" s="175" t="s">
        <v>421</v>
      </c>
    </row>
    <row r="1009" spans="1:7" ht="24.75" hidden="1" customHeight="1" x14ac:dyDescent="0.2">
      <c r="A1009" s="560"/>
      <c r="B1009" s="567" t="s">
        <v>357</v>
      </c>
      <c r="C1009" s="567" t="s">
        <v>419</v>
      </c>
      <c r="D1009" s="175" t="s">
        <v>420</v>
      </c>
      <c r="E1009" s="76">
        <v>1294147999.9999998</v>
      </c>
      <c r="F1009" s="76">
        <v>1186640500</v>
      </c>
      <c r="G1009" s="175" t="s">
        <v>421</v>
      </c>
    </row>
    <row r="1010" spans="1:7" ht="24.75" hidden="1" customHeight="1" x14ac:dyDescent="0.2">
      <c r="A1010" s="516"/>
      <c r="B1010" s="567"/>
      <c r="C1010" s="567"/>
      <c r="D1010" s="175" t="s">
        <v>308</v>
      </c>
      <c r="E1010" s="76">
        <v>557942070</v>
      </c>
      <c r="F1010" s="76">
        <v>516118000</v>
      </c>
      <c r="G1010" s="175" t="s">
        <v>421</v>
      </c>
    </row>
    <row r="1011" spans="1:7" ht="24.75" hidden="1" customHeight="1" x14ac:dyDescent="0.2">
      <c r="A1011" s="559" t="s">
        <v>130</v>
      </c>
      <c r="B1011" s="567" t="s">
        <v>342</v>
      </c>
      <c r="C1011" s="567" t="s">
        <v>411</v>
      </c>
      <c r="D1011" s="175" t="s">
        <v>304</v>
      </c>
      <c r="E1011" s="76">
        <v>1534521300</v>
      </c>
      <c r="F1011" s="76">
        <v>898822087</v>
      </c>
      <c r="G1011" s="175" t="s">
        <v>421</v>
      </c>
    </row>
    <row r="1012" spans="1:7" ht="24.75" hidden="1" customHeight="1" x14ac:dyDescent="0.2">
      <c r="A1012" s="560"/>
      <c r="B1012" s="567"/>
      <c r="C1012" s="567"/>
      <c r="D1012" s="175" t="s">
        <v>314</v>
      </c>
      <c r="E1012" s="76">
        <v>1389997314</v>
      </c>
      <c r="F1012" s="76">
        <v>1256382667</v>
      </c>
      <c r="G1012" s="175" t="s">
        <v>421</v>
      </c>
    </row>
    <row r="1013" spans="1:7" ht="24.75" hidden="1" customHeight="1" x14ac:dyDescent="0.2">
      <c r="A1013" s="560"/>
      <c r="B1013" s="567"/>
      <c r="C1013" s="567"/>
      <c r="D1013" s="175" t="s">
        <v>414</v>
      </c>
      <c r="E1013" s="76">
        <v>2930900316</v>
      </c>
      <c r="F1013" s="76">
        <v>2205742548</v>
      </c>
      <c r="G1013" s="175" t="s">
        <v>421</v>
      </c>
    </row>
    <row r="1014" spans="1:7" ht="24.75" hidden="1" customHeight="1" x14ac:dyDescent="0.2">
      <c r="A1014" s="560"/>
      <c r="B1014" s="175" t="s">
        <v>349</v>
      </c>
      <c r="C1014" s="175" t="s">
        <v>415</v>
      </c>
      <c r="D1014" s="175" t="s">
        <v>416</v>
      </c>
      <c r="E1014" s="76">
        <v>1587481000.0000007</v>
      </c>
      <c r="F1014" s="76">
        <v>1151575000</v>
      </c>
      <c r="G1014" s="175" t="s">
        <v>421</v>
      </c>
    </row>
    <row r="1015" spans="1:7" ht="24.75" hidden="1" customHeight="1" x14ac:dyDescent="0.2">
      <c r="A1015" s="560"/>
      <c r="B1015" s="175" t="s">
        <v>353</v>
      </c>
      <c r="C1015" s="175" t="s">
        <v>417</v>
      </c>
      <c r="D1015" s="175" t="s">
        <v>418</v>
      </c>
      <c r="E1015" s="76">
        <v>749389999.99999988</v>
      </c>
      <c r="F1015" s="76">
        <v>492530292</v>
      </c>
      <c r="G1015" s="175" t="s">
        <v>421</v>
      </c>
    </row>
    <row r="1016" spans="1:7" ht="24.75" hidden="1" customHeight="1" x14ac:dyDescent="0.2">
      <c r="A1016" s="560"/>
      <c r="B1016" s="567" t="s">
        <v>357</v>
      </c>
      <c r="C1016" s="567" t="s">
        <v>419</v>
      </c>
      <c r="D1016" s="175" t="s">
        <v>420</v>
      </c>
      <c r="E1016" s="76">
        <v>1294147999.9999998</v>
      </c>
      <c r="F1016" s="76">
        <v>1186640500</v>
      </c>
      <c r="G1016" s="175" t="s">
        <v>421</v>
      </c>
    </row>
    <row r="1017" spans="1:7" ht="24.75" hidden="1" customHeight="1" x14ac:dyDescent="0.2">
      <c r="A1017" s="516"/>
      <c r="B1017" s="567"/>
      <c r="C1017" s="567"/>
      <c r="D1017" s="175" t="s">
        <v>308</v>
      </c>
      <c r="E1017" s="76">
        <v>557942070</v>
      </c>
      <c r="F1017" s="76">
        <v>516118000</v>
      </c>
      <c r="G1017" s="175" t="s">
        <v>421</v>
      </c>
    </row>
    <row r="1018" spans="1:7" ht="24.75" hidden="1" customHeight="1" x14ac:dyDescent="0.2">
      <c r="A1018" s="571" t="s">
        <v>131</v>
      </c>
      <c r="B1018" s="567" t="s">
        <v>342</v>
      </c>
      <c r="C1018" s="567" t="s">
        <v>411</v>
      </c>
      <c r="D1018" s="175" t="s">
        <v>304</v>
      </c>
      <c r="E1018" s="76">
        <v>1534521300</v>
      </c>
      <c r="F1018" s="76">
        <v>1496588620</v>
      </c>
      <c r="G1018" s="175" t="s">
        <v>421</v>
      </c>
    </row>
    <row r="1019" spans="1:7" ht="24.75" hidden="1" customHeight="1" x14ac:dyDescent="0.2">
      <c r="A1019" s="572"/>
      <c r="B1019" s="567"/>
      <c r="C1019" s="567"/>
      <c r="D1019" s="175" t="s">
        <v>314</v>
      </c>
      <c r="E1019" s="76">
        <v>1389997314</v>
      </c>
      <c r="F1019" s="76">
        <v>1338348800</v>
      </c>
      <c r="G1019" s="175" t="s">
        <v>421</v>
      </c>
    </row>
    <row r="1020" spans="1:7" ht="24.75" hidden="1" customHeight="1" x14ac:dyDescent="0.2">
      <c r="A1020" s="572"/>
      <c r="B1020" s="567"/>
      <c r="C1020" s="567"/>
      <c r="D1020" s="175" t="s">
        <v>414</v>
      </c>
      <c r="E1020" s="76">
        <v>2930900316</v>
      </c>
      <c r="F1020" s="76">
        <v>2682109323</v>
      </c>
      <c r="G1020" s="175" t="s">
        <v>421</v>
      </c>
    </row>
    <row r="1021" spans="1:7" ht="24.75" hidden="1" customHeight="1" x14ac:dyDescent="0.2">
      <c r="A1021" s="572"/>
      <c r="B1021" s="175" t="s">
        <v>349</v>
      </c>
      <c r="C1021" s="175" t="s">
        <v>415</v>
      </c>
      <c r="D1021" s="175" t="s">
        <v>416</v>
      </c>
      <c r="E1021" s="76">
        <v>1587481000.0000007</v>
      </c>
      <c r="F1021" s="76">
        <v>1587021667</v>
      </c>
      <c r="G1021" s="175" t="s">
        <v>421</v>
      </c>
    </row>
    <row r="1022" spans="1:7" ht="24.75" hidden="1" customHeight="1" x14ac:dyDescent="0.2">
      <c r="A1022" s="572"/>
      <c r="B1022" s="175" t="s">
        <v>353</v>
      </c>
      <c r="C1022" s="175" t="s">
        <v>417</v>
      </c>
      <c r="D1022" s="175" t="s">
        <v>418</v>
      </c>
      <c r="E1022" s="76">
        <v>749389999.99999988</v>
      </c>
      <c r="F1022" s="76">
        <v>703847144</v>
      </c>
      <c r="G1022" s="175" t="s">
        <v>421</v>
      </c>
    </row>
    <row r="1023" spans="1:7" ht="24.75" hidden="1" customHeight="1" x14ac:dyDescent="0.2">
      <c r="A1023" s="572"/>
      <c r="B1023" s="567" t="s">
        <v>357</v>
      </c>
      <c r="C1023" s="567" t="s">
        <v>419</v>
      </c>
      <c r="D1023" s="175" t="s">
        <v>420</v>
      </c>
      <c r="E1023" s="76">
        <v>1294147999.9999998</v>
      </c>
      <c r="F1023" s="76">
        <v>1272316799</v>
      </c>
      <c r="G1023" s="175" t="s">
        <v>421</v>
      </c>
    </row>
    <row r="1024" spans="1:7" ht="24.75" hidden="1" customHeight="1" x14ac:dyDescent="0.2">
      <c r="A1024" s="573"/>
      <c r="B1024" s="567"/>
      <c r="C1024" s="567"/>
      <c r="D1024" s="175" t="s">
        <v>308</v>
      </c>
      <c r="E1024" s="76">
        <v>557942070</v>
      </c>
      <c r="F1024" s="76">
        <v>556933365</v>
      </c>
      <c r="G1024" s="175" t="s">
        <v>421</v>
      </c>
    </row>
    <row r="1025" spans="1:7" ht="24.75" hidden="1" customHeight="1" x14ac:dyDescent="0.2">
      <c r="A1025" s="559" t="s">
        <v>132</v>
      </c>
      <c r="B1025" s="567" t="s">
        <v>342</v>
      </c>
      <c r="C1025" s="567" t="s">
        <v>411</v>
      </c>
      <c r="D1025" s="175" t="s">
        <v>304</v>
      </c>
      <c r="E1025" s="76">
        <v>1534521300</v>
      </c>
      <c r="F1025" s="76">
        <v>1496588620</v>
      </c>
      <c r="G1025" s="175" t="s">
        <v>421</v>
      </c>
    </row>
    <row r="1026" spans="1:7" ht="24.75" hidden="1" customHeight="1" x14ac:dyDescent="0.2">
      <c r="A1026" s="560"/>
      <c r="B1026" s="567"/>
      <c r="C1026" s="567"/>
      <c r="D1026" s="175" t="s">
        <v>314</v>
      </c>
      <c r="E1026" s="76">
        <v>1389997314</v>
      </c>
      <c r="F1026" s="76">
        <v>1338348800</v>
      </c>
      <c r="G1026" s="175" t="s">
        <v>421</v>
      </c>
    </row>
    <row r="1027" spans="1:7" ht="24.75" hidden="1" customHeight="1" x14ac:dyDescent="0.2">
      <c r="A1027" s="560"/>
      <c r="B1027" s="567"/>
      <c r="C1027" s="567"/>
      <c r="D1027" s="175" t="s">
        <v>414</v>
      </c>
      <c r="E1027" s="76">
        <v>2930900316</v>
      </c>
      <c r="F1027" s="76">
        <v>2682109323</v>
      </c>
      <c r="G1027" s="175" t="s">
        <v>421</v>
      </c>
    </row>
    <row r="1028" spans="1:7" ht="24.75" hidden="1" customHeight="1" x14ac:dyDescent="0.2">
      <c r="A1028" s="560"/>
      <c r="B1028" s="175" t="s">
        <v>349</v>
      </c>
      <c r="C1028" s="175" t="s">
        <v>415</v>
      </c>
      <c r="D1028" s="175" t="s">
        <v>416</v>
      </c>
      <c r="E1028" s="76">
        <v>1587481000.0000005</v>
      </c>
      <c r="F1028" s="76">
        <v>1587021667</v>
      </c>
      <c r="G1028" s="175" t="s">
        <v>421</v>
      </c>
    </row>
    <row r="1029" spans="1:7" ht="24.75" hidden="1" customHeight="1" x14ac:dyDescent="0.2">
      <c r="A1029" s="560"/>
      <c r="B1029" s="175" t="s">
        <v>353</v>
      </c>
      <c r="C1029" s="175" t="s">
        <v>417</v>
      </c>
      <c r="D1029" s="175" t="s">
        <v>418</v>
      </c>
      <c r="E1029" s="76">
        <v>749390000</v>
      </c>
      <c r="F1029" s="76">
        <v>703847144</v>
      </c>
      <c r="G1029" s="175" t="s">
        <v>421</v>
      </c>
    </row>
    <row r="1030" spans="1:7" ht="24.75" hidden="1" customHeight="1" x14ac:dyDescent="0.2">
      <c r="A1030" s="560"/>
      <c r="B1030" s="567" t="s">
        <v>357</v>
      </c>
      <c r="C1030" s="567" t="s">
        <v>419</v>
      </c>
      <c r="D1030" s="175" t="s">
        <v>420</v>
      </c>
      <c r="E1030" s="76">
        <v>1294148000</v>
      </c>
      <c r="F1030" s="76">
        <v>1272316799</v>
      </c>
      <c r="G1030" s="175" t="s">
        <v>421</v>
      </c>
    </row>
    <row r="1031" spans="1:7" ht="24.75" hidden="1" customHeight="1" x14ac:dyDescent="0.2">
      <c r="A1031" s="516"/>
      <c r="B1031" s="567"/>
      <c r="C1031" s="567"/>
      <c r="D1031" s="175" t="s">
        <v>308</v>
      </c>
      <c r="E1031" s="76">
        <v>557942070</v>
      </c>
      <c r="F1031" s="76">
        <v>556933365</v>
      </c>
      <c r="G1031" s="175" t="s">
        <v>421</v>
      </c>
    </row>
    <row r="1032" spans="1:7" ht="24.75" hidden="1" customHeight="1" x14ac:dyDescent="0.2">
      <c r="A1032" s="559" t="s">
        <v>133</v>
      </c>
      <c r="B1032" s="567" t="s">
        <v>342</v>
      </c>
      <c r="C1032" s="567" t="s">
        <v>411</v>
      </c>
      <c r="D1032" s="175" t="s">
        <v>304</v>
      </c>
      <c r="E1032" s="112">
        <v>1534521300</v>
      </c>
      <c r="F1032" s="112">
        <v>1496588620</v>
      </c>
      <c r="G1032" s="175" t="s">
        <v>421</v>
      </c>
    </row>
    <row r="1033" spans="1:7" ht="24.75" hidden="1" customHeight="1" x14ac:dyDescent="0.2">
      <c r="A1033" s="560"/>
      <c r="B1033" s="567"/>
      <c r="C1033" s="567"/>
      <c r="D1033" s="175" t="s">
        <v>314</v>
      </c>
      <c r="E1033" s="112">
        <v>1389997314</v>
      </c>
      <c r="F1033" s="112">
        <v>1338348800</v>
      </c>
      <c r="G1033" s="175" t="s">
        <v>421</v>
      </c>
    </row>
    <row r="1034" spans="1:7" ht="24.75" hidden="1" customHeight="1" x14ac:dyDescent="0.2">
      <c r="A1034" s="560"/>
      <c r="B1034" s="567"/>
      <c r="C1034" s="567"/>
      <c r="D1034" s="175" t="s">
        <v>414</v>
      </c>
      <c r="E1034" s="112">
        <v>2930900316</v>
      </c>
      <c r="F1034" s="112">
        <v>2682109323</v>
      </c>
      <c r="G1034" s="175" t="s">
        <v>421</v>
      </c>
    </row>
    <row r="1035" spans="1:7" ht="24.75" hidden="1" customHeight="1" x14ac:dyDescent="0.2">
      <c r="A1035" s="560"/>
      <c r="B1035" s="175" t="s">
        <v>349</v>
      </c>
      <c r="C1035" s="175" t="s">
        <v>415</v>
      </c>
      <c r="D1035" s="175" t="s">
        <v>416</v>
      </c>
      <c r="E1035" s="112">
        <v>1587481000.0000005</v>
      </c>
      <c r="F1035" s="112">
        <v>1587021667</v>
      </c>
      <c r="G1035" s="175" t="s">
        <v>421</v>
      </c>
    </row>
    <row r="1036" spans="1:7" ht="24.75" hidden="1" customHeight="1" x14ac:dyDescent="0.2">
      <c r="A1036" s="560"/>
      <c r="B1036" s="175" t="s">
        <v>353</v>
      </c>
      <c r="C1036" s="175" t="s">
        <v>417</v>
      </c>
      <c r="D1036" s="175" t="s">
        <v>418</v>
      </c>
      <c r="E1036" s="112">
        <v>749390000</v>
      </c>
      <c r="F1036" s="112">
        <v>703847144</v>
      </c>
      <c r="G1036" s="175" t="s">
        <v>421</v>
      </c>
    </row>
    <row r="1037" spans="1:7" ht="24.75" hidden="1" customHeight="1" x14ac:dyDescent="0.2">
      <c r="A1037" s="560"/>
      <c r="B1037" s="567" t="s">
        <v>357</v>
      </c>
      <c r="C1037" s="567" t="s">
        <v>419</v>
      </c>
      <c r="D1037" s="175" t="s">
        <v>420</v>
      </c>
      <c r="E1037" s="112">
        <v>1294148000</v>
      </c>
      <c r="F1037" s="112">
        <v>1272316799</v>
      </c>
      <c r="G1037" s="175" t="s">
        <v>421</v>
      </c>
    </row>
    <row r="1038" spans="1:7" ht="24.75" hidden="1" customHeight="1" x14ac:dyDescent="0.2">
      <c r="A1038" s="516"/>
      <c r="B1038" s="567"/>
      <c r="C1038" s="567"/>
      <c r="D1038" s="175" t="s">
        <v>308</v>
      </c>
      <c r="E1038" s="112">
        <v>557942070</v>
      </c>
      <c r="F1038" s="112">
        <v>556933365</v>
      </c>
      <c r="G1038" s="175" t="s">
        <v>421</v>
      </c>
    </row>
    <row r="1039" spans="1:7" ht="24.75" customHeight="1" x14ac:dyDescent="0.2">
      <c r="A1039" s="217"/>
    </row>
    <row r="1040" spans="1:7" ht="24.75" customHeight="1" x14ac:dyDescent="0.2">
      <c r="A1040" s="561" t="s">
        <v>422</v>
      </c>
      <c r="B1040" s="562"/>
      <c r="C1040" s="562"/>
      <c r="D1040" s="562"/>
      <c r="E1040" s="562"/>
      <c r="F1040" s="562"/>
      <c r="G1040" s="563"/>
    </row>
    <row r="1041" spans="1:7" ht="24.75" customHeight="1" x14ac:dyDescent="0.2">
      <c r="A1041" s="74" t="s">
        <v>61</v>
      </c>
      <c r="B1041" s="29" t="s">
        <v>144</v>
      </c>
      <c r="C1041" s="29" t="s">
        <v>145</v>
      </c>
      <c r="D1041" s="29" t="s">
        <v>164</v>
      </c>
      <c r="E1041" s="29" t="s">
        <v>423</v>
      </c>
      <c r="F1041" s="29" t="s">
        <v>424</v>
      </c>
      <c r="G1041" s="29" t="s">
        <v>167</v>
      </c>
    </row>
    <row r="1042" spans="1:7" ht="24.75" hidden="1" customHeight="1" x14ac:dyDescent="0.2">
      <c r="A1042" s="559" t="s">
        <v>135</v>
      </c>
      <c r="B1042" s="567" t="s">
        <v>342</v>
      </c>
      <c r="C1042" s="567" t="s">
        <v>411</v>
      </c>
      <c r="D1042" s="175" t="s">
        <v>304</v>
      </c>
      <c r="E1042" s="76">
        <v>2219609000</v>
      </c>
      <c r="F1042" s="76">
        <v>665963000</v>
      </c>
      <c r="G1042" s="175" t="s">
        <v>421</v>
      </c>
    </row>
    <row r="1043" spans="1:7" ht="24.75" hidden="1" customHeight="1" x14ac:dyDescent="0.2">
      <c r="A1043" s="560"/>
      <c r="B1043" s="567"/>
      <c r="C1043" s="567"/>
      <c r="D1043" s="175" t="s">
        <v>314</v>
      </c>
      <c r="E1043" s="76">
        <v>6130432000</v>
      </c>
      <c r="F1043" s="76">
        <v>1835843000</v>
      </c>
      <c r="G1043" s="175" t="s">
        <v>421</v>
      </c>
    </row>
    <row r="1044" spans="1:7" ht="24.75" hidden="1" customHeight="1" x14ac:dyDescent="0.2">
      <c r="A1044" s="560"/>
      <c r="B1044" s="567"/>
      <c r="C1044" s="567"/>
      <c r="D1044" s="175" t="s">
        <v>414</v>
      </c>
      <c r="E1044" s="76">
        <v>3364237000</v>
      </c>
      <c r="F1044" s="76">
        <v>2534638908</v>
      </c>
      <c r="G1044" s="175" t="s">
        <v>421</v>
      </c>
    </row>
    <row r="1045" spans="1:7" ht="24.75" hidden="1" customHeight="1" x14ac:dyDescent="0.2">
      <c r="A1045" s="560"/>
      <c r="B1045" s="175" t="s">
        <v>349</v>
      </c>
      <c r="C1045" s="175" t="s">
        <v>415</v>
      </c>
      <c r="D1045" s="175" t="s">
        <v>416</v>
      </c>
      <c r="E1045" s="76">
        <v>1617058000</v>
      </c>
      <c r="F1045" s="76">
        <v>1097940000</v>
      </c>
      <c r="G1045" s="175" t="s">
        <v>421</v>
      </c>
    </row>
    <row r="1046" spans="1:7" ht="24.75" hidden="1" customHeight="1" x14ac:dyDescent="0.2">
      <c r="A1046" s="560"/>
      <c r="B1046" s="175" t="s">
        <v>353</v>
      </c>
      <c r="C1046" s="175" t="s">
        <v>417</v>
      </c>
      <c r="D1046" s="175" t="s">
        <v>418</v>
      </c>
      <c r="E1046" s="76">
        <v>843232000</v>
      </c>
      <c r="F1046" s="76">
        <v>455184000</v>
      </c>
      <c r="G1046" s="175" t="s">
        <v>421</v>
      </c>
    </row>
    <row r="1047" spans="1:7" ht="24.75" hidden="1" customHeight="1" x14ac:dyDescent="0.2">
      <c r="A1047" s="560"/>
      <c r="B1047" s="567" t="s">
        <v>357</v>
      </c>
      <c r="C1047" s="567" t="s">
        <v>419</v>
      </c>
      <c r="D1047" s="175" t="s">
        <v>420</v>
      </c>
      <c r="E1047" s="76">
        <v>1568833000</v>
      </c>
      <c r="F1047" s="76">
        <v>1487818000</v>
      </c>
      <c r="G1047" s="175" t="s">
        <v>421</v>
      </c>
    </row>
    <row r="1048" spans="1:7" ht="24.75" hidden="1" customHeight="1" x14ac:dyDescent="0.2">
      <c r="A1048" s="516"/>
      <c r="B1048" s="567"/>
      <c r="C1048" s="567"/>
      <c r="D1048" s="175" t="s">
        <v>308</v>
      </c>
      <c r="E1048" s="76">
        <v>725040000</v>
      </c>
      <c r="F1048" s="76">
        <v>585413000</v>
      </c>
      <c r="G1048" s="175" t="s">
        <v>421</v>
      </c>
    </row>
    <row r="1049" spans="1:7" ht="24.75" hidden="1" customHeight="1" x14ac:dyDescent="0.2">
      <c r="A1049" s="559" t="s">
        <v>136</v>
      </c>
      <c r="B1049" s="567" t="s">
        <v>342</v>
      </c>
      <c r="C1049" s="567" t="s">
        <v>411</v>
      </c>
      <c r="D1049" s="175" t="s">
        <v>304</v>
      </c>
      <c r="E1049" s="76">
        <v>2219609000</v>
      </c>
      <c r="F1049" s="112">
        <v>0</v>
      </c>
      <c r="G1049" s="175" t="s">
        <v>421</v>
      </c>
    </row>
    <row r="1050" spans="1:7" ht="24.75" hidden="1" customHeight="1" x14ac:dyDescent="0.2">
      <c r="A1050" s="560"/>
      <c r="B1050" s="567"/>
      <c r="C1050" s="567"/>
      <c r="D1050" s="175" t="s">
        <v>314</v>
      </c>
      <c r="E1050" s="76">
        <v>6130432000</v>
      </c>
      <c r="F1050" s="112">
        <v>0</v>
      </c>
      <c r="G1050" s="175" t="s">
        <v>421</v>
      </c>
    </row>
    <row r="1051" spans="1:7" ht="24.75" hidden="1" customHeight="1" x14ac:dyDescent="0.2">
      <c r="A1051" s="560"/>
      <c r="B1051" s="567"/>
      <c r="C1051" s="567"/>
      <c r="D1051" s="175" t="s">
        <v>414</v>
      </c>
      <c r="E1051" s="76">
        <v>3364237000</v>
      </c>
      <c r="F1051" s="112">
        <v>0</v>
      </c>
      <c r="G1051" s="175" t="s">
        <v>421</v>
      </c>
    </row>
    <row r="1052" spans="1:7" ht="24.75" hidden="1" customHeight="1" x14ac:dyDescent="0.2">
      <c r="A1052" s="560"/>
      <c r="B1052" s="175" t="s">
        <v>349</v>
      </c>
      <c r="C1052" s="175" t="s">
        <v>415</v>
      </c>
      <c r="D1052" s="175" t="s">
        <v>416</v>
      </c>
      <c r="E1052" s="76">
        <v>1617058000</v>
      </c>
      <c r="F1052" s="112">
        <v>0</v>
      </c>
      <c r="G1052" s="175" t="s">
        <v>421</v>
      </c>
    </row>
    <row r="1053" spans="1:7" ht="24.75" hidden="1" customHeight="1" x14ac:dyDescent="0.2">
      <c r="A1053" s="560"/>
      <c r="B1053" s="175" t="s">
        <v>353</v>
      </c>
      <c r="C1053" s="175" t="s">
        <v>417</v>
      </c>
      <c r="D1053" s="175" t="s">
        <v>418</v>
      </c>
      <c r="E1053" s="76">
        <v>843232000</v>
      </c>
      <c r="F1053" s="112">
        <v>0</v>
      </c>
      <c r="G1053" s="175" t="s">
        <v>421</v>
      </c>
    </row>
    <row r="1054" spans="1:7" ht="24.75" hidden="1" customHeight="1" x14ac:dyDescent="0.2">
      <c r="A1054" s="560"/>
      <c r="B1054" s="567" t="s">
        <v>357</v>
      </c>
      <c r="C1054" s="567" t="s">
        <v>419</v>
      </c>
      <c r="D1054" s="175" t="s">
        <v>420</v>
      </c>
      <c r="E1054" s="76">
        <v>1568833000</v>
      </c>
      <c r="F1054" s="112">
        <v>0</v>
      </c>
      <c r="G1054" s="175" t="s">
        <v>421</v>
      </c>
    </row>
    <row r="1055" spans="1:7" ht="24.75" hidden="1" customHeight="1" x14ac:dyDescent="0.2">
      <c r="A1055" s="516"/>
      <c r="B1055" s="567"/>
      <c r="C1055" s="567"/>
      <c r="D1055" s="175" t="s">
        <v>308</v>
      </c>
      <c r="E1055" s="76">
        <v>725040000</v>
      </c>
      <c r="F1055" s="112">
        <v>0</v>
      </c>
      <c r="G1055" s="175" t="s">
        <v>421</v>
      </c>
    </row>
    <row r="1056" spans="1:7" ht="24.75" hidden="1" customHeight="1" x14ac:dyDescent="0.2">
      <c r="A1056" s="559" t="s">
        <v>137</v>
      </c>
      <c r="B1056" s="567" t="s">
        <v>342</v>
      </c>
      <c r="C1056" s="567" t="s">
        <v>411</v>
      </c>
      <c r="D1056" s="175" t="s">
        <v>304</v>
      </c>
      <c r="E1056" s="76">
        <v>2140738600</v>
      </c>
      <c r="F1056" s="112">
        <v>0</v>
      </c>
      <c r="G1056" s="175" t="s">
        <v>421</v>
      </c>
    </row>
    <row r="1057" spans="1:7" ht="24.75" hidden="1" customHeight="1" x14ac:dyDescent="0.2">
      <c r="A1057" s="560"/>
      <c r="B1057" s="567"/>
      <c r="C1057" s="567"/>
      <c r="D1057" s="175" t="s">
        <v>314</v>
      </c>
      <c r="E1057" s="76">
        <v>5991849849</v>
      </c>
      <c r="F1057" s="112">
        <v>0</v>
      </c>
      <c r="G1057" s="175" t="s">
        <v>421</v>
      </c>
    </row>
    <row r="1058" spans="1:7" ht="24.75" hidden="1" customHeight="1" x14ac:dyDescent="0.2">
      <c r="A1058" s="560"/>
      <c r="B1058" s="567"/>
      <c r="C1058" s="567"/>
      <c r="D1058" s="175" t="s">
        <v>414</v>
      </c>
      <c r="E1058" s="76">
        <v>4010222109</v>
      </c>
      <c r="F1058" s="112">
        <v>50000000</v>
      </c>
      <c r="G1058" s="175" t="s">
        <v>421</v>
      </c>
    </row>
    <row r="1059" spans="1:7" ht="24.75" hidden="1" customHeight="1" x14ac:dyDescent="0.2">
      <c r="A1059" s="560"/>
      <c r="B1059" s="175" t="s">
        <v>349</v>
      </c>
      <c r="C1059" s="175" t="s">
        <v>415</v>
      </c>
      <c r="D1059" s="175" t="s">
        <v>416</v>
      </c>
      <c r="E1059" s="76">
        <v>1908372100</v>
      </c>
      <c r="F1059" s="112">
        <v>0</v>
      </c>
      <c r="G1059" s="175" t="s">
        <v>421</v>
      </c>
    </row>
    <row r="1060" spans="1:7" ht="24.75" hidden="1" customHeight="1" x14ac:dyDescent="0.2">
      <c r="A1060" s="560"/>
      <c r="B1060" s="175" t="s">
        <v>353</v>
      </c>
      <c r="C1060" s="175" t="s">
        <v>417</v>
      </c>
      <c r="D1060" s="175" t="s">
        <v>418</v>
      </c>
      <c r="E1060" s="76">
        <v>1053886300</v>
      </c>
      <c r="F1060" s="112">
        <v>0</v>
      </c>
      <c r="G1060" s="175" t="s">
        <v>421</v>
      </c>
    </row>
    <row r="1061" spans="1:7" ht="24.75" hidden="1" customHeight="1" x14ac:dyDescent="0.2">
      <c r="A1061" s="560"/>
      <c r="B1061" s="567" t="s">
        <v>357</v>
      </c>
      <c r="C1061" s="567" t="s">
        <v>419</v>
      </c>
      <c r="D1061" s="175" t="s">
        <v>420</v>
      </c>
      <c r="E1061" s="76">
        <v>2038137898</v>
      </c>
      <c r="F1061" s="112">
        <v>0</v>
      </c>
      <c r="G1061" s="175" t="s">
        <v>421</v>
      </c>
    </row>
    <row r="1062" spans="1:7" ht="24.75" hidden="1" customHeight="1" x14ac:dyDescent="0.2">
      <c r="A1062" s="516"/>
      <c r="B1062" s="567"/>
      <c r="C1062" s="567"/>
      <c r="D1062" s="175" t="s">
        <v>308</v>
      </c>
      <c r="E1062" s="76">
        <v>664063000</v>
      </c>
      <c r="F1062" s="112">
        <v>0</v>
      </c>
      <c r="G1062" s="175" t="s">
        <v>421</v>
      </c>
    </row>
    <row r="1063" spans="1:7" ht="24.75" hidden="1" customHeight="1" x14ac:dyDescent="0.2">
      <c r="A1063" s="559" t="s">
        <v>138</v>
      </c>
      <c r="B1063" s="567" t="s">
        <v>342</v>
      </c>
      <c r="C1063" s="567" t="s">
        <v>411</v>
      </c>
      <c r="D1063" s="175" t="s">
        <v>304</v>
      </c>
      <c r="E1063" s="76">
        <v>2140738600</v>
      </c>
      <c r="F1063" s="76">
        <v>0</v>
      </c>
      <c r="G1063" s="175" t="s">
        <v>421</v>
      </c>
    </row>
    <row r="1064" spans="1:7" ht="24.75" hidden="1" customHeight="1" x14ac:dyDescent="0.2">
      <c r="A1064" s="560"/>
      <c r="B1064" s="567"/>
      <c r="C1064" s="567"/>
      <c r="D1064" s="175" t="s">
        <v>314</v>
      </c>
      <c r="E1064" s="76">
        <v>5991849849</v>
      </c>
      <c r="F1064" s="76">
        <v>0</v>
      </c>
      <c r="G1064" s="175" t="s">
        <v>421</v>
      </c>
    </row>
    <row r="1065" spans="1:7" ht="24.75" hidden="1" customHeight="1" x14ac:dyDescent="0.2">
      <c r="A1065" s="560"/>
      <c r="B1065" s="567"/>
      <c r="C1065" s="567"/>
      <c r="D1065" s="175" t="s">
        <v>414</v>
      </c>
      <c r="E1065" s="76">
        <v>4010222109</v>
      </c>
      <c r="F1065" s="76">
        <v>0</v>
      </c>
      <c r="G1065" s="175" t="s">
        <v>421</v>
      </c>
    </row>
    <row r="1066" spans="1:7" ht="24.75" hidden="1" customHeight="1" x14ac:dyDescent="0.2">
      <c r="A1066" s="560"/>
      <c r="B1066" s="175" t="s">
        <v>349</v>
      </c>
      <c r="C1066" s="175" t="s">
        <v>415</v>
      </c>
      <c r="D1066" s="175" t="s">
        <v>416</v>
      </c>
      <c r="E1066" s="76">
        <v>1908372100</v>
      </c>
      <c r="F1066" s="76">
        <v>0</v>
      </c>
      <c r="G1066" s="175" t="s">
        <v>421</v>
      </c>
    </row>
    <row r="1067" spans="1:7" ht="24.75" hidden="1" customHeight="1" x14ac:dyDescent="0.2">
      <c r="A1067" s="560"/>
      <c r="B1067" s="175" t="s">
        <v>353</v>
      </c>
      <c r="C1067" s="175" t="s">
        <v>417</v>
      </c>
      <c r="D1067" s="175" t="s">
        <v>418</v>
      </c>
      <c r="E1067" s="76">
        <v>1053886300</v>
      </c>
      <c r="F1067" s="76">
        <v>0</v>
      </c>
      <c r="G1067" s="175" t="s">
        <v>421</v>
      </c>
    </row>
    <row r="1068" spans="1:7" ht="24.75" hidden="1" customHeight="1" x14ac:dyDescent="0.2">
      <c r="A1068" s="560"/>
      <c r="B1068" s="567" t="s">
        <v>357</v>
      </c>
      <c r="C1068" s="567" t="s">
        <v>419</v>
      </c>
      <c r="D1068" s="175" t="s">
        <v>420</v>
      </c>
      <c r="E1068" s="76">
        <v>2038137898</v>
      </c>
      <c r="F1068" s="76">
        <v>0</v>
      </c>
      <c r="G1068" s="175" t="s">
        <v>421</v>
      </c>
    </row>
    <row r="1069" spans="1:7" ht="24.75" hidden="1" customHeight="1" x14ac:dyDescent="0.2">
      <c r="A1069" s="560"/>
      <c r="B1069" s="567"/>
      <c r="C1069" s="567"/>
      <c r="D1069" s="175" t="s">
        <v>308</v>
      </c>
      <c r="E1069" s="76">
        <v>664063000</v>
      </c>
      <c r="F1069" s="76">
        <v>0</v>
      </c>
      <c r="G1069" s="175" t="s">
        <v>421</v>
      </c>
    </row>
    <row r="1070" spans="1:7" ht="24.75" hidden="1" customHeight="1" x14ac:dyDescent="0.2">
      <c r="A1070" s="559" t="s">
        <v>139</v>
      </c>
      <c r="B1070" s="567" t="s">
        <v>342</v>
      </c>
      <c r="C1070" s="567" t="s">
        <v>411</v>
      </c>
      <c r="D1070" s="175" t="s">
        <v>304</v>
      </c>
      <c r="E1070" s="76">
        <v>2140738600</v>
      </c>
      <c r="F1070" s="76">
        <v>112000000</v>
      </c>
      <c r="G1070" s="175" t="s">
        <v>421</v>
      </c>
    </row>
    <row r="1071" spans="1:7" ht="24.75" hidden="1" customHeight="1" x14ac:dyDescent="0.2">
      <c r="A1071" s="560"/>
      <c r="B1071" s="567"/>
      <c r="C1071" s="567"/>
      <c r="D1071" s="175" t="s">
        <v>314</v>
      </c>
      <c r="E1071" s="76">
        <v>5991849849</v>
      </c>
      <c r="F1071" s="76">
        <v>0</v>
      </c>
      <c r="G1071" s="175" t="s">
        <v>421</v>
      </c>
    </row>
    <row r="1072" spans="1:7" ht="24.75" hidden="1" customHeight="1" x14ac:dyDescent="0.2">
      <c r="A1072" s="560"/>
      <c r="B1072" s="567"/>
      <c r="C1072" s="567"/>
      <c r="D1072" s="175" t="s">
        <v>414</v>
      </c>
      <c r="E1072" s="76">
        <v>4010222109</v>
      </c>
      <c r="F1072" s="76">
        <v>162596000</v>
      </c>
      <c r="G1072" s="175" t="s">
        <v>421</v>
      </c>
    </row>
    <row r="1073" spans="1:7" ht="24.75" hidden="1" customHeight="1" x14ac:dyDescent="0.2">
      <c r="A1073" s="560"/>
      <c r="B1073" s="175" t="s">
        <v>349</v>
      </c>
      <c r="C1073" s="175" t="s">
        <v>415</v>
      </c>
      <c r="D1073" s="175" t="s">
        <v>416</v>
      </c>
      <c r="E1073" s="76">
        <v>1908372100</v>
      </c>
      <c r="F1073" s="76">
        <v>0</v>
      </c>
      <c r="G1073" s="175" t="s">
        <v>421</v>
      </c>
    </row>
    <row r="1074" spans="1:7" ht="24.75" hidden="1" customHeight="1" x14ac:dyDescent="0.2">
      <c r="A1074" s="560"/>
      <c r="B1074" s="175" t="s">
        <v>353</v>
      </c>
      <c r="C1074" s="175" t="s">
        <v>417</v>
      </c>
      <c r="D1074" s="175" t="s">
        <v>418</v>
      </c>
      <c r="E1074" s="76">
        <v>1053886300</v>
      </c>
      <c r="F1074" s="76">
        <v>0</v>
      </c>
      <c r="G1074" s="175" t="s">
        <v>421</v>
      </c>
    </row>
    <row r="1075" spans="1:7" ht="24.75" hidden="1" customHeight="1" x14ac:dyDescent="0.2">
      <c r="A1075" s="560"/>
      <c r="B1075" s="567" t="s">
        <v>357</v>
      </c>
      <c r="C1075" s="567" t="s">
        <v>419</v>
      </c>
      <c r="D1075" s="175" t="s">
        <v>420</v>
      </c>
      <c r="E1075" s="76">
        <v>2038137898</v>
      </c>
      <c r="F1075" s="76">
        <v>0</v>
      </c>
      <c r="G1075" s="175" t="s">
        <v>421</v>
      </c>
    </row>
    <row r="1076" spans="1:7" ht="24.75" hidden="1" customHeight="1" x14ac:dyDescent="0.2">
      <c r="A1076" s="516"/>
      <c r="B1076" s="567"/>
      <c r="C1076" s="567"/>
      <c r="D1076" s="175" t="s">
        <v>308</v>
      </c>
      <c r="E1076" s="76">
        <v>664063000</v>
      </c>
      <c r="F1076" s="76">
        <v>0</v>
      </c>
      <c r="G1076" s="175" t="s">
        <v>421</v>
      </c>
    </row>
    <row r="1077" spans="1:7" ht="24.75" hidden="1" customHeight="1" x14ac:dyDescent="0.2">
      <c r="A1077" s="559" t="s">
        <v>140</v>
      </c>
      <c r="B1077" s="567" t="s">
        <v>342</v>
      </c>
      <c r="C1077" s="567" t="s">
        <v>411</v>
      </c>
      <c r="D1077" s="175" t="s">
        <v>304</v>
      </c>
      <c r="E1077" s="76">
        <v>2140738600</v>
      </c>
      <c r="F1077" s="76">
        <v>38000000</v>
      </c>
      <c r="G1077" s="175" t="s">
        <v>421</v>
      </c>
    </row>
    <row r="1078" spans="1:7" ht="24.75" hidden="1" customHeight="1" x14ac:dyDescent="0.2">
      <c r="A1078" s="560"/>
      <c r="B1078" s="567"/>
      <c r="C1078" s="567"/>
      <c r="D1078" s="175" t="s">
        <v>314</v>
      </c>
      <c r="E1078" s="76">
        <v>5991849849</v>
      </c>
      <c r="F1078" s="76">
        <v>90000000</v>
      </c>
      <c r="G1078" s="175" t="s">
        <v>421</v>
      </c>
    </row>
    <row r="1079" spans="1:7" ht="24.75" hidden="1" customHeight="1" x14ac:dyDescent="0.2">
      <c r="A1079" s="560"/>
      <c r="B1079" s="567"/>
      <c r="C1079" s="567"/>
      <c r="D1079" s="175" t="s">
        <v>414</v>
      </c>
      <c r="E1079" s="76">
        <v>4010222109</v>
      </c>
      <c r="F1079" s="76">
        <v>0</v>
      </c>
      <c r="G1079" s="175" t="s">
        <v>421</v>
      </c>
    </row>
    <row r="1080" spans="1:7" ht="24.75" hidden="1" customHeight="1" x14ac:dyDescent="0.2">
      <c r="A1080" s="560"/>
      <c r="B1080" s="175" t="s">
        <v>349</v>
      </c>
      <c r="C1080" s="175" t="s">
        <v>415</v>
      </c>
      <c r="D1080" s="175" t="s">
        <v>416</v>
      </c>
      <c r="E1080" s="76">
        <v>1908372100</v>
      </c>
      <c r="F1080" s="76">
        <v>0</v>
      </c>
      <c r="G1080" s="175" t="s">
        <v>421</v>
      </c>
    </row>
    <row r="1081" spans="1:7" ht="24.75" hidden="1" customHeight="1" x14ac:dyDescent="0.2">
      <c r="A1081" s="560"/>
      <c r="B1081" s="175" t="s">
        <v>353</v>
      </c>
      <c r="C1081" s="175" t="s">
        <v>417</v>
      </c>
      <c r="D1081" s="175" t="s">
        <v>418</v>
      </c>
      <c r="E1081" s="76">
        <v>1053886300</v>
      </c>
      <c r="F1081" s="76">
        <v>0</v>
      </c>
      <c r="G1081" s="175" t="s">
        <v>421</v>
      </c>
    </row>
    <row r="1082" spans="1:7" ht="24.75" hidden="1" customHeight="1" x14ac:dyDescent="0.2">
      <c r="A1082" s="560"/>
      <c r="B1082" s="567" t="s">
        <v>357</v>
      </c>
      <c r="C1082" s="567" t="s">
        <v>419</v>
      </c>
      <c r="D1082" s="175" t="s">
        <v>420</v>
      </c>
      <c r="E1082" s="76">
        <v>2038137898</v>
      </c>
      <c r="F1082" s="76">
        <v>6020000</v>
      </c>
      <c r="G1082" s="175" t="s">
        <v>421</v>
      </c>
    </row>
    <row r="1083" spans="1:7" ht="24.75" hidden="1" customHeight="1" x14ac:dyDescent="0.2">
      <c r="A1083" s="516"/>
      <c r="B1083" s="567"/>
      <c r="C1083" s="567"/>
      <c r="D1083" s="175" t="s">
        <v>308</v>
      </c>
      <c r="E1083" s="76">
        <v>664063000</v>
      </c>
      <c r="F1083" s="76">
        <v>0</v>
      </c>
      <c r="G1083" s="175" t="s">
        <v>421</v>
      </c>
    </row>
    <row r="1084" spans="1:7" ht="24.75" hidden="1" customHeight="1" x14ac:dyDescent="0.2">
      <c r="A1084" s="559" t="s">
        <v>128</v>
      </c>
      <c r="B1084" s="567" t="s">
        <v>342</v>
      </c>
      <c r="C1084" s="567" t="s">
        <v>411</v>
      </c>
      <c r="D1084" s="175" t="s">
        <v>304</v>
      </c>
      <c r="E1084" s="76">
        <v>2140738600</v>
      </c>
      <c r="F1084" s="76">
        <v>0</v>
      </c>
      <c r="G1084" s="175" t="s">
        <v>421</v>
      </c>
    </row>
    <row r="1085" spans="1:7" ht="24.75" hidden="1" customHeight="1" x14ac:dyDescent="0.2">
      <c r="A1085" s="560"/>
      <c r="B1085" s="567"/>
      <c r="C1085" s="567"/>
      <c r="D1085" s="175" t="s">
        <v>314</v>
      </c>
      <c r="E1085" s="76">
        <v>5991849849</v>
      </c>
      <c r="F1085" s="76">
        <v>-45866000</v>
      </c>
      <c r="G1085" s="175" t="s">
        <v>421</v>
      </c>
    </row>
    <row r="1086" spans="1:7" ht="24.75" hidden="1" customHeight="1" x14ac:dyDescent="0.2">
      <c r="A1086" s="560"/>
      <c r="B1086" s="567"/>
      <c r="C1086" s="567"/>
      <c r="D1086" s="175" t="s">
        <v>414</v>
      </c>
      <c r="E1086" s="76">
        <v>4010222109</v>
      </c>
      <c r="F1086" s="76">
        <v>0</v>
      </c>
      <c r="G1086" s="175" t="s">
        <v>421</v>
      </c>
    </row>
    <row r="1087" spans="1:7" ht="24.75" hidden="1" customHeight="1" x14ac:dyDescent="0.2">
      <c r="A1087" s="560"/>
      <c r="B1087" s="175" t="s">
        <v>349</v>
      </c>
      <c r="C1087" s="175" t="s">
        <v>415</v>
      </c>
      <c r="D1087" s="175" t="s">
        <v>416</v>
      </c>
      <c r="E1087" s="76">
        <v>1908372100</v>
      </c>
      <c r="F1087" s="76">
        <v>0</v>
      </c>
      <c r="G1087" s="175" t="s">
        <v>421</v>
      </c>
    </row>
    <row r="1088" spans="1:7" ht="24.75" hidden="1" customHeight="1" x14ac:dyDescent="0.2">
      <c r="A1088" s="560"/>
      <c r="B1088" s="175" t="s">
        <v>353</v>
      </c>
      <c r="C1088" s="175" t="s">
        <v>417</v>
      </c>
      <c r="D1088" s="175" t="s">
        <v>418</v>
      </c>
      <c r="E1088" s="76">
        <v>1053886300</v>
      </c>
      <c r="F1088" s="76">
        <v>0</v>
      </c>
      <c r="G1088" s="175" t="s">
        <v>421</v>
      </c>
    </row>
    <row r="1089" spans="1:7" ht="24.75" hidden="1" customHeight="1" x14ac:dyDescent="0.2">
      <c r="A1089" s="560"/>
      <c r="B1089" s="567" t="s">
        <v>357</v>
      </c>
      <c r="C1089" s="567" t="s">
        <v>419</v>
      </c>
      <c r="D1089" s="175" t="s">
        <v>420</v>
      </c>
      <c r="E1089" s="76">
        <v>2038137898</v>
      </c>
      <c r="F1089" s="76">
        <v>0</v>
      </c>
      <c r="G1089" s="175" t="s">
        <v>421</v>
      </c>
    </row>
    <row r="1090" spans="1:7" ht="24.75" hidden="1" customHeight="1" x14ac:dyDescent="0.2">
      <c r="A1090" s="516"/>
      <c r="B1090" s="567"/>
      <c r="C1090" s="567"/>
      <c r="D1090" s="175" t="s">
        <v>308</v>
      </c>
      <c r="E1090" s="76">
        <v>664063000</v>
      </c>
      <c r="F1090" s="76">
        <v>0</v>
      </c>
      <c r="G1090" s="175" t="s">
        <v>421</v>
      </c>
    </row>
    <row r="1091" spans="1:7" ht="24.75" hidden="1" customHeight="1" x14ac:dyDescent="0.2">
      <c r="A1091" s="559" t="s">
        <v>129</v>
      </c>
      <c r="B1091" s="567" t="s">
        <v>342</v>
      </c>
      <c r="C1091" s="567" t="s">
        <v>411</v>
      </c>
      <c r="D1091" s="175" t="s">
        <v>304</v>
      </c>
      <c r="E1091" s="76">
        <v>2140738600</v>
      </c>
      <c r="F1091" s="76">
        <v>0</v>
      </c>
      <c r="G1091" s="175" t="s">
        <v>421</v>
      </c>
    </row>
    <row r="1092" spans="1:7" ht="24.75" hidden="1" customHeight="1" x14ac:dyDescent="0.2">
      <c r="A1092" s="560"/>
      <c r="B1092" s="567"/>
      <c r="C1092" s="567"/>
      <c r="D1092" s="175" t="s">
        <v>314</v>
      </c>
      <c r="E1092" s="76">
        <v>5991849849</v>
      </c>
      <c r="F1092" s="76">
        <v>0</v>
      </c>
      <c r="G1092" s="175" t="s">
        <v>421</v>
      </c>
    </row>
    <row r="1093" spans="1:7" ht="24.75" hidden="1" customHeight="1" x14ac:dyDescent="0.2">
      <c r="A1093" s="560"/>
      <c r="B1093" s="567"/>
      <c r="C1093" s="567"/>
      <c r="D1093" s="175" t="s">
        <v>414</v>
      </c>
      <c r="E1093" s="76">
        <v>4010222109</v>
      </c>
      <c r="F1093" s="76">
        <v>0</v>
      </c>
      <c r="G1093" s="175" t="s">
        <v>421</v>
      </c>
    </row>
    <row r="1094" spans="1:7" ht="24.75" hidden="1" customHeight="1" x14ac:dyDescent="0.2">
      <c r="A1094" s="560"/>
      <c r="B1094" s="175" t="s">
        <v>349</v>
      </c>
      <c r="C1094" s="175" t="s">
        <v>415</v>
      </c>
      <c r="D1094" s="175" t="s">
        <v>416</v>
      </c>
      <c r="E1094" s="76">
        <v>1908372100</v>
      </c>
      <c r="F1094" s="76">
        <v>0</v>
      </c>
      <c r="G1094" s="175" t="s">
        <v>421</v>
      </c>
    </row>
    <row r="1095" spans="1:7" ht="24.75" hidden="1" customHeight="1" x14ac:dyDescent="0.2">
      <c r="A1095" s="560"/>
      <c r="B1095" s="175" t="s">
        <v>353</v>
      </c>
      <c r="C1095" s="175" t="s">
        <v>417</v>
      </c>
      <c r="D1095" s="175" t="s">
        <v>418</v>
      </c>
      <c r="E1095" s="76">
        <v>1053886300</v>
      </c>
      <c r="F1095" s="76">
        <v>14028000</v>
      </c>
      <c r="G1095" s="175" t="s">
        <v>421</v>
      </c>
    </row>
    <row r="1096" spans="1:7" ht="24.75" hidden="1" customHeight="1" x14ac:dyDescent="0.2">
      <c r="A1096" s="560"/>
      <c r="B1096" s="567" t="s">
        <v>357</v>
      </c>
      <c r="C1096" s="567" t="s">
        <v>419</v>
      </c>
      <c r="D1096" s="175" t="s">
        <v>420</v>
      </c>
      <c r="E1096" s="76">
        <v>2038137898</v>
      </c>
      <c r="F1096" s="76">
        <v>0</v>
      </c>
      <c r="G1096" s="175" t="s">
        <v>421</v>
      </c>
    </row>
    <row r="1097" spans="1:7" ht="24.75" hidden="1" customHeight="1" x14ac:dyDescent="0.2">
      <c r="A1097" s="516"/>
      <c r="B1097" s="567"/>
      <c r="C1097" s="567"/>
      <c r="D1097" s="175" t="s">
        <v>308</v>
      </c>
      <c r="E1097" s="76">
        <v>664063000</v>
      </c>
      <c r="F1097" s="76">
        <v>0</v>
      </c>
      <c r="G1097" s="175" t="s">
        <v>421</v>
      </c>
    </row>
    <row r="1098" spans="1:7" ht="24.75" hidden="1" customHeight="1" x14ac:dyDescent="0.2">
      <c r="A1098" s="559" t="s">
        <v>130</v>
      </c>
      <c r="B1098" s="567" t="s">
        <v>342</v>
      </c>
      <c r="C1098" s="567" t="s">
        <v>411</v>
      </c>
      <c r="D1098" s="175" t="s">
        <v>304</v>
      </c>
      <c r="E1098" s="76">
        <v>2140738600</v>
      </c>
      <c r="F1098" s="76">
        <v>1914251950</v>
      </c>
      <c r="G1098" s="175" t="s">
        <v>421</v>
      </c>
    </row>
    <row r="1099" spans="1:7" ht="24.75" hidden="1" customHeight="1" x14ac:dyDescent="0.2">
      <c r="A1099" s="560"/>
      <c r="B1099" s="567"/>
      <c r="C1099" s="567"/>
      <c r="D1099" s="175" t="s">
        <v>314</v>
      </c>
      <c r="E1099" s="76">
        <v>5991849849</v>
      </c>
      <c r="F1099" s="76">
        <v>5705895861</v>
      </c>
      <c r="G1099" s="175" t="s">
        <v>421</v>
      </c>
    </row>
    <row r="1100" spans="1:7" ht="24.75" hidden="1" customHeight="1" x14ac:dyDescent="0.2">
      <c r="A1100" s="560"/>
      <c r="B1100" s="567"/>
      <c r="C1100" s="567"/>
      <c r="D1100" s="175" t="s">
        <v>414</v>
      </c>
      <c r="E1100" s="76">
        <v>4010222109</v>
      </c>
      <c r="F1100" s="76">
        <v>3811179788</v>
      </c>
      <c r="G1100" s="175" t="s">
        <v>421</v>
      </c>
    </row>
    <row r="1101" spans="1:7" ht="24.75" hidden="1" customHeight="1" x14ac:dyDescent="0.2">
      <c r="A1101" s="560"/>
      <c r="B1101" s="175" t="s">
        <v>349</v>
      </c>
      <c r="C1101" s="175" t="s">
        <v>415</v>
      </c>
      <c r="D1101" s="175" t="s">
        <v>416</v>
      </c>
      <c r="E1101" s="76">
        <v>1908372100</v>
      </c>
      <c r="F1101" s="76">
        <v>1857893448</v>
      </c>
      <c r="G1101" s="175" t="s">
        <v>421</v>
      </c>
    </row>
    <row r="1102" spans="1:7" ht="24.75" hidden="1" customHeight="1" x14ac:dyDescent="0.2">
      <c r="A1102" s="560"/>
      <c r="B1102" s="175" t="s">
        <v>353</v>
      </c>
      <c r="C1102" s="175" t="s">
        <v>417</v>
      </c>
      <c r="D1102" s="175" t="s">
        <v>418</v>
      </c>
      <c r="E1102" s="76">
        <v>1053886300</v>
      </c>
      <c r="F1102" s="76">
        <v>1023760508</v>
      </c>
      <c r="G1102" s="175" t="s">
        <v>421</v>
      </c>
    </row>
    <row r="1103" spans="1:7" ht="24.75" hidden="1" customHeight="1" x14ac:dyDescent="0.2">
      <c r="A1103" s="560"/>
      <c r="B1103" s="567" t="s">
        <v>357</v>
      </c>
      <c r="C1103" s="567" t="s">
        <v>419</v>
      </c>
      <c r="D1103" s="175" t="s">
        <v>420</v>
      </c>
      <c r="E1103" s="76">
        <v>2038137898</v>
      </c>
      <c r="F1103" s="76">
        <v>2012774233</v>
      </c>
      <c r="G1103" s="175" t="s">
        <v>421</v>
      </c>
    </row>
    <row r="1104" spans="1:7" ht="24.75" hidden="1" customHeight="1" x14ac:dyDescent="0.2">
      <c r="A1104" s="516"/>
      <c r="B1104" s="567"/>
      <c r="C1104" s="567"/>
      <c r="D1104" s="175" t="s">
        <v>308</v>
      </c>
      <c r="E1104" s="76">
        <v>664063000</v>
      </c>
      <c r="F1104" s="76">
        <v>664063000</v>
      </c>
      <c r="G1104" s="175" t="s">
        <v>421</v>
      </c>
    </row>
    <row r="1105" spans="1:7" ht="24.75" hidden="1" customHeight="1" x14ac:dyDescent="0.2">
      <c r="A1105" s="559" t="s">
        <v>131</v>
      </c>
      <c r="B1105" s="567" t="s">
        <v>342</v>
      </c>
      <c r="C1105" s="567" t="s">
        <v>411</v>
      </c>
      <c r="D1105" s="175" t="s">
        <v>304</v>
      </c>
      <c r="E1105" s="76">
        <v>2140738600</v>
      </c>
      <c r="F1105" s="76">
        <v>1914251950</v>
      </c>
      <c r="G1105" s="175" t="s">
        <v>421</v>
      </c>
    </row>
    <row r="1106" spans="1:7" ht="24.75" hidden="1" customHeight="1" x14ac:dyDescent="0.2">
      <c r="A1106" s="560"/>
      <c r="B1106" s="567"/>
      <c r="C1106" s="567"/>
      <c r="D1106" s="175" t="s">
        <v>314</v>
      </c>
      <c r="E1106" s="76">
        <v>5991849849</v>
      </c>
      <c r="F1106" s="76">
        <v>5705895861</v>
      </c>
      <c r="G1106" s="175" t="s">
        <v>421</v>
      </c>
    </row>
    <row r="1107" spans="1:7" ht="24.75" hidden="1" customHeight="1" x14ac:dyDescent="0.2">
      <c r="A1107" s="560"/>
      <c r="B1107" s="567"/>
      <c r="C1107" s="567"/>
      <c r="D1107" s="175" t="s">
        <v>414</v>
      </c>
      <c r="E1107" s="76">
        <v>4010222109</v>
      </c>
      <c r="F1107" s="76">
        <v>3811179788</v>
      </c>
      <c r="G1107" s="175" t="s">
        <v>421</v>
      </c>
    </row>
    <row r="1108" spans="1:7" ht="24.75" hidden="1" customHeight="1" x14ac:dyDescent="0.2">
      <c r="A1108" s="560"/>
      <c r="B1108" s="175" t="s">
        <v>349</v>
      </c>
      <c r="C1108" s="175" t="s">
        <v>415</v>
      </c>
      <c r="D1108" s="175" t="s">
        <v>416</v>
      </c>
      <c r="E1108" s="76">
        <v>1908372100</v>
      </c>
      <c r="F1108" s="76">
        <v>1857893448</v>
      </c>
      <c r="G1108" s="175" t="s">
        <v>421</v>
      </c>
    </row>
    <row r="1109" spans="1:7" ht="24.75" hidden="1" customHeight="1" x14ac:dyDescent="0.2">
      <c r="A1109" s="560"/>
      <c r="B1109" s="175" t="s">
        <v>353</v>
      </c>
      <c r="C1109" s="175" t="s">
        <v>417</v>
      </c>
      <c r="D1109" s="175" t="s">
        <v>418</v>
      </c>
      <c r="E1109" s="76">
        <v>1053886300</v>
      </c>
      <c r="F1109" s="76">
        <v>1023760508</v>
      </c>
      <c r="G1109" s="175" t="s">
        <v>421</v>
      </c>
    </row>
    <row r="1110" spans="1:7" ht="24.75" hidden="1" customHeight="1" x14ac:dyDescent="0.2">
      <c r="A1110" s="560"/>
      <c r="B1110" s="567" t="s">
        <v>357</v>
      </c>
      <c r="C1110" s="567" t="s">
        <v>419</v>
      </c>
      <c r="D1110" s="175" t="s">
        <v>420</v>
      </c>
      <c r="E1110" s="76">
        <v>2038137898</v>
      </c>
      <c r="F1110" s="76">
        <v>2012774233</v>
      </c>
      <c r="G1110" s="175" t="s">
        <v>421</v>
      </c>
    </row>
    <row r="1111" spans="1:7" ht="24.75" hidden="1" customHeight="1" x14ac:dyDescent="0.2">
      <c r="A1111" s="516"/>
      <c r="B1111" s="567"/>
      <c r="C1111" s="567"/>
      <c r="D1111" s="175" t="s">
        <v>308</v>
      </c>
      <c r="E1111" s="76">
        <v>664063000</v>
      </c>
      <c r="F1111" s="76">
        <v>664063000</v>
      </c>
      <c r="G1111" s="175" t="s">
        <v>421</v>
      </c>
    </row>
    <row r="1112" spans="1:7" ht="24.75" hidden="1" customHeight="1" x14ac:dyDescent="0.2">
      <c r="A1112" s="559" t="s">
        <v>132</v>
      </c>
      <c r="B1112" s="567" t="s">
        <v>342</v>
      </c>
      <c r="C1112" s="567" t="s">
        <v>411</v>
      </c>
      <c r="D1112" s="175" t="s">
        <v>304</v>
      </c>
      <c r="E1112" s="76">
        <v>2140738600</v>
      </c>
      <c r="F1112" s="76">
        <v>1914251950</v>
      </c>
      <c r="G1112" s="175" t="s">
        <v>421</v>
      </c>
    </row>
    <row r="1113" spans="1:7" ht="24.75" hidden="1" customHeight="1" x14ac:dyDescent="0.2">
      <c r="A1113" s="560"/>
      <c r="B1113" s="567"/>
      <c r="C1113" s="567"/>
      <c r="D1113" s="175" t="s">
        <v>314</v>
      </c>
      <c r="E1113" s="76">
        <v>5991849849</v>
      </c>
      <c r="F1113" s="76">
        <v>5705895861</v>
      </c>
      <c r="G1113" s="175" t="s">
        <v>421</v>
      </c>
    </row>
    <row r="1114" spans="1:7" ht="24.75" hidden="1" customHeight="1" x14ac:dyDescent="0.2">
      <c r="A1114" s="560"/>
      <c r="B1114" s="567"/>
      <c r="C1114" s="567"/>
      <c r="D1114" s="175" t="s">
        <v>414</v>
      </c>
      <c r="E1114" s="76">
        <v>4010222109</v>
      </c>
      <c r="F1114" s="76">
        <v>3811179788</v>
      </c>
      <c r="G1114" s="175" t="s">
        <v>421</v>
      </c>
    </row>
    <row r="1115" spans="1:7" ht="24.75" hidden="1" customHeight="1" x14ac:dyDescent="0.2">
      <c r="A1115" s="560"/>
      <c r="B1115" s="175" t="s">
        <v>349</v>
      </c>
      <c r="C1115" s="175" t="s">
        <v>415</v>
      </c>
      <c r="D1115" s="175" t="s">
        <v>416</v>
      </c>
      <c r="E1115" s="76">
        <v>1908372100</v>
      </c>
      <c r="F1115" s="76">
        <v>1857893448</v>
      </c>
      <c r="G1115" s="175" t="s">
        <v>421</v>
      </c>
    </row>
    <row r="1116" spans="1:7" ht="24.75" hidden="1" customHeight="1" x14ac:dyDescent="0.2">
      <c r="A1116" s="560"/>
      <c r="B1116" s="175" t="s">
        <v>353</v>
      </c>
      <c r="C1116" s="175" t="s">
        <v>417</v>
      </c>
      <c r="D1116" s="175" t="s">
        <v>418</v>
      </c>
      <c r="E1116" s="76">
        <v>1053886300</v>
      </c>
      <c r="F1116" s="76">
        <v>1023760508</v>
      </c>
      <c r="G1116" s="175" t="s">
        <v>421</v>
      </c>
    </row>
    <row r="1117" spans="1:7" ht="24.75" hidden="1" customHeight="1" x14ac:dyDescent="0.2">
      <c r="A1117" s="560"/>
      <c r="B1117" s="567" t="s">
        <v>357</v>
      </c>
      <c r="C1117" s="567" t="s">
        <v>419</v>
      </c>
      <c r="D1117" s="175" t="s">
        <v>420</v>
      </c>
      <c r="E1117" s="76">
        <v>2038137898</v>
      </c>
      <c r="F1117" s="76">
        <v>2012774233</v>
      </c>
      <c r="G1117" s="175" t="s">
        <v>421</v>
      </c>
    </row>
    <row r="1118" spans="1:7" ht="24.75" hidden="1" customHeight="1" x14ac:dyDescent="0.2">
      <c r="A1118" s="516"/>
      <c r="B1118" s="567"/>
      <c r="C1118" s="567"/>
      <c r="D1118" s="175" t="s">
        <v>308</v>
      </c>
      <c r="E1118" s="76">
        <v>664063000</v>
      </c>
      <c r="F1118" s="76">
        <v>664063000</v>
      </c>
      <c r="G1118" s="175" t="s">
        <v>421</v>
      </c>
    </row>
    <row r="1119" spans="1:7" ht="24.75" hidden="1" customHeight="1" x14ac:dyDescent="0.2">
      <c r="A1119" s="559" t="s">
        <v>133</v>
      </c>
      <c r="B1119" s="567" t="s">
        <v>342</v>
      </c>
      <c r="C1119" s="567" t="s">
        <v>411</v>
      </c>
      <c r="D1119" s="175" t="s">
        <v>304</v>
      </c>
      <c r="E1119" s="112">
        <v>2140738600</v>
      </c>
      <c r="F1119" s="112">
        <v>1914251950</v>
      </c>
      <c r="G1119" s="175" t="s">
        <v>421</v>
      </c>
    </row>
    <row r="1120" spans="1:7" ht="24.75" hidden="1" customHeight="1" x14ac:dyDescent="0.2">
      <c r="A1120" s="560"/>
      <c r="B1120" s="567"/>
      <c r="C1120" s="567"/>
      <c r="D1120" s="175" t="s">
        <v>314</v>
      </c>
      <c r="E1120" s="112">
        <v>5991849849</v>
      </c>
      <c r="F1120" s="112">
        <v>5705895861</v>
      </c>
      <c r="G1120" s="175" t="s">
        <v>421</v>
      </c>
    </row>
    <row r="1121" spans="1:7" ht="24.75" hidden="1" customHeight="1" x14ac:dyDescent="0.2">
      <c r="A1121" s="560"/>
      <c r="B1121" s="567"/>
      <c r="C1121" s="567"/>
      <c r="D1121" s="175" t="s">
        <v>414</v>
      </c>
      <c r="E1121" s="112">
        <v>4010222109</v>
      </c>
      <c r="F1121" s="112">
        <v>3811179788</v>
      </c>
      <c r="G1121" s="175" t="s">
        <v>421</v>
      </c>
    </row>
    <row r="1122" spans="1:7" ht="24.75" hidden="1" customHeight="1" x14ac:dyDescent="0.2">
      <c r="A1122" s="560"/>
      <c r="B1122" s="175" t="s">
        <v>349</v>
      </c>
      <c r="C1122" s="175" t="s">
        <v>415</v>
      </c>
      <c r="D1122" s="175" t="s">
        <v>416</v>
      </c>
      <c r="E1122" s="112">
        <v>1908372100</v>
      </c>
      <c r="F1122" s="112">
        <v>1857893448</v>
      </c>
      <c r="G1122" s="175" t="s">
        <v>421</v>
      </c>
    </row>
    <row r="1123" spans="1:7" ht="24.75" hidden="1" customHeight="1" x14ac:dyDescent="0.2">
      <c r="A1123" s="560"/>
      <c r="B1123" s="175" t="s">
        <v>353</v>
      </c>
      <c r="C1123" s="175" t="s">
        <v>417</v>
      </c>
      <c r="D1123" s="175" t="s">
        <v>418</v>
      </c>
      <c r="E1123" s="112">
        <v>1053886300</v>
      </c>
      <c r="F1123" s="112">
        <v>1023760508</v>
      </c>
      <c r="G1123" s="175" t="s">
        <v>421</v>
      </c>
    </row>
    <row r="1124" spans="1:7" ht="24.75" hidden="1" customHeight="1" x14ac:dyDescent="0.2">
      <c r="A1124" s="560"/>
      <c r="B1124" s="567" t="s">
        <v>357</v>
      </c>
      <c r="C1124" s="567" t="s">
        <v>419</v>
      </c>
      <c r="D1124" s="175" t="s">
        <v>420</v>
      </c>
      <c r="E1124" s="112">
        <v>2038137898</v>
      </c>
      <c r="F1124" s="112">
        <v>2012774233</v>
      </c>
      <c r="G1124" s="175" t="s">
        <v>421</v>
      </c>
    </row>
    <row r="1125" spans="1:7" ht="24.75" hidden="1" customHeight="1" x14ac:dyDescent="0.2">
      <c r="A1125" s="516"/>
      <c r="B1125" s="567"/>
      <c r="C1125" s="567"/>
      <c r="D1125" s="175" t="s">
        <v>308</v>
      </c>
      <c r="E1125" s="112">
        <v>664063000</v>
      </c>
      <c r="F1125" s="112">
        <v>664063000</v>
      </c>
      <c r="G1125" s="175" t="s">
        <v>421</v>
      </c>
    </row>
    <row r="1126" spans="1:7" ht="24.75" customHeight="1" x14ac:dyDescent="0.2">
      <c r="A1126" s="217"/>
      <c r="G1126" s="218"/>
    </row>
    <row r="1127" spans="1:7" ht="24.75" customHeight="1" x14ac:dyDescent="0.2">
      <c r="A1127" s="561" t="s">
        <v>171</v>
      </c>
      <c r="B1127" s="562"/>
      <c r="C1127" s="562"/>
      <c r="D1127" s="562"/>
      <c r="E1127" s="562"/>
      <c r="F1127" s="562"/>
      <c r="G1127" s="563"/>
    </row>
    <row r="1128" spans="1:7" ht="24.75" customHeight="1" x14ac:dyDescent="0.2">
      <c r="A1128" s="74" t="s">
        <v>62</v>
      </c>
      <c r="B1128" s="29" t="s">
        <v>144</v>
      </c>
      <c r="C1128" s="29" t="s">
        <v>145</v>
      </c>
      <c r="D1128" s="29" t="s">
        <v>164</v>
      </c>
      <c r="E1128" s="29" t="s">
        <v>172</v>
      </c>
      <c r="F1128" s="29" t="s">
        <v>173</v>
      </c>
      <c r="G1128" s="29" t="s">
        <v>167</v>
      </c>
    </row>
    <row r="1129" spans="1:7" ht="24.75" hidden="1" customHeight="1" x14ac:dyDescent="0.2">
      <c r="A1129" s="559" t="s">
        <v>135</v>
      </c>
      <c r="B1129" s="567" t="s">
        <v>342</v>
      </c>
      <c r="C1129" s="567" t="s">
        <v>411</v>
      </c>
      <c r="D1129" s="175" t="s">
        <v>304</v>
      </c>
      <c r="E1129" s="112">
        <v>1734404500</v>
      </c>
      <c r="F1129" s="112">
        <v>921907000</v>
      </c>
      <c r="G1129" s="175" t="s">
        <v>421</v>
      </c>
    </row>
    <row r="1130" spans="1:7" ht="24.75" hidden="1" customHeight="1" x14ac:dyDescent="0.2">
      <c r="A1130" s="560"/>
      <c r="B1130" s="567"/>
      <c r="C1130" s="567"/>
      <c r="D1130" s="175" t="s">
        <v>594</v>
      </c>
      <c r="E1130" s="112">
        <v>3622482000</v>
      </c>
      <c r="F1130" s="112">
        <v>1639198000</v>
      </c>
      <c r="G1130" s="175" t="s">
        <v>421</v>
      </c>
    </row>
    <row r="1131" spans="1:7" ht="24.75" hidden="1" customHeight="1" x14ac:dyDescent="0.2">
      <c r="A1131" s="560"/>
      <c r="B1131" s="567"/>
      <c r="C1131" s="567"/>
      <c r="D1131" s="175" t="s">
        <v>414</v>
      </c>
      <c r="E1131" s="112">
        <v>2834765500</v>
      </c>
      <c r="F1131" s="112">
        <v>2238680695</v>
      </c>
      <c r="G1131" s="175" t="s">
        <v>421</v>
      </c>
    </row>
    <row r="1132" spans="1:7" ht="24.75" hidden="1" customHeight="1" x14ac:dyDescent="0.2">
      <c r="A1132" s="560"/>
      <c r="B1132" s="175" t="s">
        <v>349</v>
      </c>
      <c r="C1132" s="175" t="s">
        <v>415</v>
      </c>
      <c r="D1132" s="175" t="s">
        <v>416</v>
      </c>
      <c r="E1132" s="112">
        <v>1187599500</v>
      </c>
      <c r="F1132" s="112">
        <v>1057771000</v>
      </c>
      <c r="G1132" s="175" t="s">
        <v>421</v>
      </c>
    </row>
    <row r="1133" spans="1:7" ht="24.75" hidden="1" customHeight="1" x14ac:dyDescent="0.2">
      <c r="A1133" s="560"/>
      <c r="B1133" s="175" t="s">
        <v>353</v>
      </c>
      <c r="C1133" s="175" t="s">
        <v>417</v>
      </c>
      <c r="D1133" s="175" t="s">
        <v>418</v>
      </c>
      <c r="E1133" s="112">
        <v>540599000</v>
      </c>
      <c r="F1133" s="112">
        <v>444818944</v>
      </c>
      <c r="G1133" s="175" t="s">
        <v>421</v>
      </c>
    </row>
    <row r="1134" spans="1:7" ht="24.75" hidden="1" customHeight="1" x14ac:dyDescent="0.2">
      <c r="A1134" s="560"/>
      <c r="B1134" s="567" t="s">
        <v>357</v>
      </c>
      <c r="C1134" s="567" t="s">
        <v>419</v>
      </c>
      <c r="D1134" s="175" t="s">
        <v>420</v>
      </c>
      <c r="E1134" s="112">
        <v>1630204500</v>
      </c>
      <c r="F1134" s="112">
        <v>1499381500</v>
      </c>
      <c r="G1134" s="175" t="s">
        <v>421</v>
      </c>
    </row>
    <row r="1135" spans="1:7" ht="24.75" hidden="1" customHeight="1" x14ac:dyDescent="0.2">
      <c r="A1135" s="516"/>
      <c r="B1135" s="567"/>
      <c r="C1135" s="567"/>
      <c r="D1135" s="175" t="s">
        <v>308</v>
      </c>
      <c r="E1135" s="112">
        <v>835827000</v>
      </c>
      <c r="F1135" s="112">
        <v>713657000</v>
      </c>
      <c r="G1135" s="175" t="s">
        <v>421</v>
      </c>
    </row>
    <row r="1136" spans="1:7" ht="24.75" hidden="1" customHeight="1" x14ac:dyDescent="0.2">
      <c r="A1136" s="559" t="s">
        <v>136</v>
      </c>
      <c r="B1136" s="567" t="s">
        <v>342</v>
      </c>
      <c r="C1136" s="567" t="s">
        <v>411</v>
      </c>
      <c r="D1136" s="175" t="s">
        <v>304</v>
      </c>
      <c r="E1136" s="112">
        <v>1734404500</v>
      </c>
      <c r="F1136" s="112">
        <v>921907000</v>
      </c>
      <c r="G1136" s="175" t="s">
        <v>421</v>
      </c>
    </row>
    <row r="1137" spans="1:7" ht="24.75" hidden="1" customHeight="1" x14ac:dyDescent="0.2">
      <c r="A1137" s="560"/>
      <c r="B1137" s="567"/>
      <c r="C1137" s="567"/>
      <c r="D1137" s="175" t="s">
        <v>594</v>
      </c>
      <c r="E1137" s="112">
        <v>3622482000</v>
      </c>
      <c r="F1137" s="112">
        <v>1639198000</v>
      </c>
      <c r="G1137" s="175" t="s">
        <v>421</v>
      </c>
    </row>
    <row r="1138" spans="1:7" ht="24.75" hidden="1" customHeight="1" x14ac:dyDescent="0.2">
      <c r="A1138" s="560"/>
      <c r="B1138" s="567"/>
      <c r="C1138" s="567"/>
      <c r="D1138" s="175" t="s">
        <v>414</v>
      </c>
      <c r="E1138" s="112">
        <v>2834765500</v>
      </c>
      <c r="F1138" s="112">
        <v>2238680695</v>
      </c>
      <c r="G1138" s="175" t="s">
        <v>421</v>
      </c>
    </row>
    <row r="1139" spans="1:7" ht="24.75" hidden="1" customHeight="1" x14ac:dyDescent="0.2">
      <c r="A1139" s="560"/>
      <c r="B1139" s="175" t="s">
        <v>349</v>
      </c>
      <c r="C1139" s="175" t="s">
        <v>415</v>
      </c>
      <c r="D1139" s="175" t="s">
        <v>416</v>
      </c>
      <c r="E1139" s="112">
        <v>1187599500</v>
      </c>
      <c r="F1139" s="112">
        <v>1057771000</v>
      </c>
      <c r="G1139" s="175" t="s">
        <v>421</v>
      </c>
    </row>
    <row r="1140" spans="1:7" ht="24.75" hidden="1" customHeight="1" x14ac:dyDescent="0.2">
      <c r="A1140" s="560"/>
      <c r="B1140" s="175" t="s">
        <v>353</v>
      </c>
      <c r="C1140" s="175" t="s">
        <v>417</v>
      </c>
      <c r="D1140" s="175" t="s">
        <v>418</v>
      </c>
      <c r="E1140" s="112">
        <v>540599000</v>
      </c>
      <c r="F1140" s="112">
        <v>444818944</v>
      </c>
      <c r="G1140" s="175" t="s">
        <v>421</v>
      </c>
    </row>
    <row r="1141" spans="1:7" ht="24.75" hidden="1" customHeight="1" x14ac:dyDescent="0.2">
      <c r="A1141" s="560"/>
      <c r="B1141" s="567" t="s">
        <v>357</v>
      </c>
      <c r="C1141" s="567" t="s">
        <v>419</v>
      </c>
      <c r="D1141" s="175" t="s">
        <v>420</v>
      </c>
      <c r="E1141" s="112">
        <v>1630204500</v>
      </c>
      <c r="F1141" s="112">
        <v>1499381500</v>
      </c>
      <c r="G1141" s="175" t="s">
        <v>421</v>
      </c>
    </row>
    <row r="1142" spans="1:7" ht="24.75" hidden="1" customHeight="1" x14ac:dyDescent="0.2">
      <c r="A1142" s="516"/>
      <c r="B1142" s="567"/>
      <c r="C1142" s="567"/>
      <c r="D1142" s="175" t="s">
        <v>308</v>
      </c>
      <c r="E1142" s="112">
        <v>835827000</v>
      </c>
      <c r="F1142" s="112">
        <v>713657000</v>
      </c>
      <c r="G1142" s="175" t="s">
        <v>421</v>
      </c>
    </row>
    <row r="1143" spans="1:7" ht="24.75" hidden="1" customHeight="1" x14ac:dyDescent="0.2">
      <c r="A1143" s="559" t="s">
        <v>137</v>
      </c>
      <c r="B1143" s="567" t="s">
        <v>342</v>
      </c>
      <c r="C1143" s="567" t="s">
        <v>411</v>
      </c>
      <c r="D1143" s="175" t="s">
        <v>304</v>
      </c>
      <c r="E1143" s="112">
        <v>1734404500</v>
      </c>
      <c r="F1143" s="112">
        <v>921907000</v>
      </c>
      <c r="G1143" s="175" t="s">
        <v>421</v>
      </c>
    </row>
    <row r="1144" spans="1:7" ht="24.75" hidden="1" customHeight="1" x14ac:dyDescent="0.2">
      <c r="A1144" s="560"/>
      <c r="B1144" s="567"/>
      <c r="C1144" s="567"/>
      <c r="D1144" s="175" t="s">
        <v>594</v>
      </c>
      <c r="E1144" s="112">
        <v>3622482000</v>
      </c>
      <c r="F1144" s="112">
        <v>1639198000</v>
      </c>
      <c r="G1144" s="175" t="s">
        <v>421</v>
      </c>
    </row>
    <row r="1145" spans="1:7" ht="24.75" hidden="1" customHeight="1" x14ac:dyDescent="0.2">
      <c r="A1145" s="560"/>
      <c r="B1145" s="567"/>
      <c r="C1145" s="567"/>
      <c r="D1145" s="175" t="s">
        <v>414</v>
      </c>
      <c r="E1145" s="112">
        <v>2834765500</v>
      </c>
      <c r="F1145" s="112">
        <v>2238680695</v>
      </c>
      <c r="G1145" s="175" t="s">
        <v>421</v>
      </c>
    </row>
    <row r="1146" spans="1:7" ht="24.75" hidden="1" customHeight="1" x14ac:dyDescent="0.2">
      <c r="A1146" s="560"/>
      <c r="B1146" s="175" t="s">
        <v>349</v>
      </c>
      <c r="C1146" s="175" t="s">
        <v>415</v>
      </c>
      <c r="D1146" s="175" t="s">
        <v>416</v>
      </c>
      <c r="E1146" s="112">
        <v>1187599500</v>
      </c>
      <c r="F1146" s="112">
        <v>1057771000</v>
      </c>
      <c r="G1146" s="175" t="s">
        <v>421</v>
      </c>
    </row>
    <row r="1147" spans="1:7" ht="24.75" hidden="1" customHeight="1" x14ac:dyDescent="0.2">
      <c r="A1147" s="560"/>
      <c r="B1147" s="175" t="s">
        <v>353</v>
      </c>
      <c r="C1147" s="175" t="s">
        <v>417</v>
      </c>
      <c r="D1147" s="175" t="s">
        <v>418</v>
      </c>
      <c r="E1147" s="112">
        <v>540599000</v>
      </c>
      <c r="F1147" s="112">
        <v>444818944</v>
      </c>
      <c r="G1147" s="175" t="s">
        <v>421</v>
      </c>
    </row>
    <row r="1148" spans="1:7" ht="24.75" hidden="1" customHeight="1" x14ac:dyDescent="0.2">
      <c r="A1148" s="560"/>
      <c r="B1148" s="567" t="s">
        <v>357</v>
      </c>
      <c r="C1148" s="567" t="s">
        <v>419</v>
      </c>
      <c r="D1148" s="175" t="s">
        <v>420</v>
      </c>
      <c r="E1148" s="112">
        <v>1630204500</v>
      </c>
      <c r="F1148" s="112">
        <v>1499381500</v>
      </c>
      <c r="G1148" s="175" t="s">
        <v>421</v>
      </c>
    </row>
    <row r="1149" spans="1:7" ht="24.75" hidden="1" customHeight="1" x14ac:dyDescent="0.2">
      <c r="A1149" s="516"/>
      <c r="B1149" s="567"/>
      <c r="C1149" s="567"/>
      <c r="D1149" s="175" t="s">
        <v>308</v>
      </c>
      <c r="E1149" s="112">
        <v>835827000</v>
      </c>
      <c r="F1149" s="112">
        <v>713657000</v>
      </c>
      <c r="G1149" s="175" t="s">
        <v>421</v>
      </c>
    </row>
    <row r="1150" spans="1:7" ht="24.75" hidden="1" customHeight="1" x14ac:dyDescent="0.2">
      <c r="A1150" s="559" t="s">
        <v>138</v>
      </c>
      <c r="B1150" s="567" t="s">
        <v>342</v>
      </c>
      <c r="C1150" s="567" t="s">
        <v>411</v>
      </c>
      <c r="D1150" s="175" t="s">
        <v>304</v>
      </c>
      <c r="E1150" s="112">
        <v>1734404500</v>
      </c>
      <c r="F1150" s="112">
        <v>921907000</v>
      </c>
      <c r="G1150" s="175" t="s">
        <v>421</v>
      </c>
    </row>
    <row r="1151" spans="1:7" ht="24.75" hidden="1" customHeight="1" x14ac:dyDescent="0.2">
      <c r="A1151" s="560"/>
      <c r="B1151" s="567"/>
      <c r="C1151" s="567"/>
      <c r="D1151" s="175" t="s">
        <v>594</v>
      </c>
      <c r="E1151" s="112">
        <v>3622482000</v>
      </c>
      <c r="F1151" s="112">
        <v>1639198000</v>
      </c>
      <c r="G1151" s="175" t="s">
        <v>421</v>
      </c>
    </row>
    <row r="1152" spans="1:7" ht="24.75" hidden="1" customHeight="1" x14ac:dyDescent="0.2">
      <c r="A1152" s="560"/>
      <c r="B1152" s="567"/>
      <c r="C1152" s="567"/>
      <c r="D1152" s="175" t="s">
        <v>414</v>
      </c>
      <c r="E1152" s="112">
        <v>2834765500</v>
      </c>
      <c r="F1152" s="112">
        <v>2238680695</v>
      </c>
      <c r="G1152" s="175" t="s">
        <v>421</v>
      </c>
    </row>
    <row r="1153" spans="1:7" ht="24.75" hidden="1" customHeight="1" x14ac:dyDescent="0.2">
      <c r="A1153" s="560"/>
      <c r="B1153" s="175" t="s">
        <v>349</v>
      </c>
      <c r="C1153" s="175" t="s">
        <v>415</v>
      </c>
      <c r="D1153" s="175" t="s">
        <v>416</v>
      </c>
      <c r="E1153" s="112">
        <v>1187599500</v>
      </c>
      <c r="F1153" s="112">
        <v>1057771000</v>
      </c>
      <c r="G1153" s="175" t="s">
        <v>421</v>
      </c>
    </row>
    <row r="1154" spans="1:7" ht="24.75" hidden="1" customHeight="1" x14ac:dyDescent="0.2">
      <c r="A1154" s="560"/>
      <c r="B1154" s="175" t="s">
        <v>353</v>
      </c>
      <c r="C1154" s="175" t="s">
        <v>417</v>
      </c>
      <c r="D1154" s="175" t="s">
        <v>418</v>
      </c>
      <c r="E1154" s="112">
        <v>540599000</v>
      </c>
      <c r="F1154" s="112">
        <v>444818944</v>
      </c>
      <c r="G1154" s="175" t="s">
        <v>421</v>
      </c>
    </row>
    <row r="1155" spans="1:7" ht="24.75" hidden="1" customHeight="1" x14ac:dyDescent="0.2">
      <c r="A1155" s="560"/>
      <c r="B1155" s="567" t="s">
        <v>357</v>
      </c>
      <c r="C1155" s="567" t="s">
        <v>419</v>
      </c>
      <c r="D1155" s="175" t="s">
        <v>420</v>
      </c>
      <c r="E1155" s="112">
        <v>1630204500</v>
      </c>
      <c r="F1155" s="112">
        <v>1499381500</v>
      </c>
      <c r="G1155" s="175" t="s">
        <v>421</v>
      </c>
    </row>
    <row r="1156" spans="1:7" ht="24.75" hidden="1" customHeight="1" x14ac:dyDescent="0.2">
      <c r="A1156" s="516"/>
      <c r="B1156" s="567"/>
      <c r="C1156" s="567"/>
      <c r="D1156" s="175" t="s">
        <v>308</v>
      </c>
      <c r="E1156" s="112">
        <v>835827000</v>
      </c>
      <c r="F1156" s="112">
        <v>713657000</v>
      </c>
      <c r="G1156" s="175" t="s">
        <v>421</v>
      </c>
    </row>
    <row r="1157" spans="1:7" ht="24.75" hidden="1" customHeight="1" x14ac:dyDescent="0.2">
      <c r="A1157" s="559" t="s">
        <v>139</v>
      </c>
      <c r="B1157" s="567" t="s">
        <v>342</v>
      </c>
      <c r="C1157" s="567" t="s">
        <v>411</v>
      </c>
      <c r="D1157" s="175" t="s">
        <v>304</v>
      </c>
      <c r="E1157" s="112">
        <v>1734404500</v>
      </c>
      <c r="F1157" s="112">
        <v>921907000</v>
      </c>
      <c r="G1157" s="175" t="s">
        <v>421</v>
      </c>
    </row>
    <row r="1158" spans="1:7" ht="24.75" hidden="1" customHeight="1" x14ac:dyDescent="0.2">
      <c r="A1158" s="560"/>
      <c r="B1158" s="567"/>
      <c r="C1158" s="567"/>
      <c r="D1158" s="175" t="s">
        <v>594</v>
      </c>
      <c r="E1158" s="112">
        <v>3622482000</v>
      </c>
      <c r="F1158" s="112">
        <v>1639198000</v>
      </c>
      <c r="G1158" s="175" t="s">
        <v>421</v>
      </c>
    </row>
    <row r="1159" spans="1:7" ht="24.75" hidden="1" customHeight="1" x14ac:dyDescent="0.2">
      <c r="A1159" s="560"/>
      <c r="B1159" s="567"/>
      <c r="C1159" s="567"/>
      <c r="D1159" s="175" t="s">
        <v>414</v>
      </c>
      <c r="E1159" s="112">
        <v>2834765500</v>
      </c>
      <c r="F1159" s="112">
        <v>2238680695</v>
      </c>
      <c r="G1159" s="175" t="s">
        <v>421</v>
      </c>
    </row>
    <row r="1160" spans="1:7" ht="24.75" hidden="1" customHeight="1" x14ac:dyDescent="0.2">
      <c r="A1160" s="560"/>
      <c r="B1160" s="175" t="s">
        <v>349</v>
      </c>
      <c r="C1160" s="175" t="s">
        <v>415</v>
      </c>
      <c r="D1160" s="175" t="s">
        <v>416</v>
      </c>
      <c r="E1160" s="112">
        <v>1187599500</v>
      </c>
      <c r="F1160" s="112">
        <v>1057771000</v>
      </c>
      <c r="G1160" s="175" t="s">
        <v>421</v>
      </c>
    </row>
    <row r="1161" spans="1:7" ht="24.75" hidden="1" customHeight="1" x14ac:dyDescent="0.2">
      <c r="A1161" s="560"/>
      <c r="B1161" s="175" t="s">
        <v>353</v>
      </c>
      <c r="C1161" s="175" t="s">
        <v>417</v>
      </c>
      <c r="D1161" s="175" t="s">
        <v>418</v>
      </c>
      <c r="E1161" s="112">
        <v>540599000</v>
      </c>
      <c r="F1161" s="112">
        <v>444818944</v>
      </c>
      <c r="G1161" s="175" t="s">
        <v>421</v>
      </c>
    </row>
    <row r="1162" spans="1:7" ht="24.75" hidden="1" customHeight="1" x14ac:dyDescent="0.2">
      <c r="A1162" s="560"/>
      <c r="B1162" s="567" t="s">
        <v>357</v>
      </c>
      <c r="C1162" s="567" t="s">
        <v>419</v>
      </c>
      <c r="D1162" s="175" t="s">
        <v>420</v>
      </c>
      <c r="E1162" s="112">
        <v>1630204500</v>
      </c>
      <c r="F1162" s="112">
        <v>1499381500</v>
      </c>
      <c r="G1162" s="175" t="s">
        <v>421</v>
      </c>
    </row>
    <row r="1163" spans="1:7" ht="24.75" hidden="1" customHeight="1" x14ac:dyDescent="0.2">
      <c r="A1163" s="516"/>
      <c r="B1163" s="567"/>
      <c r="C1163" s="567"/>
      <c r="D1163" s="175" t="s">
        <v>308</v>
      </c>
      <c r="E1163" s="112">
        <v>835827000</v>
      </c>
      <c r="F1163" s="112">
        <v>713657000</v>
      </c>
      <c r="G1163" s="175" t="s">
        <v>421</v>
      </c>
    </row>
    <row r="1164" spans="1:7" ht="24.75" hidden="1" customHeight="1" x14ac:dyDescent="0.2">
      <c r="A1164" s="559" t="s">
        <v>683</v>
      </c>
      <c r="B1164" s="567" t="s">
        <v>342</v>
      </c>
      <c r="C1164" s="567" t="s">
        <v>411</v>
      </c>
      <c r="D1164" s="175" t="s">
        <v>304</v>
      </c>
      <c r="E1164" s="112">
        <v>1734404500</v>
      </c>
      <c r="F1164" s="112">
        <v>921907000</v>
      </c>
      <c r="G1164" s="175" t="s">
        <v>421</v>
      </c>
    </row>
    <row r="1165" spans="1:7" ht="24.75" hidden="1" customHeight="1" x14ac:dyDescent="0.2">
      <c r="A1165" s="560"/>
      <c r="B1165" s="567"/>
      <c r="C1165" s="567"/>
      <c r="D1165" s="175" t="s">
        <v>594</v>
      </c>
      <c r="E1165" s="112">
        <v>3622482000</v>
      </c>
      <c r="F1165" s="112">
        <v>1639198000</v>
      </c>
      <c r="G1165" s="175" t="s">
        <v>421</v>
      </c>
    </row>
    <row r="1166" spans="1:7" ht="24.75" hidden="1" customHeight="1" x14ac:dyDescent="0.2">
      <c r="A1166" s="560"/>
      <c r="B1166" s="567"/>
      <c r="C1166" s="567"/>
      <c r="D1166" s="175" t="s">
        <v>414</v>
      </c>
      <c r="E1166" s="112">
        <v>2834765500</v>
      </c>
      <c r="F1166" s="112">
        <v>2238680695</v>
      </c>
      <c r="G1166" s="175" t="s">
        <v>421</v>
      </c>
    </row>
    <row r="1167" spans="1:7" ht="24.75" hidden="1" customHeight="1" x14ac:dyDescent="0.2">
      <c r="A1167" s="560"/>
      <c r="B1167" s="175" t="s">
        <v>349</v>
      </c>
      <c r="C1167" s="175" t="s">
        <v>415</v>
      </c>
      <c r="D1167" s="175" t="s">
        <v>416</v>
      </c>
      <c r="E1167" s="112">
        <v>1187599500</v>
      </c>
      <c r="F1167" s="112">
        <v>1057771000</v>
      </c>
      <c r="G1167" s="175" t="s">
        <v>421</v>
      </c>
    </row>
    <row r="1168" spans="1:7" ht="24.75" hidden="1" customHeight="1" x14ac:dyDescent="0.2">
      <c r="A1168" s="560"/>
      <c r="B1168" s="175" t="s">
        <v>353</v>
      </c>
      <c r="C1168" s="175" t="s">
        <v>417</v>
      </c>
      <c r="D1168" s="175" t="s">
        <v>418</v>
      </c>
      <c r="E1168" s="112">
        <v>540599000</v>
      </c>
      <c r="F1168" s="112">
        <v>444818944</v>
      </c>
      <c r="G1168" s="175" t="s">
        <v>421</v>
      </c>
    </row>
    <row r="1169" spans="1:7" ht="24.75" hidden="1" customHeight="1" x14ac:dyDescent="0.2">
      <c r="A1169" s="560"/>
      <c r="B1169" s="567" t="s">
        <v>357</v>
      </c>
      <c r="C1169" s="567" t="s">
        <v>419</v>
      </c>
      <c r="D1169" s="175" t="s">
        <v>420</v>
      </c>
      <c r="E1169" s="112">
        <v>1630204500</v>
      </c>
      <c r="F1169" s="112">
        <v>1499381500</v>
      </c>
      <c r="G1169" s="175" t="s">
        <v>421</v>
      </c>
    </row>
    <row r="1170" spans="1:7" ht="24.75" hidden="1" customHeight="1" x14ac:dyDescent="0.2">
      <c r="A1170" s="516"/>
      <c r="B1170" s="567"/>
      <c r="C1170" s="567"/>
      <c r="D1170" s="175" t="s">
        <v>308</v>
      </c>
      <c r="E1170" s="112">
        <v>835827000</v>
      </c>
      <c r="F1170" s="112">
        <v>713657000</v>
      </c>
      <c r="G1170" s="175" t="s">
        <v>421</v>
      </c>
    </row>
    <row r="1171" spans="1:7" ht="24.75" hidden="1" customHeight="1" x14ac:dyDescent="0.2">
      <c r="A1171" s="559" t="s">
        <v>686</v>
      </c>
      <c r="B1171" s="567" t="s">
        <v>342</v>
      </c>
      <c r="C1171" s="567" t="s">
        <v>411</v>
      </c>
      <c r="D1171" s="175" t="s">
        <v>304</v>
      </c>
      <c r="E1171" s="112">
        <f>+INVERSIÓN!DL11</f>
        <v>1587830354</v>
      </c>
      <c r="F1171" s="112">
        <f>+INVERSIÓN!DM11</f>
        <v>1581509471</v>
      </c>
      <c r="G1171" s="175" t="s">
        <v>421</v>
      </c>
    </row>
    <row r="1172" spans="1:7" ht="24.75" hidden="1" customHeight="1" x14ac:dyDescent="0.2">
      <c r="A1172" s="560"/>
      <c r="B1172" s="567"/>
      <c r="C1172" s="567"/>
      <c r="D1172" s="175" t="s">
        <v>594</v>
      </c>
      <c r="E1172" s="112">
        <f>+INVERSIÓN!DL18</f>
        <v>2943746700</v>
      </c>
      <c r="F1172" s="112">
        <f>+INVERSIÓN!DM18</f>
        <v>2316950923</v>
      </c>
      <c r="G1172" s="175" t="s">
        <v>421</v>
      </c>
    </row>
    <row r="1173" spans="1:7" ht="24.75" hidden="1" customHeight="1" x14ac:dyDescent="0.2">
      <c r="A1173" s="560"/>
      <c r="B1173" s="567"/>
      <c r="C1173" s="567"/>
      <c r="D1173" s="175" t="s">
        <v>414</v>
      </c>
      <c r="E1173" s="112">
        <f>+INVERSIÓN!DL25</f>
        <v>3019226595</v>
      </c>
      <c r="F1173" s="112">
        <f>+INVERSIÓN!DM25</f>
        <v>3013503988</v>
      </c>
      <c r="G1173" s="175" t="s">
        <v>421</v>
      </c>
    </row>
    <row r="1174" spans="1:7" ht="24.75" hidden="1" customHeight="1" x14ac:dyDescent="0.2">
      <c r="A1174" s="560"/>
      <c r="B1174" s="175" t="s">
        <v>349</v>
      </c>
      <c r="C1174" s="175" t="s">
        <v>415</v>
      </c>
      <c r="D1174" s="175" t="s">
        <v>416</v>
      </c>
      <c r="E1174" s="112">
        <f>+INVERSIÓN!DL32</f>
        <v>1223986699</v>
      </c>
      <c r="F1174" s="112">
        <f>+INVERSIÓN!DM32</f>
        <v>1222018466</v>
      </c>
      <c r="G1174" s="175" t="s">
        <v>421</v>
      </c>
    </row>
    <row r="1175" spans="1:7" ht="24.75" hidden="1" customHeight="1" x14ac:dyDescent="0.2">
      <c r="A1175" s="560"/>
      <c r="B1175" s="175" t="s">
        <v>353</v>
      </c>
      <c r="C1175" s="175" t="s">
        <v>417</v>
      </c>
      <c r="D1175" s="175" t="s">
        <v>418</v>
      </c>
      <c r="E1175" s="112">
        <f>+INVERSIÓN!DL39</f>
        <v>550281167</v>
      </c>
      <c r="F1175" s="112">
        <f>+INVERSIÓN!DM39</f>
        <v>538000786</v>
      </c>
      <c r="G1175" s="175" t="s">
        <v>421</v>
      </c>
    </row>
    <row r="1176" spans="1:7" ht="24.75" hidden="1" customHeight="1" x14ac:dyDescent="0.2">
      <c r="A1176" s="560"/>
      <c r="B1176" s="567" t="s">
        <v>357</v>
      </c>
      <c r="C1176" s="567" t="s">
        <v>419</v>
      </c>
      <c r="D1176" s="175" t="s">
        <v>420</v>
      </c>
      <c r="E1176" s="112">
        <f>+INVERSIÓN!DL46</f>
        <v>1625097832</v>
      </c>
      <c r="F1176" s="112">
        <f>+INVERSIÓN!DM46</f>
        <v>1616580500</v>
      </c>
      <c r="G1176" s="175" t="s">
        <v>421</v>
      </c>
    </row>
    <row r="1177" spans="1:7" ht="24.75" hidden="1" customHeight="1" x14ac:dyDescent="0.2">
      <c r="A1177" s="516"/>
      <c r="B1177" s="567"/>
      <c r="C1177" s="567"/>
      <c r="D1177" s="175" t="s">
        <v>308</v>
      </c>
      <c r="E1177" s="112">
        <f>+INVERSIÓN!DL53</f>
        <v>785712653</v>
      </c>
      <c r="F1177" s="112">
        <f>+INVERSIÓN!DM53</f>
        <v>785712653</v>
      </c>
      <c r="G1177" s="175" t="s">
        <v>421</v>
      </c>
    </row>
    <row r="1178" spans="1:7" ht="24.75" hidden="1" customHeight="1" x14ac:dyDescent="0.2">
      <c r="A1178" s="559" t="s">
        <v>688</v>
      </c>
      <c r="B1178" s="567" t="s">
        <v>342</v>
      </c>
      <c r="C1178" s="567" t="s">
        <v>411</v>
      </c>
      <c r="D1178" s="175" t="s">
        <v>304</v>
      </c>
      <c r="E1178" s="112">
        <v>1747076834</v>
      </c>
      <c r="F1178" s="112">
        <v>942907000</v>
      </c>
      <c r="G1178" s="175" t="s">
        <v>421</v>
      </c>
    </row>
    <row r="1179" spans="1:7" ht="24.75" hidden="1" customHeight="1" x14ac:dyDescent="0.2">
      <c r="A1179" s="560"/>
      <c r="B1179" s="567"/>
      <c r="C1179" s="567"/>
      <c r="D1179" s="175" t="s">
        <v>594</v>
      </c>
      <c r="E1179" s="112">
        <v>3530156000</v>
      </c>
      <c r="F1179" s="112">
        <v>1778845958</v>
      </c>
      <c r="G1179" s="175" t="s">
        <v>421</v>
      </c>
    </row>
    <row r="1180" spans="1:7" ht="24.75" hidden="1" customHeight="1" x14ac:dyDescent="0.2">
      <c r="A1180" s="560"/>
      <c r="B1180" s="567"/>
      <c r="C1180" s="567"/>
      <c r="D1180" s="175" t="s">
        <v>414</v>
      </c>
      <c r="E1180" s="112">
        <v>3037453000</v>
      </c>
      <c r="F1180" s="112">
        <v>2577120695</v>
      </c>
      <c r="G1180" s="175" t="s">
        <v>421</v>
      </c>
    </row>
    <row r="1181" spans="1:7" ht="24.75" hidden="1" customHeight="1" x14ac:dyDescent="0.2">
      <c r="A1181" s="560"/>
      <c r="B1181" s="175" t="s">
        <v>349</v>
      </c>
      <c r="C1181" s="175" t="s">
        <v>415</v>
      </c>
      <c r="D1181" s="175" t="s">
        <v>416</v>
      </c>
      <c r="E1181" s="112">
        <v>1163612666</v>
      </c>
      <c r="F1181" s="112">
        <v>1066399666</v>
      </c>
      <c r="G1181" s="175" t="s">
        <v>421</v>
      </c>
    </row>
    <row r="1182" spans="1:7" ht="24.75" hidden="1" customHeight="1" x14ac:dyDescent="0.2">
      <c r="A1182" s="560"/>
      <c r="B1182" s="175" t="s">
        <v>353</v>
      </c>
      <c r="C1182" s="175" t="s">
        <v>417</v>
      </c>
      <c r="D1182" s="175" t="s">
        <v>418</v>
      </c>
      <c r="E1182" s="112">
        <v>540599000</v>
      </c>
      <c r="F1182" s="112">
        <v>481666944</v>
      </c>
      <c r="G1182" s="175" t="s">
        <v>421</v>
      </c>
    </row>
    <row r="1183" spans="1:7" ht="24.75" hidden="1" customHeight="1" x14ac:dyDescent="0.2">
      <c r="A1183" s="560"/>
      <c r="B1183" s="567" t="s">
        <v>357</v>
      </c>
      <c r="C1183" s="567" t="s">
        <v>419</v>
      </c>
      <c r="D1183" s="175" t="s">
        <v>696</v>
      </c>
      <c r="E1183" s="112">
        <v>1557344500</v>
      </c>
      <c r="F1183" s="112">
        <v>1517441500</v>
      </c>
      <c r="G1183" s="175" t="s">
        <v>421</v>
      </c>
    </row>
    <row r="1184" spans="1:7" ht="24.75" hidden="1" customHeight="1" x14ac:dyDescent="0.2">
      <c r="A1184" s="516"/>
      <c r="B1184" s="567"/>
      <c r="C1184" s="567"/>
      <c r="D1184" s="175" t="s">
        <v>308</v>
      </c>
      <c r="E1184" s="112">
        <v>809640000</v>
      </c>
      <c r="F1184" s="112">
        <v>753209000</v>
      </c>
      <c r="G1184" s="175" t="s">
        <v>421</v>
      </c>
    </row>
    <row r="1185" spans="1:7" ht="24.75" hidden="1" customHeight="1" x14ac:dyDescent="0.2">
      <c r="A1185" s="559" t="s">
        <v>697</v>
      </c>
      <c r="B1185" s="567" t="s">
        <v>342</v>
      </c>
      <c r="C1185" s="567" t="s">
        <v>411</v>
      </c>
      <c r="D1185" s="175" t="s">
        <v>304</v>
      </c>
      <c r="E1185" s="112">
        <f>+INVERSIÓN!$DL$11</f>
        <v>1587830354</v>
      </c>
      <c r="F1185" s="112">
        <f>+INVERSIÓN!$DM$11</f>
        <v>1581509471</v>
      </c>
      <c r="G1185" s="175" t="s">
        <v>421</v>
      </c>
    </row>
    <row r="1186" spans="1:7" ht="24.75" hidden="1" customHeight="1" x14ac:dyDescent="0.2">
      <c r="A1186" s="560"/>
      <c r="B1186" s="567"/>
      <c r="C1186" s="567"/>
      <c r="D1186" s="175" t="s">
        <v>594</v>
      </c>
      <c r="E1186" s="112">
        <f>+INVERSIÓN!$DL$18</f>
        <v>2943746700</v>
      </c>
      <c r="F1186" s="112">
        <f>+INVERSIÓN!$DM$18</f>
        <v>2316950923</v>
      </c>
      <c r="G1186" s="175" t="s">
        <v>421</v>
      </c>
    </row>
    <row r="1187" spans="1:7" ht="24.75" hidden="1" customHeight="1" x14ac:dyDescent="0.2">
      <c r="A1187" s="560"/>
      <c r="B1187" s="567"/>
      <c r="C1187" s="567"/>
      <c r="D1187" s="175" t="s">
        <v>414</v>
      </c>
      <c r="E1187" s="112">
        <f>+INVERSIÓN!$DL$25</f>
        <v>3019226595</v>
      </c>
      <c r="F1187" s="112">
        <f>+INVERSIÓN!$DM$25</f>
        <v>3013503988</v>
      </c>
      <c r="G1187" s="175" t="s">
        <v>421</v>
      </c>
    </row>
    <row r="1188" spans="1:7" ht="24.75" hidden="1" customHeight="1" x14ac:dyDescent="0.2">
      <c r="A1188" s="560"/>
      <c r="B1188" s="175" t="s">
        <v>349</v>
      </c>
      <c r="C1188" s="175" t="s">
        <v>415</v>
      </c>
      <c r="D1188" s="175" t="s">
        <v>416</v>
      </c>
      <c r="E1188" s="112">
        <f>+INVERSIÓN!$DL$32</f>
        <v>1223986699</v>
      </c>
      <c r="F1188" s="112">
        <f>+INVERSIÓN!$DM$32</f>
        <v>1222018466</v>
      </c>
      <c r="G1188" s="175" t="s">
        <v>421</v>
      </c>
    </row>
    <row r="1189" spans="1:7" ht="24.75" hidden="1" customHeight="1" x14ac:dyDescent="0.2">
      <c r="A1189" s="560"/>
      <c r="B1189" s="175" t="s">
        <v>353</v>
      </c>
      <c r="C1189" s="175" t="s">
        <v>417</v>
      </c>
      <c r="D1189" s="175" t="s">
        <v>418</v>
      </c>
      <c r="E1189" s="112">
        <f>+INVERSIÓN!$DL$39</f>
        <v>550281167</v>
      </c>
      <c r="F1189" s="112">
        <f>+INVERSIÓN!$DM$39</f>
        <v>538000786</v>
      </c>
      <c r="G1189" s="175" t="s">
        <v>421</v>
      </c>
    </row>
    <row r="1190" spans="1:7" ht="24.75" hidden="1" customHeight="1" x14ac:dyDescent="0.2">
      <c r="A1190" s="560"/>
      <c r="B1190" s="567" t="s">
        <v>357</v>
      </c>
      <c r="C1190" s="567" t="s">
        <v>419</v>
      </c>
      <c r="D1190" s="175" t="s">
        <v>696</v>
      </c>
      <c r="E1190" s="112">
        <f>+INVERSIÓN!$DL$46</f>
        <v>1625097832</v>
      </c>
      <c r="F1190" s="112">
        <f>+INVERSIÓN!$DM$46</f>
        <v>1616580500</v>
      </c>
      <c r="G1190" s="175" t="s">
        <v>421</v>
      </c>
    </row>
    <row r="1191" spans="1:7" ht="24.75" hidden="1" customHeight="1" x14ac:dyDescent="0.2">
      <c r="A1191" s="516"/>
      <c r="B1191" s="567"/>
      <c r="C1191" s="567"/>
      <c r="D1191" s="175" t="s">
        <v>308</v>
      </c>
      <c r="E1191" s="112">
        <f>+INVERSIÓN!$DL$53</f>
        <v>785712653</v>
      </c>
      <c r="F1191" s="112">
        <f>+INVERSIÓN!$DM$53</f>
        <v>785712653</v>
      </c>
      <c r="G1191" s="175" t="s">
        <v>421</v>
      </c>
    </row>
    <row r="1192" spans="1:7" ht="24.75" hidden="1" customHeight="1" x14ac:dyDescent="0.2">
      <c r="A1192" s="559" t="s">
        <v>713</v>
      </c>
      <c r="B1192" s="567" t="s">
        <v>342</v>
      </c>
      <c r="C1192" s="567" t="s">
        <v>411</v>
      </c>
      <c r="D1192" s="175" t="s">
        <v>304</v>
      </c>
      <c r="E1192" s="112">
        <v>1616030154</v>
      </c>
      <c r="F1192" s="112">
        <v>1085607000</v>
      </c>
      <c r="G1192" s="175" t="s">
        <v>421</v>
      </c>
    </row>
    <row r="1193" spans="1:7" ht="24.75" hidden="1" customHeight="1" x14ac:dyDescent="0.2">
      <c r="A1193" s="560"/>
      <c r="B1193" s="567"/>
      <c r="C1193" s="567"/>
      <c r="D1193" s="175" t="s">
        <v>594</v>
      </c>
      <c r="E1193" s="112">
        <v>3563658800</v>
      </c>
      <c r="F1193" s="112">
        <v>2098565644</v>
      </c>
      <c r="G1193" s="175" t="s">
        <v>421</v>
      </c>
    </row>
    <row r="1194" spans="1:7" ht="24.75" hidden="1" customHeight="1" x14ac:dyDescent="0.2">
      <c r="A1194" s="560"/>
      <c r="B1194" s="567"/>
      <c r="C1194" s="567"/>
      <c r="D1194" s="175" t="s">
        <v>414</v>
      </c>
      <c r="E1194" s="112">
        <v>3053478695</v>
      </c>
      <c r="F1194" s="112">
        <v>2752134695</v>
      </c>
      <c r="G1194" s="175" t="s">
        <v>421</v>
      </c>
    </row>
    <row r="1195" spans="1:7" ht="24.75" hidden="1" customHeight="1" x14ac:dyDescent="0.2">
      <c r="A1195" s="560"/>
      <c r="B1195" s="175" t="s">
        <v>349</v>
      </c>
      <c r="C1195" s="175" t="s">
        <v>415</v>
      </c>
      <c r="D1195" s="175" t="s">
        <v>416</v>
      </c>
      <c r="E1195" s="112">
        <v>1204899099</v>
      </c>
      <c r="F1195" s="112">
        <v>1066399666</v>
      </c>
      <c r="G1195" s="175" t="s">
        <v>421</v>
      </c>
    </row>
    <row r="1196" spans="1:7" ht="24.75" hidden="1" customHeight="1" x14ac:dyDescent="0.2">
      <c r="A1196" s="560"/>
      <c r="B1196" s="175" t="s">
        <v>353</v>
      </c>
      <c r="C1196" s="175" t="s">
        <v>417</v>
      </c>
      <c r="D1196" s="175" t="s">
        <v>418</v>
      </c>
      <c r="E1196" s="112">
        <v>558846267</v>
      </c>
      <c r="F1196" s="112">
        <v>481666944</v>
      </c>
      <c r="G1196" s="175" t="s">
        <v>421</v>
      </c>
    </row>
    <row r="1197" spans="1:7" ht="24.75" hidden="1" customHeight="1" x14ac:dyDescent="0.2">
      <c r="A1197" s="560"/>
      <c r="B1197" s="567" t="s">
        <v>357</v>
      </c>
      <c r="C1197" s="567" t="s">
        <v>419</v>
      </c>
      <c r="D1197" s="175" t="s">
        <v>696</v>
      </c>
      <c r="E1197" s="112">
        <v>1594881932</v>
      </c>
      <c r="F1197" s="112">
        <v>1517441500</v>
      </c>
      <c r="G1197" s="175" t="s">
        <v>421</v>
      </c>
    </row>
    <row r="1198" spans="1:7" ht="24.75" hidden="1" customHeight="1" x14ac:dyDescent="0.2">
      <c r="A1198" s="516"/>
      <c r="B1198" s="567"/>
      <c r="C1198" s="567"/>
      <c r="D1198" s="175" t="s">
        <v>308</v>
      </c>
      <c r="E1198" s="112">
        <v>794087053</v>
      </c>
      <c r="F1198" s="112">
        <v>757691652</v>
      </c>
      <c r="G1198" s="175" t="s">
        <v>421</v>
      </c>
    </row>
    <row r="1199" spans="1:7" ht="24.75" hidden="1" customHeight="1" x14ac:dyDescent="0.2">
      <c r="A1199" s="559" t="s">
        <v>714</v>
      </c>
      <c r="B1199" s="567" t="s">
        <v>342</v>
      </c>
      <c r="C1199" s="567" t="s">
        <v>411</v>
      </c>
      <c r="D1199" s="175" t="s">
        <v>304</v>
      </c>
      <c r="E1199" s="112">
        <v>1596594354</v>
      </c>
      <c r="F1199" s="112">
        <v>1129378400</v>
      </c>
      <c r="G1199" s="175" t="s">
        <v>421</v>
      </c>
    </row>
    <row r="1200" spans="1:7" ht="24.75" hidden="1" customHeight="1" x14ac:dyDescent="0.2">
      <c r="A1200" s="560"/>
      <c r="B1200" s="567"/>
      <c r="C1200" s="567"/>
      <c r="D1200" s="175" t="s">
        <v>594</v>
      </c>
      <c r="E1200" s="112">
        <v>3572033200</v>
      </c>
      <c r="F1200" s="112">
        <v>2124540824</v>
      </c>
      <c r="G1200" s="175" t="s">
        <v>421</v>
      </c>
    </row>
    <row r="1201" spans="1:7" ht="24.75" hidden="1" customHeight="1" x14ac:dyDescent="0.2">
      <c r="A1201" s="560"/>
      <c r="B1201" s="567"/>
      <c r="C1201" s="567"/>
      <c r="D1201" s="175" t="s">
        <v>414</v>
      </c>
      <c r="E1201" s="112">
        <v>3064957095</v>
      </c>
      <c r="F1201" s="112">
        <v>2796009795</v>
      </c>
      <c r="G1201" s="175" t="s">
        <v>421</v>
      </c>
    </row>
    <row r="1202" spans="1:7" ht="24.75" hidden="1" customHeight="1" x14ac:dyDescent="0.2">
      <c r="A1202" s="560"/>
      <c r="B1202" s="175" t="s">
        <v>349</v>
      </c>
      <c r="C1202" s="175" t="s">
        <v>415</v>
      </c>
      <c r="D1202" s="175" t="s">
        <v>416</v>
      </c>
      <c r="E1202" s="112">
        <v>1208157599</v>
      </c>
      <c r="F1202" s="112">
        <v>1128719166</v>
      </c>
      <c r="G1202" s="175" t="s">
        <v>421</v>
      </c>
    </row>
    <row r="1203" spans="1:7" ht="24.75" hidden="1" customHeight="1" x14ac:dyDescent="0.2">
      <c r="A1203" s="560"/>
      <c r="B1203" s="175" t="s">
        <v>353</v>
      </c>
      <c r="C1203" s="175" t="s">
        <v>417</v>
      </c>
      <c r="D1203" s="175" t="s">
        <v>418</v>
      </c>
      <c r="E1203" s="112">
        <v>558846267</v>
      </c>
      <c r="F1203" s="112">
        <v>513434344</v>
      </c>
      <c r="G1203" s="175" t="s">
        <v>421</v>
      </c>
    </row>
    <row r="1204" spans="1:7" ht="24.75" hidden="1" customHeight="1" x14ac:dyDescent="0.2">
      <c r="A1204" s="560"/>
      <c r="B1204" s="567" t="s">
        <v>357</v>
      </c>
      <c r="C1204" s="567" t="s">
        <v>419</v>
      </c>
      <c r="D1204" s="175" t="s">
        <v>696</v>
      </c>
      <c r="E1204" s="112">
        <v>1599580832</v>
      </c>
      <c r="F1204" s="112">
        <v>1567170300</v>
      </c>
      <c r="G1204" s="175" t="s">
        <v>421</v>
      </c>
    </row>
    <row r="1205" spans="1:7" ht="24.75" hidden="1" customHeight="1" x14ac:dyDescent="0.2">
      <c r="A1205" s="516"/>
      <c r="B1205" s="567"/>
      <c r="C1205" s="567"/>
      <c r="D1205" s="175" t="s">
        <v>308</v>
      </c>
      <c r="E1205" s="112">
        <v>785712653</v>
      </c>
      <c r="F1205" s="112">
        <v>785712653</v>
      </c>
      <c r="G1205" s="175" t="s">
        <v>421</v>
      </c>
    </row>
    <row r="1206" spans="1:7" ht="24.75" hidden="1" customHeight="1" x14ac:dyDescent="0.2">
      <c r="A1206" s="559" t="s">
        <v>723</v>
      </c>
      <c r="B1206" s="567" t="s">
        <v>342</v>
      </c>
      <c r="C1206" s="567" t="s">
        <v>411</v>
      </c>
      <c r="D1206" s="175" t="s">
        <v>304</v>
      </c>
      <c r="E1206" s="112">
        <f>+INVERSIÓN!$DL$11</f>
        <v>1587830354</v>
      </c>
      <c r="F1206" s="112">
        <f>+INVERSIÓN!$DM$11</f>
        <v>1581509471</v>
      </c>
      <c r="G1206" s="175" t="s">
        <v>421</v>
      </c>
    </row>
    <row r="1207" spans="1:7" ht="24.75" hidden="1" customHeight="1" x14ac:dyDescent="0.2">
      <c r="A1207" s="560"/>
      <c r="B1207" s="567"/>
      <c r="C1207" s="567"/>
      <c r="D1207" s="175" t="s">
        <v>594</v>
      </c>
      <c r="E1207" s="112">
        <f>+INVERSIÓN!$DL$18</f>
        <v>2943746700</v>
      </c>
      <c r="F1207" s="112">
        <f>+INVERSIÓN!$DM$18</f>
        <v>2316950923</v>
      </c>
      <c r="G1207" s="175" t="s">
        <v>421</v>
      </c>
    </row>
    <row r="1208" spans="1:7" ht="24.75" hidden="1" customHeight="1" x14ac:dyDescent="0.2">
      <c r="A1208" s="560"/>
      <c r="B1208" s="567"/>
      <c r="C1208" s="567"/>
      <c r="D1208" s="175" t="s">
        <v>414</v>
      </c>
      <c r="E1208" s="112">
        <f>+INVERSIÓN!$DL$25</f>
        <v>3019226595</v>
      </c>
      <c r="F1208" s="112">
        <f>+INVERSIÓN!$DM$25</f>
        <v>3013503988</v>
      </c>
      <c r="G1208" s="175" t="s">
        <v>421</v>
      </c>
    </row>
    <row r="1209" spans="1:7" ht="24.75" hidden="1" customHeight="1" x14ac:dyDescent="0.2">
      <c r="A1209" s="560"/>
      <c r="B1209" s="175" t="s">
        <v>349</v>
      </c>
      <c r="C1209" s="175" t="s">
        <v>415</v>
      </c>
      <c r="D1209" s="175" t="s">
        <v>416</v>
      </c>
      <c r="E1209" s="112">
        <f>+INVERSIÓN!$DL$32</f>
        <v>1223986699</v>
      </c>
      <c r="F1209" s="112">
        <f>+INVERSIÓN!$DM$32</f>
        <v>1222018466</v>
      </c>
      <c r="G1209" s="175" t="s">
        <v>421</v>
      </c>
    </row>
    <row r="1210" spans="1:7" ht="24.75" hidden="1" customHeight="1" x14ac:dyDescent="0.2">
      <c r="A1210" s="560"/>
      <c r="B1210" s="175" t="s">
        <v>353</v>
      </c>
      <c r="C1210" s="175" t="s">
        <v>417</v>
      </c>
      <c r="D1210" s="175" t="s">
        <v>418</v>
      </c>
      <c r="E1210" s="112">
        <f>+INVERSIÓN!$DL$39</f>
        <v>550281167</v>
      </c>
      <c r="F1210" s="112">
        <f>+INVERSIÓN!$DM$39</f>
        <v>538000786</v>
      </c>
      <c r="G1210" s="175" t="s">
        <v>421</v>
      </c>
    </row>
    <row r="1211" spans="1:7" ht="24.75" hidden="1" customHeight="1" x14ac:dyDescent="0.2">
      <c r="A1211" s="560"/>
      <c r="B1211" s="567" t="s">
        <v>357</v>
      </c>
      <c r="C1211" s="567" t="s">
        <v>419</v>
      </c>
      <c r="D1211" s="175" t="s">
        <v>696</v>
      </c>
      <c r="E1211" s="112">
        <f>+INVERSIÓN!$DL$46</f>
        <v>1625097832</v>
      </c>
      <c r="F1211" s="112">
        <f>+INVERSIÓN!$DM$46</f>
        <v>1616580500</v>
      </c>
      <c r="G1211" s="175" t="s">
        <v>421</v>
      </c>
    </row>
    <row r="1212" spans="1:7" ht="24.75" hidden="1" customHeight="1" x14ac:dyDescent="0.2">
      <c r="A1212" s="516"/>
      <c r="B1212" s="567"/>
      <c r="C1212" s="567"/>
      <c r="D1212" s="175" t="s">
        <v>308</v>
      </c>
      <c r="E1212" s="112">
        <f>+INVERSIÓN!$DL$53</f>
        <v>785712653</v>
      </c>
      <c r="F1212" s="112">
        <f>+INVERSIÓN!$DM$53</f>
        <v>785712653</v>
      </c>
      <c r="G1212" s="175" t="s">
        <v>421</v>
      </c>
    </row>
    <row r="1213" spans="1:7" ht="24.75" customHeight="1" x14ac:dyDescent="0.2">
      <c r="A1213" s="77"/>
      <c r="B1213" s="79"/>
      <c r="C1213" s="79"/>
      <c r="D1213" s="79"/>
      <c r="E1213" s="310"/>
      <c r="F1213" s="310"/>
      <c r="G1213" s="79"/>
    </row>
    <row r="1214" spans="1:7" ht="24.75" customHeight="1" x14ac:dyDescent="0.2">
      <c r="A1214" s="561" t="s">
        <v>753</v>
      </c>
      <c r="B1214" s="562"/>
      <c r="C1214" s="562"/>
      <c r="D1214" s="562"/>
      <c r="E1214" s="562"/>
      <c r="F1214" s="562"/>
      <c r="G1214" s="563"/>
    </row>
    <row r="1215" spans="1:7" ht="24.75" customHeight="1" x14ac:dyDescent="0.2">
      <c r="A1215" s="74" t="s">
        <v>63</v>
      </c>
      <c r="B1215" s="29" t="s">
        <v>144</v>
      </c>
      <c r="C1215" s="29" t="s">
        <v>145</v>
      </c>
      <c r="D1215" s="29" t="s">
        <v>164</v>
      </c>
      <c r="E1215" s="29" t="s">
        <v>754</v>
      </c>
      <c r="F1215" s="29" t="s">
        <v>755</v>
      </c>
      <c r="G1215" s="29" t="s">
        <v>167</v>
      </c>
    </row>
    <row r="1216" spans="1:7" ht="24.75" customHeight="1" x14ac:dyDescent="0.2">
      <c r="A1216" s="559" t="s">
        <v>135</v>
      </c>
      <c r="B1216" s="567" t="s">
        <v>342</v>
      </c>
      <c r="C1216" s="567" t="s">
        <v>411</v>
      </c>
      <c r="D1216" s="175" t="s">
        <v>304</v>
      </c>
      <c r="E1216" s="112">
        <v>3576294000</v>
      </c>
      <c r="F1216" s="112">
        <v>203290632</v>
      </c>
      <c r="G1216" s="175" t="s">
        <v>421</v>
      </c>
    </row>
    <row r="1217" spans="1:7" ht="24.75" customHeight="1" x14ac:dyDescent="0.2">
      <c r="A1217" s="560"/>
      <c r="B1217" s="567"/>
      <c r="C1217" s="567"/>
      <c r="D1217" s="175" t="s">
        <v>594</v>
      </c>
      <c r="E1217" s="112">
        <v>4285310000</v>
      </c>
      <c r="F1217" s="112">
        <v>41290000</v>
      </c>
      <c r="G1217" s="175" t="s">
        <v>421</v>
      </c>
    </row>
    <row r="1218" spans="1:7" ht="24.75" customHeight="1" x14ac:dyDescent="0.2">
      <c r="A1218" s="560"/>
      <c r="B1218" s="567"/>
      <c r="C1218" s="567"/>
      <c r="D1218" s="175" t="s">
        <v>414</v>
      </c>
      <c r="E1218" s="112">
        <v>3706433999.8099999</v>
      </c>
      <c r="F1218" s="112">
        <v>164965845</v>
      </c>
      <c r="G1218" s="175" t="s">
        <v>421</v>
      </c>
    </row>
    <row r="1219" spans="1:7" ht="24.75" customHeight="1" x14ac:dyDescent="0.2">
      <c r="A1219" s="560"/>
      <c r="B1219" s="175" t="s">
        <v>349</v>
      </c>
      <c r="C1219" s="175" t="s">
        <v>415</v>
      </c>
      <c r="D1219" s="175" t="s">
        <v>416</v>
      </c>
      <c r="E1219" s="112">
        <v>1752800000</v>
      </c>
      <c r="F1219" s="112">
        <v>114638000</v>
      </c>
      <c r="G1219" s="175" t="s">
        <v>421</v>
      </c>
    </row>
    <row r="1220" spans="1:7" ht="24.75" customHeight="1" x14ac:dyDescent="0.2">
      <c r="A1220" s="560"/>
      <c r="B1220" s="175" t="s">
        <v>353</v>
      </c>
      <c r="C1220" s="175" t="s">
        <v>417</v>
      </c>
      <c r="D1220" s="175" t="s">
        <v>418</v>
      </c>
      <c r="E1220" s="112">
        <v>1153561000</v>
      </c>
      <c r="F1220" s="112">
        <v>43152000</v>
      </c>
      <c r="G1220" s="175" t="s">
        <v>421</v>
      </c>
    </row>
    <row r="1221" spans="1:7" ht="24.75" customHeight="1" x14ac:dyDescent="0.2">
      <c r="A1221" s="560"/>
      <c r="B1221" s="567" t="s">
        <v>357</v>
      </c>
      <c r="C1221" s="567" t="s">
        <v>419</v>
      </c>
      <c r="D1221" s="175" t="s">
        <v>420</v>
      </c>
      <c r="E1221" s="112">
        <v>1832612000</v>
      </c>
      <c r="F1221" s="112">
        <v>47492000</v>
      </c>
      <c r="G1221" s="175" t="s">
        <v>421</v>
      </c>
    </row>
    <row r="1222" spans="1:7" ht="24.75" customHeight="1" x14ac:dyDescent="0.2">
      <c r="A1222" s="516"/>
      <c r="B1222" s="567"/>
      <c r="C1222" s="567"/>
      <c r="D1222" s="175" t="s">
        <v>308</v>
      </c>
      <c r="E1222" s="112">
        <v>1031774000</v>
      </c>
      <c r="F1222" s="112">
        <v>120278000</v>
      </c>
      <c r="G1222" s="175" t="s">
        <v>421</v>
      </c>
    </row>
    <row r="1223" spans="1:7" ht="24.75" customHeight="1" x14ac:dyDescent="0.2">
      <c r="A1223" s="559" t="s">
        <v>136</v>
      </c>
      <c r="B1223" s="567" t="s">
        <v>342</v>
      </c>
      <c r="C1223" s="567" t="s">
        <v>411</v>
      </c>
      <c r="D1223" s="175" t="s">
        <v>304</v>
      </c>
      <c r="E1223" s="112">
        <v>3576294000</v>
      </c>
      <c r="F1223" s="112">
        <v>326776000</v>
      </c>
      <c r="G1223" s="175" t="s">
        <v>421</v>
      </c>
    </row>
    <row r="1224" spans="1:7" ht="24.75" customHeight="1" x14ac:dyDescent="0.2">
      <c r="A1224" s="560"/>
      <c r="B1224" s="567"/>
      <c r="C1224" s="567"/>
      <c r="D1224" s="175" t="s">
        <v>594</v>
      </c>
      <c r="E1224" s="112">
        <v>4285310000</v>
      </c>
      <c r="F1224" s="112">
        <v>410464500</v>
      </c>
      <c r="G1224" s="175" t="s">
        <v>421</v>
      </c>
    </row>
    <row r="1225" spans="1:7" ht="24.75" customHeight="1" x14ac:dyDescent="0.2">
      <c r="A1225" s="560"/>
      <c r="B1225" s="567"/>
      <c r="C1225" s="567"/>
      <c r="D1225" s="175" t="s">
        <v>414</v>
      </c>
      <c r="E1225" s="112">
        <v>3706433999.8099999</v>
      </c>
      <c r="F1225" s="112">
        <v>726402000</v>
      </c>
      <c r="G1225" s="175" t="s">
        <v>421</v>
      </c>
    </row>
    <row r="1226" spans="1:7" ht="24.75" customHeight="1" x14ac:dyDescent="0.2">
      <c r="A1226" s="560"/>
      <c r="B1226" s="175" t="s">
        <v>349</v>
      </c>
      <c r="C1226" s="175" t="s">
        <v>415</v>
      </c>
      <c r="D1226" s="175" t="s">
        <v>416</v>
      </c>
      <c r="E1226" s="112">
        <v>1752800000</v>
      </c>
      <c r="F1226" s="112">
        <v>352344000</v>
      </c>
      <c r="G1226" s="175" t="s">
        <v>421</v>
      </c>
    </row>
    <row r="1227" spans="1:7" ht="24.75" customHeight="1" x14ac:dyDescent="0.2">
      <c r="A1227" s="560"/>
      <c r="B1227" s="175" t="s">
        <v>353</v>
      </c>
      <c r="C1227" s="175" t="s">
        <v>417</v>
      </c>
      <c r="D1227" s="175" t="s">
        <v>418</v>
      </c>
      <c r="E1227" s="112">
        <v>1153561000</v>
      </c>
      <c r="F1227" s="112">
        <v>164428000</v>
      </c>
      <c r="G1227" s="175" t="s">
        <v>421</v>
      </c>
    </row>
    <row r="1228" spans="1:7" ht="24.75" customHeight="1" x14ac:dyDescent="0.2">
      <c r="A1228" s="560"/>
      <c r="B1228" s="567" t="s">
        <v>357</v>
      </c>
      <c r="C1228" s="567" t="s">
        <v>419</v>
      </c>
      <c r="D1228" s="175" t="s">
        <v>420</v>
      </c>
      <c r="E1228" s="112">
        <v>1832612000</v>
      </c>
      <c r="F1228" s="112">
        <v>230224000</v>
      </c>
      <c r="G1228" s="175" t="s">
        <v>421</v>
      </c>
    </row>
    <row r="1229" spans="1:7" ht="24.75" customHeight="1" x14ac:dyDescent="0.2">
      <c r="A1229" s="516"/>
      <c r="B1229" s="567"/>
      <c r="C1229" s="567"/>
      <c r="D1229" s="175" t="s">
        <v>308</v>
      </c>
      <c r="E1229" s="112">
        <v>1031774000</v>
      </c>
      <c r="F1229" s="112">
        <v>78350000</v>
      </c>
      <c r="G1229" s="175" t="s">
        <v>421</v>
      </c>
    </row>
    <row r="1230" spans="1:7" ht="24.75" customHeight="1" x14ac:dyDescent="0.2">
      <c r="A1230" s="559" t="s">
        <v>137</v>
      </c>
      <c r="B1230" s="567" t="s">
        <v>342</v>
      </c>
      <c r="C1230" s="567" t="s">
        <v>411</v>
      </c>
      <c r="D1230" s="175" t="s">
        <v>304</v>
      </c>
      <c r="E1230" s="112">
        <v>3583294000</v>
      </c>
      <c r="F1230" s="112">
        <v>717898632</v>
      </c>
      <c r="G1230" s="175" t="s">
        <v>421</v>
      </c>
    </row>
    <row r="1231" spans="1:7" ht="24.75" customHeight="1" x14ac:dyDescent="0.2">
      <c r="A1231" s="560"/>
      <c r="B1231" s="567"/>
      <c r="C1231" s="567"/>
      <c r="D1231" s="175" t="s">
        <v>594</v>
      </c>
      <c r="E1231" s="112">
        <v>4278310000</v>
      </c>
      <c r="F1231" s="112">
        <v>588716500</v>
      </c>
      <c r="G1231" s="175" t="s">
        <v>421</v>
      </c>
    </row>
    <row r="1232" spans="1:7" ht="24.75" customHeight="1" x14ac:dyDescent="0.2">
      <c r="A1232" s="560"/>
      <c r="B1232" s="567"/>
      <c r="C1232" s="567"/>
      <c r="D1232" s="175" t="s">
        <v>414</v>
      </c>
      <c r="E1232" s="112">
        <v>3706433999.8099999</v>
      </c>
      <c r="F1232" s="112">
        <v>1140095845</v>
      </c>
      <c r="G1232" s="175" t="s">
        <v>421</v>
      </c>
    </row>
    <row r="1233" spans="1:7" ht="24.75" customHeight="1" x14ac:dyDescent="0.2">
      <c r="A1233" s="560"/>
      <c r="B1233" s="175" t="s">
        <v>349</v>
      </c>
      <c r="C1233" s="175" t="s">
        <v>415</v>
      </c>
      <c r="D1233" s="175" t="s">
        <v>416</v>
      </c>
      <c r="E1233" s="112">
        <v>1752800000</v>
      </c>
      <c r="F1233" s="112">
        <v>530982000</v>
      </c>
      <c r="G1233" s="175" t="s">
        <v>421</v>
      </c>
    </row>
    <row r="1234" spans="1:7" ht="24.75" customHeight="1" x14ac:dyDescent="0.2">
      <c r="A1234" s="560"/>
      <c r="B1234" s="175" t="s">
        <v>353</v>
      </c>
      <c r="C1234" s="175" t="s">
        <v>417</v>
      </c>
      <c r="D1234" s="175" t="s">
        <v>418</v>
      </c>
      <c r="E1234" s="112">
        <v>1153561000</v>
      </c>
      <c r="F1234" s="112">
        <v>323695810</v>
      </c>
      <c r="G1234" s="175" t="s">
        <v>421</v>
      </c>
    </row>
    <row r="1235" spans="1:7" ht="24.75" customHeight="1" x14ac:dyDescent="0.2">
      <c r="A1235" s="560"/>
      <c r="B1235" s="567" t="s">
        <v>357</v>
      </c>
      <c r="C1235" s="567" t="s">
        <v>419</v>
      </c>
      <c r="D1235" s="175" t="s">
        <v>420</v>
      </c>
      <c r="E1235" s="112">
        <v>1832612000</v>
      </c>
      <c r="F1235" s="112">
        <v>435712000</v>
      </c>
      <c r="G1235" s="175" t="s">
        <v>421</v>
      </c>
    </row>
    <row r="1236" spans="1:7" ht="24.75" customHeight="1" x14ac:dyDescent="0.2">
      <c r="A1236" s="516"/>
      <c r="B1236" s="567"/>
      <c r="C1236" s="567"/>
      <c r="D1236" s="175" t="s">
        <v>308</v>
      </c>
      <c r="E1236" s="112">
        <v>1031774000</v>
      </c>
      <c r="F1236" s="112">
        <v>303976000</v>
      </c>
      <c r="G1236" s="175" t="s">
        <v>421</v>
      </c>
    </row>
    <row r="1237" spans="1:7" ht="24.75" customHeight="1" x14ac:dyDescent="0.2">
      <c r="A1237" s="559" t="s">
        <v>138</v>
      </c>
      <c r="B1237" s="567" t="s">
        <v>342</v>
      </c>
      <c r="C1237" s="567" t="s">
        <v>411</v>
      </c>
      <c r="D1237" s="175" t="s">
        <v>304</v>
      </c>
      <c r="E1237" s="112">
        <f>+INVERSIÓN!$EP$11</f>
        <v>3581994000</v>
      </c>
      <c r="F1237" s="112">
        <f>+INVERSIÓN!$EQ$11</f>
        <v>1024542365</v>
      </c>
      <c r="G1237" s="175" t="s">
        <v>421</v>
      </c>
    </row>
    <row r="1238" spans="1:7" ht="24.75" customHeight="1" x14ac:dyDescent="0.2">
      <c r="A1238" s="560"/>
      <c r="B1238" s="567"/>
      <c r="C1238" s="567"/>
      <c r="D1238" s="175" t="s">
        <v>594</v>
      </c>
      <c r="E1238" s="112">
        <f>+INVERSIÓN!$EP$18</f>
        <v>4289610000</v>
      </c>
      <c r="F1238" s="112">
        <f>+INVERSIÓN!$EQ$18</f>
        <v>1021047400</v>
      </c>
      <c r="G1238" s="175" t="s">
        <v>421</v>
      </c>
    </row>
    <row r="1239" spans="1:7" ht="24.75" customHeight="1" x14ac:dyDescent="0.2">
      <c r="A1239" s="560"/>
      <c r="B1239" s="567"/>
      <c r="C1239" s="567"/>
      <c r="D1239" s="175" t="s">
        <v>414</v>
      </c>
      <c r="E1239" s="112">
        <f>+INVERSIÓN!$EP$25</f>
        <v>3696433999.8099999</v>
      </c>
      <c r="F1239" s="112">
        <f>+INVERSIÓN!$EQ$25</f>
        <v>1589008613</v>
      </c>
      <c r="G1239" s="175" t="s">
        <v>421</v>
      </c>
    </row>
    <row r="1240" spans="1:7" ht="24.75" customHeight="1" x14ac:dyDescent="0.2">
      <c r="A1240" s="560"/>
      <c r="B1240" s="175" t="s">
        <v>349</v>
      </c>
      <c r="C1240" s="175" t="s">
        <v>415</v>
      </c>
      <c r="D1240" s="175" t="s">
        <v>416</v>
      </c>
      <c r="E1240" s="112">
        <f>+INVERSIÓN!$EP$32</f>
        <v>1752800000</v>
      </c>
      <c r="F1240" s="112">
        <f>+INVERSIÓN!$EQ$32</f>
        <v>869320000</v>
      </c>
      <c r="G1240" s="175" t="s">
        <v>421</v>
      </c>
    </row>
    <row r="1241" spans="1:7" ht="24.75" customHeight="1" x14ac:dyDescent="0.2">
      <c r="A1241" s="560"/>
      <c r="B1241" s="175" t="s">
        <v>353</v>
      </c>
      <c r="C1241" s="175" t="s">
        <v>417</v>
      </c>
      <c r="D1241" s="175" t="s">
        <v>418</v>
      </c>
      <c r="E1241" s="112">
        <f>+INVERSIÓN!$EP$39</f>
        <v>1153561000</v>
      </c>
      <c r="F1241" s="112">
        <f>+INVERSIÓN!$EQ$39</f>
        <v>444957336</v>
      </c>
      <c r="G1241" s="175" t="s">
        <v>421</v>
      </c>
    </row>
    <row r="1242" spans="1:7" ht="24.75" customHeight="1" x14ac:dyDescent="0.2">
      <c r="A1242" s="560"/>
      <c r="B1242" s="567" t="s">
        <v>357</v>
      </c>
      <c r="C1242" s="567" t="s">
        <v>419</v>
      </c>
      <c r="D1242" s="175" t="s">
        <v>420</v>
      </c>
      <c r="E1242" s="112">
        <f>+INVERSIÓN!$EP$46</f>
        <v>1832612000</v>
      </c>
      <c r="F1242" s="112">
        <f>+INVERSIÓN!$EQ$46</f>
        <v>793718000</v>
      </c>
      <c r="G1242" s="175" t="s">
        <v>421</v>
      </c>
    </row>
    <row r="1243" spans="1:7" ht="24.75" customHeight="1" x14ac:dyDescent="0.2">
      <c r="A1243" s="516"/>
      <c r="B1243" s="567"/>
      <c r="C1243" s="567"/>
      <c r="D1243" s="175" t="s">
        <v>308</v>
      </c>
      <c r="E1243" s="112">
        <f>+INVERSIÓN!$EP$53</f>
        <v>1031774000</v>
      </c>
      <c r="F1243" s="112">
        <f>+INVERSIÓN!$EQ$53</f>
        <v>389842000</v>
      </c>
      <c r="G1243" s="175" t="s">
        <v>421</v>
      </c>
    </row>
    <row r="1244" spans="1:7" ht="24.75" customHeight="1" x14ac:dyDescent="0.2">
      <c r="A1244" s="678" t="s">
        <v>139</v>
      </c>
      <c r="B1244" s="763" t="s">
        <v>342</v>
      </c>
      <c r="C1244" s="763" t="s">
        <v>411</v>
      </c>
      <c r="D1244" s="764" t="s">
        <v>304</v>
      </c>
      <c r="E1244" s="665">
        <f>+INVERSIÓN!$EP$11</f>
        <v>3581994000</v>
      </c>
      <c r="F1244" s="665">
        <f>+INVERSIÓN!$EQ$11</f>
        <v>1024542365</v>
      </c>
      <c r="G1244" s="764" t="s">
        <v>421</v>
      </c>
    </row>
    <row r="1245" spans="1:7" ht="24.75" customHeight="1" x14ac:dyDescent="0.2">
      <c r="A1245" s="668"/>
      <c r="B1245" s="763"/>
      <c r="C1245" s="763"/>
      <c r="D1245" s="764" t="s">
        <v>594</v>
      </c>
      <c r="E1245" s="665">
        <f>+INVERSIÓN!$EP$18</f>
        <v>4289610000</v>
      </c>
      <c r="F1245" s="665">
        <f>+INVERSIÓN!$EQ$18</f>
        <v>1021047400</v>
      </c>
      <c r="G1245" s="764" t="s">
        <v>421</v>
      </c>
    </row>
    <row r="1246" spans="1:7" ht="24.75" customHeight="1" x14ac:dyDescent="0.2">
      <c r="A1246" s="668"/>
      <c r="B1246" s="763"/>
      <c r="C1246" s="763"/>
      <c r="D1246" s="764" t="s">
        <v>414</v>
      </c>
      <c r="E1246" s="665">
        <f>+INVERSIÓN!$EP$25</f>
        <v>3696433999.8099999</v>
      </c>
      <c r="F1246" s="665">
        <f>+INVERSIÓN!$EQ$25</f>
        <v>1589008613</v>
      </c>
      <c r="G1246" s="764" t="s">
        <v>421</v>
      </c>
    </row>
    <row r="1247" spans="1:7" ht="24.75" customHeight="1" x14ac:dyDescent="0.2">
      <c r="A1247" s="668"/>
      <c r="B1247" s="764" t="s">
        <v>349</v>
      </c>
      <c r="C1247" s="764" t="s">
        <v>415</v>
      </c>
      <c r="D1247" s="764" t="s">
        <v>416</v>
      </c>
      <c r="E1247" s="665">
        <f>+INVERSIÓN!$EP$32</f>
        <v>1752800000</v>
      </c>
      <c r="F1247" s="665">
        <f>+INVERSIÓN!$EQ$32</f>
        <v>869320000</v>
      </c>
      <c r="G1247" s="764" t="s">
        <v>421</v>
      </c>
    </row>
    <row r="1248" spans="1:7" ht="24.75" customHeight="1" x14ac:dyDescent="0.2">
      <c r="A1248" s="668"/>
      <c r="B1248" s="764" t="s">
        <v>353</v>
      </c>
      <c r="C1248" s="764" t="s">
        <v>417</v>
      </c>
      <c r="D1248" s="764" t="s">
        <v>418</v>
      </c>
      <c r="E1248" s="665">
        <f>+INVERSIÓN!$EP$39</f>
        <v>1153561000</v>
      </c>
      <c r="F1248" s="665">
        <f>+INVERSIÓN!$EQ$39</f>
        <v>444957336</v>
      </c>
      <c r="G1248" s="764" t="s">
        <v>421</v>
      </c>
    </row>
    <row r="1249" spans="1:9" ht="24.75" customHeight="1" x14ac:dyDescent="0.2">
      <c r="A1249" s="668"/>
      <c r="B1249" s="763" t="s">
        <v>357</v>
      </c>
      <c r="C1249" s="763" t="s">
        <v>419</v>
      </c>
      <c r="D1249" s="764" t="s">
        <v>420</v>
      </c>
      <c r="E1249" s="665">
        <f>+INVERSIÓN!$EP$46</f>
        <v>1832612000</v>
      </c>
      <c r="F1249" s="665">
        <f>+INVERSIÓN!$EQ$46</f>
        <v>793718000</v>
      </c>
      <c r="G1249" s="764" t="s">
        <v>421</v>
      </c>
    </row>
    <row r="1250" spans="1:9" ht="24.75" customHeight="1" x14ac:dyDescent="0.2">
      <c r="A1250" s="666"/>
      <c r="B1250" s="763"/>
      <c r="C1250" s="763"/>
      <c r="D1250" s="764" t="s">
        <v>308</v>
      </c>
      <c r="E1250" s="665">
        <f>+INVERSIÓN!$EP$53</f>
        <v>1031774000</v>
      </c>
      <c r="F1250" s="665">
        <f>+INVERSIÓN!$EQ$53</f>
        <v>389842000</v>
      </c>
      <c r="G1250" s="764" t="s">
        <v>421</v>
      </c>
    </row>
    <row r="1251" spans="1:9" ht="24.75" customHeight="1" x14ac:dyDescent="0.2">
      <c r="A1251" s="77"/>
      <c r="B1251" s="79"/>
      <c r="C1251" s="79"/>
      <c r="D1251" s="79"/>
      <c r="E1251" s="310"/>
      <c r="F1251" s="310"/>
      <c r="G1251" s="79"/>
    </row>
    <row r="1252" spans="1:9" ht="24.75" customHeight="1" x14ac:dyDescent="0.2">
      <c r="A1252" s="561" t="s">
        <v>174</v>
      </c>
      <c r="B1252" s="562"/>
      <c r="C1252" s="562"/>
      <c r="D1252" s="562"/>
      <c r="E1252" s="562"/>
      <c r="F1252" s="562"/>
      <c r="G1252" s="562"/>
      <c r="H1252" s="563"/>
    </row>
    <row r="1253" spans="1:9" ht="24.75" customHeight="1" x14ac:dyDescent="0.2">
      <c r="A1253" s="74" t="s">
        <v>48</v>
      </c>
      <c r="B1253" s="29" t="s">
        <v>175</v>
      </c>
      <c r="C1253" s="205" t="s">
        <v>147</v>
      </c>
      <c r="D1253" s="205" t="s">
        <v>148</v>
      </c>
      <c r="E1253" s="205" t="s">
        <v>176</v>
      </c>
      <c r="F1253" s="205" t="s">
        <v>177</v>
      </c>
      <c r="G1253" s="205" t="s">
        <v>178</v>
      </c>
      <c r="H1253" s="29" t="s">
        <v>167</v>
      </c>
    </row>
    <row r="1254" spans="1:9" s="77" customFormat="1" ht="24.75" hidden="1" customHeight="1" x14ac:dyDescent="0.25">
      <c r="A1254" s="609" t="s">
        <v>128</v>
      </c>
      <c r="B1254" s="173" t="s">
        <v>425</v>
      </c>
      <c r="C1254" s="34" t="s">
        <v>426</v>
      </c>
      <c r="D1254" s="88">
        <v>0.15</v>
      </c>
      <c r="E1254" s="174">
        <v>20</v>
      </c>
      <c r="F1254" s="174">
        <v>20</v>
      </c>
      <c r="G1254" s="78">
        <f>F1254/E1254</f>
        <v>1</v>
      </c>
      <c r="H1254" s="175" t="str">
        <f t="shared" ref="H1254:H1288" si="39">+L565</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1254" s="94"/>
    </row>
    <row r="1255" spans="1:9" s="77" customFormat="1" ht="24.75" hidden="1" customHeight="1" x14ac:dyDescent="0.25">
      <c r="A1255" s="610"/>
      <c r="B1255" s="173" t="s">
        <v>427</v>
      </c>
      <c r="C1255" s="34" t="s">
        <v>426</v>
      </c>
      <c r="D1255" s="88">
        <v>0.15</v>
      </c>
      <c r="E1255" s="89">
        <v>4</v>
      </c>
      <c r="F1255" s="89">
        <v>0</v>
      </c>
      <c r="G1255" s="78">
        <f>F1255/E1255</f>
        <v>0</v>
      </c>
      <c r="H1255" s="175" t="str">
        <f t="shared" si="39"/>
        <v xml:space="preserve">No fueron programados avances para el mes de julio, la ejecución respectiva se realizará desde el mes de agosto </v>
      </c>
      <c r="I1255" s="94"/>
    </row>
    <row r="1256" spans="1:9" s="77" customFormat="1" ht="24.75" hidden="1" customHeight="1" x14ac:dyDescent="0.25">
      <c r="A1256" s="610"/>
      <c r="B1256" s="173" t="s">
        <v>428</v>
      </c>
      <c r="C1256" s="34" t="s">
        <v>426</v>
      </c>
      <c r="D1256" s="88">
        <v>0.15</v>
      </c>
      <c r="E1256" s="89">
        <v>1</v>
      </c>
      <c r="F1256" s="89">
        <v>0.1666</v>
      </c>
      <c r="G1256" s="78">
        <f>F1256/E1256</f>
        <v>0.1666</v>
      </c>
      <c r="H1256" s="175" t="str">
        <f t="shared" si="39"/>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1256" s="94"/>
    </row>
    <row r="1257" spans="1:9" s="77" customFormat="1" ht="24.75" hidden="1" customHeight="1" x14ac:dyDescent="0.25">
      <c r="A1257" s="610"/>
      <c r="B1257" s="173" t="s">
        <v>429</v>
      </c>
      <c r="C1257" s="34" t="s">
        <v>426</v>
      </c>
      <c r="D1257" s="88">
        <v>0.15</v>
      </c>
      <c r="E1257" s="174">
        <v>362</v>
      </c>
      <c r="F1257" s="174">
        <v>5</v>
      </c>
      <c r="G1257" s="78">
        <f t="shared" ref="G1257:G1295" si="40">F1257/E1257</f>
        <v>1.3812154696132596E-2</v>
      </c>
      <c r="H1257" s="175" t="str">
        <f t="shared" si="39"/>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1257" s="94"/>
    </row>
    <row r="1258" spans="1:9" s="77" customFormat="1" ht="24.75" hidden="1" customHeight="1" x14ac:dyDescent="0.25">
      <c r="A1258" s="610"/>
      <c r="B1258" s="173" t="s">
        <v>430</v>
      </c>
      <c r="C1258" s="34" t="s">
        <v>426</v>
      </c>
      <c r="D1258" s="88">
        <v>0.15</v>
      </c>
      <c r="E1258" s="89">
        <v>1</v>
      </c>
      <c r="F1258" s="89">
        <v>1</v>
      </c>
      <c r="G1258" s="78">
        <f t="shared" si="40"/>
        <v>1</v>
      </c>
      <c r="H1258" s="175" t="str">
        <f t="shared" si="39"/>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1258" s="94"/>
    </row>
    <row r="1259" spans="1:9" s="77" customFormat="1" ht="24.75" hidden="1" customHeight="1" x14ac:dyDescent="0.25">
      <c r="A1259" s="610"/>
      <c r="B1259" s="173" t="s">
        <v>431</v>
      </c>
      <c r="C1259" s="34" t="s">
        <v>426</v>
      </c>
      <c r="D1259" s="88">
        <v>0.15</v>
      </c>
      <c r="E1259" s="89">
        <v>234</v>
      </c>
      <c r="F1259" s="90">
        <v>28</v>
      </c>
      <c r="G1259" s="78">
        <f t="shared" si="40"/>
        <v>0.11965811965811966</v>
      </c>
      <c r="H1259" s="175" t="str">
        <f t="shared" si="39"/>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1259" s="94"/>
    </row>
    <row r="1260" spans="1:9" s="77" customFormat="1" ht="24.75" hidden="1" customHeight="1" x14ac:dyDescent="0.25">
      <c r="A1260" s="610"/>
      <c r="B1260" s="173" t="s">
        <v>432</v>
      </c>
      <c r="C1260" s="34" t="s">
        <v>426</v>
      </c>
      <c r="D1260" s="88">
        <v>0.1</v>
      </c>
      <c r="E1260" s="89">
        <v>1</v>
      </c>
      <c r="F1260" s="89">
        <v>1</v>
      </c>
      <c r="G1260" s="78">
        <f t="shared" si="40"/>
        <v>1</v>
      </c>
      <c r="H1260" s="175" t="str">
        <f t="shared" si="39"/>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1260" s="94"/>
    </row>
    <row r="1261" spans="1:9" s="77" customFormat="1" ht="24.75" hidden="1" customHeight="1" x14ac:dyDescent="0.25">
      <c r="A1261" s="609" t="s">
        <v>129</v>
      </c>
      <c r="B1261" s="173" t="s">
        <v>425</v>
      </c>
      <c r="C1261" s="34" t="s">
        <v>426</v>
      </c>
      <c r="D1261" s="88">
        <v>0.15</v>
      </c>
      <c r="E1261" s="174">
        <v>20</v>
      </c>
      <c r="F1261" s="174">
        <v>20</v>
      </c>
      <c r="G1261" s="78">
        <f t="shared" si="40"/>
        <v>1</v>
      </c>
      <c r="H1261" s="175" t="str">
        <f t="shared" si="39"/>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1261" s="94"/>
    </row>
    <row r="1262" spans="1:9" s="77" customFormat="1" ht="24.75" hidden="1" customHeight="1" x14ac:dyDescent="0.25">
      <c r="A1262" s="610"/>
      <c r="B1262" s="173" t="s">
        <v>427</v>
      </c>
      <c r="C1262" s="34" t="s">
        <v>426</v>
      </c>
      <c r="D1262" s="88">
        <v>0.15</v>
      </c>
      <c r="E1262" s="89">
        <v>4</v>
      </c>
      <c r="F1262" s="89">
        <v>0.90500000000000003</v>
      </c>
      <c r="G1262" s="78">
        <f t="shared" si="40"/>
        <v>0.22625000000000001</v>
      </c>
      <c r="H1262" s="175" t="str">
        <f t="shared" si="39"/>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1262" s="94"/>
    </row>
    <row r="1263" spans="1:9" s="77" customFormat="1" ht="24.75" hidden="1" customHeight="1" x14ac:dyDescent="0.25">
      <c r="A1263" s="610"/>
      <c r="B1263" s="173" t="s">
        <v>428</v>
      </c>
      <c r="C1263" s="34" t="s">
        <v>426</v>
      </c>
      <c r="D1263" s="88">
        <v>0.15</v>
      </c>
      <c r="E1263" s="89">
        <v>1</v>
      </c>
      <c r="F1263" s="89">
        <v>0.1</v>
      </c>
      <c r="G1263" s="78">
        <f t="shared" si="40"/>
        <v>0.1</v>
      </c>
      <c r="H1263" s="175" t="str">
        <f t="shared" si="39"/>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1263" s="94"/>
    </row>
    <row r="1264" spans="1:9" s="77" customFormat="1" ht="24.75" hidden="1" customHeight="1" x14ac:dyDescent="0.25">
      <c r="A1264" s="610"/>
      <c r="B1264" s="173" t="s">
        <v>429</v>
      </c>
      <c r="C1264" s="34" t="s">
        <v>426</v>
      </c>
      <c r="D1264" s="88">
        <v>0.15</v>
      </c>
      <c r="E1264" s="174">
        <v>362</v>
      </c>
      <c r="F1264" s="174">
        <v>1</v>
      </c>
      <c r="G1264" s="78">
        <f t="shared" si="40"/>
        <v>2.7624309392265192E-3</v>
      </c>
      <c r="H1264" s="175" t="str">
        <f t="shared" si="39"/>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1264" s="94"/>
    </row>
    <row r="1265" spans="1:9" s="77" customFormat="1" ht="24.75" hidden="1" customHeight="1" x14ac:dyDescent="0.25">
      <c r="A1265" s="610"/>
      <c r="B1265" s="173" t="s">
        <v>430</v>
      </c>
      <c r="C1265" s="34" t="s">
        <v>426</v>
      </c>
      <c r="D1265" s="88">
        <v>0.15</v>
      </c>
      <c r="E1265" s="89">
        <v>1</v>
      </c>
      <c r="F1265" s="91">
        <v>1</v>
      </c>
      <c r="G1265" s="78">
        <f t="shared" si="40"/>
        <v>1</v>
      </c>
      <c r="H1265" s="175" t="str">
        <f t="shared" si="39"/>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1265" s="94"/>
    </row>
    <row r="1266" spans="1:9" s="77" customFormat="1" ht="24.75" hidden="1" customHeight="1" x14ac:dyDescent="0.25">
      <c r="A1266" s="610"/>
      <c r="B1266" s="173" t="s">
        <v>431</v>
      </c>
      <c r="C1266" s="34" t="s">
        <v>426</v>
      </c>
      <c r="D1266" s="88">
        <v>0.15</v>
      </c>
      <c r="E1266" s="90">
        <v>234</v>
      </c>
      <c r="F1266" s="90">
        <v>18</v>
      </c>
      <c r="G1266" s="78">
        <f t="shared" si="40"/>
        <v>7.6923076923076927E-2</v>
      </c>
      <c r="H1266" s="175" t="str">
        <f t="shared" si="39"/>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1266" s="94"/>
    </row>
    <row r="1267" spans="1:9" s="77" customFormat="1" ht="24.75" hidden="1" customHeight="1" x14ac:dyDescent="0.25">
      <c r="A1267" s="610"/>
      <c r="B1267" s="173" t="s">
        <v>432</v>
      </c>
      <c r="C1267" s="34" t="s">
        <v>426</v>
      </c>
      <c r="D1267" s="88">
        <v>0.1</v>
      </c>
      <c r="E1267" s="89">
        <v>1</v>
      </c>
      <c r="F1267" s="91">
        <v>1</v>
      </c>
      <c r="G1267" s="78">
        <f t="shared" si="40"/>
        <v>1</v>
      </c>
      <c r="H1267" s="175" t="str">
        <f t="shared" si="39"/>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1267" s="94"/>
    </row>
    <row r="1268" spans="1:9" s="77" customFormat="1" ht="24.75" hidden="1" customHeight="1" x14ac:dyDescent="0.25">
      <c r="A1268" s="609" t="s">
        <v>130</v>
      </c>
      <c r="B1268" s="173" t="s">
        <v>425</v>
      </c>
      <c r="C1268" s="34" t="s">
        <v>426</v>
      </c>
      <c r="D1268" s="88">
        <v>0.15</v>
      </c>
      <c r="E1268" s="174">
        <v>20</v>
      </c>
      <c r="F1268" s="174">
        <v>20</v>
      </c>
      <c r="G1268" s="78">
        <f t="shared" si="40"/>
        <v>1</v>
      </c>
      <c r="H1268" s="175" t="str">
        <f t="shared" si="39"/>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1268" s="94"/>
    </row>
    <row r="1269" spans="1:9" s="77" customFormat="1" ht="24.75" hidden="1" customHeight="1" x14ac:dyDescent="0.25">
      <c r="A1269" s="610"/>
      <c r="B1269" s="173" t="s">
        <v>427</v>
      </c>
      <c r="C1269" s="34" t="s">
        <v>426</v>
      </c>
      <c r="D1269" s="88">
        <v>0.15</v>
      </c>
      <c r="E1269" s="89">
        <v>4</v>
      </c>
      <c r="F1269" s="89">
        <v>0.9</v>
      </c>
      <c r="G1269" s="78">
        <f t="shared" si="40"/>
        <v>0.22500000000000001</v>
      </c>
      <c r="H1269" s="175" t="str">
        <f t="shared" si="39"/>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1269" s="94"/>
    </row>
    <row r="1270" spans="1:9" s="77" customFormat="1" ht="24.75" hidden="1" customHeight="1" x14ac:dyDescent="0.25">
      <c r="A1270" s="610"/>
      <c r="B1270" s="173" t="s">
        <v>428</v>
      </c>
      <c r="C1270" s="34" t="s">
        <v>426</v>
      </c>
      <c r="D1270" s="88">
        <v>0.15</v>
      </c>
      <c r="E1270" s="89">
        <v>1</v>
      </c>
      <c r="F1270" s="89">
        <v>0.01</v>
      </c>
      <c r="G1270" s="78">
        <f t="shared" si="40"/>
        <v>0.01</v>
      </c>
      <c r="H1270" s="175" t="str">
        <f t="shared" si="39"/>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1270" s="94"/>
    </row>
    <row r="1271" spans="1:9" s="77" customFormat="1" ht="24.75" hidden="1" customHeight="1" x14ac:dyDescent="0.25">
      <c r="A1271" s="610"/>
      <c r="B1271" s="173" t="s">
        <v>429</v>
      </c>
      <c r="C1271" s="34" t="s">
        <v>426</v>
      </c>
      <c r="D1271" s="88">
        <v>0.15</v>
      </c>
      <c r="E1271" s="174">
        <v>362</v>
      </c>
      <c r="F1271" s="174">
        <v>65</v>
      </c>
      <c r="G1271" s="78">
        <f t="shared" si="40"/>
        <v>0.17955801104972377</v>
      </c>
      <c r="H1271" s="175" t="str">
        <f t="shared" si="39"/>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1271" s="94"/>
    </row>
    <row r="1272" spans="1:9" s="77" customFormat="1" ht="24.75" hidden="1" customHeight="1" x14ac:dyDescent="0.25">
      <c r="A1272" s="610"/>
      <c r="B1272" s="173" t="s">
        <v>430</v>
      </c>
      <c r="C1272" s="34" t="s">
        <v>426</v>
      </c>
      <c r="D1272" s="88">
        <v>0.15</v>
      </c>
      <c r="E1272" s="89">
        <v>1</v>
      </c>
      <c r="F1272" s="91">
        <v>1</v>
      </c>
      <c r="G1272" s="78">
        <f t="shared" si="40"/>
        <v>1</v>
      </c>
      <c r="H1272" s="175" t="str">
        <f t="shared" si="39"/>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1272" s="94"/>
    </row>
    <row r="1273" spans="1:9" s="77" customFormat="1" ht="24.75" hidden="1" customHeight="1" x14ac:dyDescent="0.25">
      <c r="A1273" s="610"/>
      <c r="B1273" s="173" t="s">
        <v>431</v>
      </c>
      <c r="C1273" s="34" t="s">
        <v>426</v>
      </c>
      <c r="D1273" s="88">
        <v>0.15</v>
      </c>
      <c r="E1273" s="89">
        <v>234</v>
      </c>
      <c r="F1273" s="90">
        <v>146</v>
      </c>
      <c r="G1273" s="78">
        <f t="shared" si="40"/>
        <v>0.62393162393162394</v>
      </c>
      <c r="H1273" s="175" t="str">
        <f t="shared" si="39"/>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1273" s="94"/>
    </row>
    <row r="1274" spans="1:9" s="77" customFormat="1" ht="24.75" hidden="1" customHeight="1" x14ac:dyDescent="0.25">
      <c r="A1274" s="610"/>
      <c r="B1274" s="173" t="s">
        <v>432</v>
      </c>
      <c r="C1274" s="34" t="s">
        <v>426</v>
      </c>
      <c r="D1274" s="88">
        <v>0.1</v>
      </c>
      <c r="E1274" s="89">
        <v>1</v>
      </c>
      <c r="F1274" s="91">
        <v>1</v>
      </c>
      <c r="G1274" s="78">
        <f t="shared" si="40"/>
        <v>1</v>
      </c>
      <c r="H1274" s="175" t="str">
        <f t="shared" si="39"/>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1274" s="94"/>
    </row>
    <row r="1275" spans="1:9" s="77" customFormat="1" ht="24.75" hidden="1" customHeight="1" x14ac:dyDescent="0.25">
      <c r="A1275" s="506" t="s">
        <v>131</v>
      </c>
      <c r="B1275" s="173" t="s">
        <v>425</v>
      </c>
      <c r="C1275" s="34" t="s">
        <v>426</v>
      </c>
      <c r="D1275" s="78">
        <v>0.15</v>
      </c>
      <c r="E1275" s="174">
        <v>20</v>
      </c>
      <c r="F1275" s="174">
        <v>20</v>
      </c>
      <c r="G1275" s="78">
        <f t="shared" si="40"/>
        <v>1</v>
      </c>
      <c r="H1275" s="175" t="str">
        <f t="shared" si="39"/>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1275" s="94"/>
    </row>
    <row r="1276" spans="1:9" s="77" customFormat="1" ht="24.75" hidden="1" customHeight="1" x14ac:dyDescent="0.25">
      <c r="A1276" s="506"/>
      <c r="B1276" s="173" t="s">
        <v>427</v>
      </c>
      <c r="C1276" s="34" t="s">
        <v>426</v>
      </c>
      <c r="D1276" s="78">
        <v>0.15</v>
      </c>
      <c r="E1276" s="89">
        <v>4</v>
      </c>
      <c r="F1276" s="89">
        <v>1</v>
      </c>
      <c r="G1276" s="78">
        <f t="shared" si="40"/>
        <v>0.25</v>
      </c>
      <c r="H1276" s="175" t="str">
        <f t="shared" si="39"/>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1276" s="94"/>
    </row>
    <row r="1277" spans="1:9" s="77" customFormat="1" ht="24.75" hidden="1" customHeight="1" x14ac:dyDescent="0.25">
      <c r="A1277" s="506"/>
      <c r="B1277" s="173" t="s">
        <v>428</v>
      </c>
      <c r="C1277" s="34" t="s">
        <v>426</v>
      </c>
      <c r="D1277" s="78">
        <v>0.15</v>
      </c>
      <c r="E1277" s="89">
        <v>1</v>
      </c>
      <c r="F1277" s="89">
        <v>0.16819999999999999</v>
      </c>
      <c r="G1277" s="78">
        <f t="shared" si="40"/>
        <v>0.16819999999999999</v>
      </c>
      <c r="H1277" s="175" t="str">
        <f t="shared" si="39"/>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1277" s="94"/>
    </row>
    <row r="1278" spans="1:9" s="77" customFormat="1" ht="24.75" hidden="1" customHeight="1" x14ac:dyDescent="0.25">
      <c r="A1278" s="506"/>
      <c r="B1278" s="173" t="s">
        <v>429</v>
      </c>
      <c r="C1278" s="34" t="s">
        <v>426</v>
      </c>
      <c r="D1278" s="78">
        <v>0.15</v>
      </c>
      <c r="E1278" s="174">
        <v>362</v>
      </c>
      <c r="F1278" s="174">
        <v>120</v>
      </c>
      <c r="G1278" s="78">
        <f t="shared" si="40"/>
        <v>0.33149171270718231</v>
      </c>
      <c r="H1278" s="175" t="str">
        <f t="shared" si="39"/>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1278" s="94"/>
    </row>
    <row r="1279" spans="1:9" s="77" customFormat="1" ht="24.75" hidden="1" customHeight="1" x14ac:dyDescent="0.25">
      <c r="A1279" s="506"/>
      <c r="B1279" s="173" t="s">
        <v>430</v>
      </c>
      <c r="C1279" s="34" t="s">
        <v>426</v>
      </c>
      <c r="D1279" s="78">
        <v>0.15</v>
      </c>
      <c r="E1279" s="89">
        <v>1</v>
      </c>
      <c r="F1279" s="89">
        <v>1</v>
      </c>
      <c r="G1279" s="78">
        <f t="shared" si="40"/>
        <v>1</v>
      </c>
      <c r="H1279" s="175" t="str">
        <f t="shared" si="39"/>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1279" s="94"/>
    </row>
    <row r="1280" spans="1:9" s="77" customFormat="1" ht="24.75" hidden="1" customHeight="1" x14ac:dyDescent="0.25">
      <c r="A1280" s="506"/>
      <c r="B1280" s="173" t="s">
        <v>431</v>
      </c>
      <c r="C1280" s="34" t="s">
        <v>426</v>
      </c>
      <c r="D1280" s="78">
        <v>0.15</v>
      </c>
      <c r="E1280" s="89">
        <v>234</v>
      </c>
      <c r="F1280" s="89">
        <v>37</v>
      </c>
      <c r="G1280" s="78">
        <f t="shared" si="40"/>
        <v>0.15811965811965811</v>
      </c>
      <c r="H1280" s="175" t="str">
        <f t="shared" si="39"/>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1280" s="94"/>
    </row>
    <row r="1281" spans="1:9" s="77" customFormat="1" ht="24.75" hidden="1" customHeight="1" x14ac:dyDescent="0.25">
      <c r="A1281" s="506"/>
      <c r="B1281" s="173" t="s">
        <v>432</v>
      </c>
      <c r="C1281" s="34" t="s">
        <v>426</v>
      </c>
      <c r="D1281" s="78">
        <v>0.1</v>
      </c>
      <c r="E1281" s="89">
        <v>1</v>
      </c>
      <c r="F1281" s="89">
        <v>1</v>
      </c>
      <c r="G1281" s="78">
        <f t="shared" si="40"/>
        <v>1</v>
      </c>
      <c r="H1281" s="175" t="str">
        <f t="shared" si="39"/>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1281" s="94"/>
    </row>
    <row r="1282" spans="1:9" s="77" customFormat="1" ht="24.75" hidden="1" customHeight="1" x14ac:dyDescent="0.25">
      <c r="A1282" s="560" t="s">
        <v>132</v>
      </c>
      <c r="B1282" s="173" t="s">
        <v>425</v>
      </c>
      <c r="C1282" s="34" t="s">
        <v>426</v>
      </c>
      <c r="D1282" s="78">
        <v>0.15</v>
      </c>
      <c r="E1282" s="174">
        <v>20</v>
      </c>
      <c r="F1282" s="174">
        <v>20</v>
      </c>
      <c r="G1282" s="78">
        <f t="shared" si="40"/>
        <v>1</v>
      </c>
      <c r="H1282" s="177" t="str">
        <f t="shared" si="39"/>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1282" s="94"/>
    </row>
    <row r="1283" spans="1:9" s="77" customFormat="1" ht="24.75" hidden="1" customHeight="1" x14ac:dyDescent="0.25">
      <c r="A1283" s="560"/>
      <c r="B1283" s="173" t="s">
        <v>427</v>
      </c>
      <c r="C1283" s="34" t="s">
        <v>426</v>
      </c>
      <c r="D1283" s="78">
        <v>0.15</v>
      </c>
      <c r="E1283" s="89">
        <v>4</v>
      </c>
      <c r="F1283" s="89">
        <v>1</v>
      </c>
      <c r="G1283" s="78">
        <f t="shared" si="40"/>
        <v>0.25</v>
      </c>
      <c r="H1283" s="177" t="str">
        <f t="shared" si="39"/>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1283" s="94"/>
    </row>
    <row r="1284" spans="1:9" s="77" customFormat="1" ht="24.75" hidden="1" customHeight="1" x14ac:dyDescent="0.25">
      <c r="A1284" s="560"/>
      <c r="B1284" s="173" t="s">
        <v>428</v>
      </c>
      <c r="C1284" s="34" t="s">
        <v>426</v>
      </c>
      <c r="D1284" s="78">
        <v>0.15</v>
      </c>
      <c r="E1284" s="89">
        <v>1</v>
      </c>
      <c r="F1284" s="89">
        <v>0.20399999999999999</v>
      </c>
      <c r="G1284" s="78">
        <f t="shared" si="40"/>
        <v>0.20399999999999999</v>
      </c>
      <c r="H1284" s="177" t="str">
        <f t="shared" si="39"/>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1284" s="94"/>
    </row>
    <row r="1285" spans="1:9" s="77" customFormat="1" ht="24.75" hidden="1" customHeight="1" x14ac:dyDescent="0.25">
      <c r="A1285" s="560"/>
      <c r="B1285" s="173" t="s">
        <v>429</v>
      </c>
      <c r="C1285" s="34" t="s">
        <v>426</v>
      </c>
      <c r="D1285" s="78">
        <v>0.15</v>
      </c>
      <c r="E1285" s="174">
        <v>362</v>
      </c>
      <c r="F1285" s="174">
        <v>120</v>
      </c>
      <c r="G1285" s="78">
        <f t="shared" si="40"/>
        <v>0.33149171270718231</v>
      </c>
      <c r="H1285" s="177" t="str">
        <f t="shared" si="39"/>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1285" s="94"/>
    </row>
    <row r="1286" spans="1:9" s="77" customFormat="1" ht="24.75" hidden="1" customHeight="1" x14ac:dyDescent="0.25">
      <c r="A1286" s="560"/>
      <c r="B1286" s="173" t="s">
        <v>430</v>
      </c>
      <c r="C1286" s="34" t="s">
        <v>426</v>
      </c>
      <c r="D1286" s="78">
        <v>0.15</v>
      </c>
      <c r="E1286" s="89">
        <v>1</v>
      </c>
      <c r="F1286" s="89">
        <v>1</v>
      </c>
      <c r="G1286" s="78">
        <f t="shared" si="40"/>
        <v>1</v>
      </c>
      <c r="H1286" s="177" t="str">
        <f t="shared" si="39"/>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1286" s="94"/>
    </row>
    <row r="1287" spans="1:9" s="77" customFormat="1" ht="24.75" hidden="1" customHeight="1" x14ac:dyDescent="0.25">
      <c r="A1287" s="560"/>
      <c r="B1287" s="173" t="s">
        <v>431</v>
      </c>
      <c r="C1287" s="34" t="s">
        <v>426</v>
      </c>
      <c r="D1287" s="78">
        <v>0.15</v>
      </c>
      <c r="E1287" s="89">
        <v>234</v>
      </c>
      <c r="F1287" s="89">
        <v>0</v>
      </c>
      <c r="G1287" s="78">
        <f t="shared" si="40"/>
        <v>0</v>
      </c>
      <c r="H1287" s="177" t="str">
        <f t="shared" si="39"/>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1287" s="94"/>
    </row>
    <row r="1288" spans="1:9" s="77" customFormat="1" ht="24.75" hidden="1" customHeight="1" x14ac:dyDescent="0.25">
      <c r="A1288" s="516"/>
      <c r="B1288" s="173" t="s">
        <v>432</v>
      </c>
      <c r="C1288" s="34" t="s">
        <v>426</v>
      </c>
      <c r="D1288" s="78">
        <v>0.1</v>
      </c>
      <c r="E1288" s="89">
        <v>1</v>
      </c>
      <c r="F1288" s="89">
        <v>1</v>
      </c>
      <c r="G1288" s="78">
        <f t="shared" si="40"/>
        <v>1</v>
      </c>
      <c r="H1288" s="177" t="str">
        <f t="shared" si="39"/>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1288" s="94"/>
    </row>
    <row r="1289" spans="1:9" s="77" customFormat="1" ht="24.75" hidden="1" customHeight="1" x14ac:dyDescent="0.25">
      <c r="A1289" s="559" t="s">
        <v>133</v>
      </c>
      <c r="B1289" s="173" t="s">
        <v>425</v>
      </c>
      <c r="C1289" s="34" t="s">
        <v>426</v>
      </c>
      <c r="D1289" s="78">
        <v>0.15</v>
      </c>
      <c r="E1289" s="174">
        <v>20</v>
      </c>
      <c r="F1289" s="174">
        <v>20</v>
      </c>
      <c r="G1289" s="78">
        <f t="shared" si="40"/>
        <v>1</v>
      </c>
      <c r="H1289" s="175" t="s">
        <v>383</v>
      </c>
      <c r="I1289" s="94"/>
    </row>
    <row r="1290" spans="1:9" s="77" customFormat="1" ht="24.75" hidden="1" customHeight="1" x14ac:dyDescent="0.25">
      <c r="A1290" s="560"/>
      <c r="B1290" s="173" t="s">
        <v>427</v>
      </c>
      <c r="C1290" s="34" t="s">
        <v>426</v>
      </c>
      <c r="D1290" s="78">
        <v>0.15</v>
      </c>
      <c r="E1290" s="89">
        <v>4</v>
      </c>
      <c r="F1290" s="89">
        <v>4</v>
      </c>
      <c r="G1290" s="78">
        <f t="shared" si="40"/>
        <v>1</v>
      </c>
      <c r="H1290" s="175" t="s">
        <v>384</v>
      </c>
      <c r="I1290" s="94"/>
    </row>
    <row r="1291" spans="1:9" s="77" customFormat="1" ht="24.75" hidden="1" customHeight="1" x14ac:dyDescent="0.25">
      <c r="A1291" s="560"/>
      <c r="B1291" s="173" t="s">
        <v>428</v>
      </c>
      <c r="C1291" s="34" t="s">
        <v>426</v>
      </c>
      <c r="D1291" s="78">
        <v>0.15</v>
      </c>
      <c r="E1291" s="89">
        <v>1</v>
      </c>
      <c r="F1291" s="89">
        <v>1</v>
      </c>
      <c r="G1291" s="78">
        <f t="shared" si="40"/>
        <v>1</v>
      </c>
      <c r="H1291" s="175" t="s">
        <v>385</v>
      </c>
      <c r="I1291" s="94"/>
    </row>
    <row r="1292" spans="1:9" s="77" customFormat="1" ht="24.75" hidden="1" customHeight="1" x14ac:dyDescent="0.25">
      <c r="A1292" s="560"/>
      <c r="B1292" s="173" t="s">
        <v>429</v>
      </c>
      <c r="C1292" s="34" t="s">
        <v>426</v>
      </c>
      <c r="D1292" s="78">
        <v>0.15</v>
      </c>
      <c r="E1292" s="174">
        <v>362</v>
      </c>
      <c r="F1292" s="174">
        <v>362</v>
      </c>
      <c r="G1292" s="78">
        <f t="shared" si="40"/>
        <v>1</v>
      </c>
      <c r="H1292" s="175" t="s">
        <v>386</v>
      </c>
      <c r="I1292" s="94"/>
    </row>
    <row r="1293" spans="1:9" s="77" customFormat="1" ht="24.75" hidden="1" customHeight="1" x14ac:dyDescent="0.25">
      <c r="A1293" s="560"/>
      <c r="B1293" s="173" t="s">
        <v>430</v>
      </c>
      <c r="C1293" s="34" t="s">
        <v>426</v>
      </c>
      <c r="D1293" s="78">
        <v>0.15</v>
      </c>
      <c r="E1293" s="89">
        <v>1</v>
      </c>
      <c r="F1293" s="89">
        <v>1</v>
      </c>
      <c r="G1293" s="78">
        <f t="shared" si="40"/>
        <v>1</v>
      </c>
      <c r="H1293" s="175" t="s">
        <v>387</v>
      </c>
      <c r="I1293" s="94"/>
    </row>
    <row r="1294" spans="1:9" s="77" customFormat="1" ht="24.75" hidden="1" customHeight="1" x14ac:dyDescent="0.25">
      <c r="A1294" s="560"/>
      <c r="B1294" s="173" t="s">
        <v>431</v>
      </c>
      <c r="C1294" s="34" t="s">
        <v>426</v>
      </c>
      <c r="D1294" s="78">
        <v>0.15</v>
      </c>
      <c r="E1294" s="89">
        <v>1292</v>
      </c>
      <c r="F1294" s="89">
        <v>1292</v>
      </c>
      <c r="G1294" s="78">
        <f t="shared" si="40"/>
        <v>1</v>
      </c>
      <c r="H1294" s="175" t="s">
        <v>388</v>
      </c>
      <c r="I1294" s="94"/>
    </row>
    <row r="1295" spans="1:9" s="77" customFormat="1" ht="24.75" hidden="1" customHeight="1" x14ac:dyDescent="0.25">
      <c r="A1295" s="516"/>
      <c r="B1295" s="173" t="s">
        <v>432</v>
      </c>
      <c r="C1295" s="34" t="s">
        <v>426</v>
      </c>
      <c r="D1295" s="78">
        <v>0.1</v>
      </c>
      <c r="E1295" s="89">
        <v>1</v>
      </c>
      <c r="F1295" s="89">
        <v>1</v>
      </c>
      <c r="G1295" s="78">
        <f t="shared" si="40"/>
        <v>1</v>
      </c>
      <c r="H1295" s="175" t="s">
        <v>389</v>
      </c>
      <c r="I1295" s="94"/>
    </row>
    <row r="1297" spans="1:9" ht="24.75" customHeight="1" x14ac:dyDescent="0.2">
      <c r="A1297" s="561" t="s">
        <v>188</v>
      </c>
      <c r="B1297" s="562"/>
      <c r="C1297" s="562"/>
      <c r="D1297" s="562"/>
      <c r="E1297" s="562"/>
      <c r="F1297" s="562"/>
      <c r="G1297" s="562"/>
      <c r="H1297" s="563"/>
    </row>
    <row r="1298" spans="1:9" ht="24.75" customHeight="1" x14ac:dyDescent="0.2">
      <c r="A1298" s="74" t="s">
        <v>49</v>
      </c>
      <c r="B1298" s="29" t="s">
        <v>175</v>
      </c>
      <c r="C1298" s="205" t="s">
        <v>147</v>
      </c>
      <c r="D1298" s="205" t="s">
        <v>155</v>
      </c>
      <c r="E1298" s="205" t="s">
        <v>190</v>
      </c>
      <c r="F1298" s="205" t="s">
        <v>191</v>
      </c>
      <c r="G1298" s="205" t="s">
        <v>192</v>
      </c>
      <c r="H1298" s="29" t="s">
        <v>167</v>
      </c>
    </row>
    <row r="1299" spans="1:9" ht="24.75" hidden="1" customHeight="1" x14ac:dyDescent="0.2">
      <c r="A1299" s="611" t="s">
        <v>135</v>
      </c>
      <c r="B1299" s="173" t="s">
        <v>425</v>
      </c>
      <c r="C1299" s="34" t="s">
        <v>426</v>
      </c>
      <c r="D1299" s="78">
        <v>0.15</v>
      </c>
      <c r="E1299" s="174">
        <v>20</v>
      </c>
      <c r="F1299" s="174">
        <v>20</v>
      </c>
      <c r="G1299" s="78">
        <f t="shared" ref="G1299:G1340" si="41">F1299/E1299</f>
        <v>1</v>
      </c>
      <c r="H1299" s="175" t="s">
        <v>383</v>
      </c>
      <c r="I1299" s="98"/>
    </row>
    <row r="1300" spans="1:9" ht="24.75" hidden="1" customHeight="1" x14ac:dyDescent="0.2">
      <c r="A1300" s="612"/>
      <c r="B1300" s="173" t="s">
        <v>427</v>
      </c>
      <c r="C1300" s="34" t="s">
        <v>426</v>
      </c>
      <c r="D1300" s="78">
        <v>0.15</v>
      </c>
      <c r="E1300" s="89">
        <v>8</v>
      </c>
      <c r="F1300" s="89">
        <v>0.2</v>
      </c>
      <c r="G1300" s="78">
        <f t="shared" si="41"/>
        <v>2.5000000000000001E-2</v>
      </c>
      <c r="H1300" s="175" t="s">
        <v>384</v>
      </c>
      <c r="I1300" s="98"/>
    </row>
    <row r="1301" spans="1:9" ht="24.75" hidden="1" customHeight="1" x14ac:dyDescent="0.2">
      <c r="A1301" s="612"/>
      <c r="B1301" s="173" t="s">
        <v>428</v>
      </c>
      <c r="C1301" s="34" t="s">
        <v>426</v>
      </c>
      <c r="D1301" s="78">
        <v>0.15</v>
      </c>
      <c r="E1301" s="89">
        <v>2</v>
      </c>
      <c r="F1301" s="89">
        <v>0.15</v>
      </c>
      <c r="G1301" s="78">
        <f t="shared" si="41"/>
        <v>7.4999999999999997E-2</v>
      </c>
      <c r="H1301" s="175" t="s">
        <v>385</v>
      </c>
      <c r="I1301" s="98"/>
    </row>
    <row r="1302" spans="1:9" ht="24.75" hidden="1" customHeight="1" x14ac:dyDescent="0.2">
      <c r="A1302" s="612"/>
      <c r="B1302" s="173" t="s">
        <v>429</v>
      </c>
      <c r="C1302" s="34" t="s">
        <v>426</v>
      </c>
      <c r="D1302" s="78">
        <v>0.15</v>
      </c>
      <c r="E1302" s="174">
        <v>362</v>
      </c>
      <c r="F1302" s="174">
        <v>10</v>
      </c>
      <c r="G1302" s="78">
        <f t="shared" si="41"/>
        <v>2.7624309392265192E-2</v>
      </c>
      <c r="H1302" s="175" t="s">
        <v>386</v>
      </c>
      <c r="I1302" s="98"/>
    </row>
    <row r="1303" spans="1:9" ht="24.75" hidden="1" customHeight="1" x14ac:dyDescent="0.2">
      <c r="A1303" s="612"/>
      <c r="B1303" s="173" t="s">
        <v>430</v>
      </c>
      <c r="C1303" s="34" t="s">
        <v>426</v>
      </c>
      <c r="D1303" s="78">
        <v>0.15</v>
      </c>
      <c r="E1303" s="89">
        <v>1</v>
      </c>
      <c r="F1303" s="89">
        <v>1</v>
      </c>
      <c r="G1303" s="78">
        <f t="shared" si="41"/>
        <v>1</v>
      </c>
      <c r="H1303" s="175" t="s">
        <v>387</v>
      </c>
      <c r="I1303" s="98"/>
    </row>
    <row r="1304" spans="1:9" ht="24.75" hidden="1" customHeight="1" x14ac:dyDescent="0.2">
      <c r="A1304" s="612"/>
      <c r="B1304" s="173" t="s">
        <v>431</v>
      </c>
      <c r="C1304" s="34" t="s">
        <v>426</v>
      </c>
      <c r="D1304" s="78">
        <v>0.15</v>
      </c>
      <c r="E1304" s="89">
        <v>759</v>
      </c>
      <c r="F1304" s="89">
        <v>278</v>
      </c>
      <c r="G1304" s="78">
        <f t="shared" si="41"/>
        <v>0.3662714097496706</v>
      </c>
      <c r="H1304" s="175" t="s">
        <v>388</v>
      </c>
      <c r="I1304" s="98"/>
    </row>
    <row r="1305" spans="1:9" ht="24.75" hidden="1" customHeight="1" x14ac:dyDescent="0.2">
      <c r="A1305" s="613"/>
      <c r="B1305" s="173" t="s">
        <v>432</v>
      </c>
      <c r="C1305" s="34" t="s">
        <v>426</v>
      </c>
      <c r="D1305" s="78">
        <v>0.1</v>
      </c>
      <c r="E1305" s="89">
        <v>1</v>
      </c>
      <c r="F1305" s="89">
        <v>1</v>
      </c>
      <c r="G1305" s="78">
        <f t="shared" si="41"/>
        <v>1</v>
      </c>
      <c r="H1305" s="175" t="s">
        <v>389</v>
      </c>
      <c r="I1305" s="98"/>
    </row>
    <row r="1306" spans="1:9" ht="24.75" hidden="1" customHeight="1" x14ac:dyDescent="0.2">
      <c r="A1306" s="559" t="s">
        <v>136</v>
      </c>
      <c r="B1306" s="173" t="s">
        <v>425</v>
      </c>
      <c r="C1306" s="34" t="s">
        <v>426</v>
      </c>
      <c r="D1306" s="78">
        <v>0.15</v>
      </c>
      <c r="E1306" s="174">
        <v>20</v>
      </c>
      <c r="F1306" s="174">
        <v>20</v>
      </c>
      <c r="G1306" s="78">
        <f t="shared" si="41"/>
        <v>1</v>
      </c>
      <c r="H1306" s="175" t="s">
        <v>390</v>
      </c>
      <c r="I1306" s="98"/>
    </row>
    <row r="1307" spans="1:9" ht="24.75" hidden="1" customHeight="1" x14ac:dyDescent="0.2">
      <c r="A1307" s="560"/>
      <c r="B1307" s="173" t="s">
        <v>427</v>
      </c>
      <c r="C1307" s="34" t="s">
        <v>426</v>
      </c>
      <c r="D1307" s="78">
        <v>0.15</v>
      </c>
      <c r="E1307" s="89">
        <v>8</v>
      </c>
      <c r="F1307" s="89">
        <v>0.45</v>
      </c>
      <c r="G1307" s="78">
        <f t="shared" si="41"/>
        <v>5.6250000000000001E-2</v>
      </c>
      <c r="H1307" s="175" t="s">
        <v>391</v>
      </c>
      <c r="I1307" s="98"/>
    </row>
    <row r="1308" spans="1:9" ht="24.75" hidden="1" customHeight="1" x14ac:dyDescent="0.2">
      <c r="A1308" s="560"/>
      <c r="B1308" s="173" t="s">
        <v>428</v>
      </c>
      <c r="C1308" s="34" t="s">
        <v>426</v>
      </c>
      <c r="D1308" s="78">
        <v>0.15</v>
      </c>
      <c r="E1308" s="89">
        <v>2</v>
      </c>
      <c r="F1308" s="89">
        <v>0.26</v>
      </c>
      <c r="G1308" s="78">
        <f t="shared" si="41"/>
        <v>0.13</v>
      </c>
      <c r="H1308" s="175" t="s">
        <v>392</v>
      </c>
      <c r="I1308" s="98"/>
    </row>
    <row r="1309" spans="1:9" ht="24.75" hidden="1" customHeight="1" x14ac:dyDescent="0.2">
      <c r="A1309" s="560"/>
      <c r="B1309" s="173" t="s">
        <v>429</v>
      </c>
      <c r="C1309" s="34" t="s">
        <v>426</v>
      </c>
      <c r="D1309" s="78">
        <v>0.15</v>
      </c>
      <c r="E1309" s="174">
        <v>362</v>
      </c>
      <c r="F1309" s="174">
        <v>16</v>
      </c>
      <c r="G1309" s="78">
        <f t="shared" si="41"/>
        <v>4.4198895027624308E-2</v>
      </c>
      <c r="H1309" s="175" t="s">
        <v>440</v>
      </c>
      <c r="I1309" s="98"/>
    </row>
    <row r="1310" spans="1:9" ht="24.75" hidden="1" customHeight="1" x14ac:dyDescent="0.2">
      <c r="A1310" s="560"/>
      <c r="B1310" s="173" t="s">
        <v>430</v>
      </c>
      <c r="C1310" s="34" t="s">
        <v>426</v>
      </c>
      <c r="D1310" s="78">
        <v>0.15</v>
      </c>
      <c r="E1310" s="89">
        <v>1</v>
      </c>
      <c r="F1310" s="89">
        <v>1</v>
      </c>
      <c r="G1310" s="78">
        <f t="shared" si="41"/>
        <v>1</v>
      </c>
      <c r="H1310" s="175" t="s">
        <v>394</v>
      </c>
      <c r="I1310" s="98"/>
    </row>
    <row r="1311" spans="1:9" ht="24.75" hidden="1" customHeight="1" x14ac:dyDescent="0.2">
      <c r="A1311" s="560"/>
      <c r="B1311" s="173" t="s">
        <v>431</v>
      </c>
      <c r="C1311" s="34" t="s">
        <v>426</v>
      </c>
      <c r="D1311" s="78">
        <v>0.15</v>
      </c>
      <c r="E1311" s="89">
        <v>759</v>
      </c>
      <c r="F1311" s="89">
        <v>489</v>
      </c>
      <c r="G1311" s="78">
        <f t="shared" si="41"/>
        <v>0.64426877470355737</v>
      </c>
      <c r="H1311" s="175" t="s">
        <v>395</v>
      </c>
      <c r="I1311" s="98"/>
    </row>
    <row r="1312" spans="1:9" ht="24.75" hidden="1" customHeight="1" x14ac:dyDescent="0.2">
      <c r="A1312" s="516"/>
      <c r="B1312" s="173" t="s">
        <v>432</v>
      </c>
      <c r="C1312" s="34" t="s">
        <v>426</v>
      </c>
      <c r="D1312" s="78">
        <v>0.1</v>
      </c>
      <c r="E1312" s="89">
        <v>1</v>
      </c>
      <c r="F1312" s="89">
        <v>1</v>
      </c>
      <c r="G1312" s="78">
        <f t="shared" si="41"/>
        <v>1</v>
      </c>
      <c r="H1312" s="175" t="s">
        <v>396</v>
      </c>
      <c r="I1312" s="98"/>
    </row>
    <row r="1313" spans="1:9" ht="24.75" hidden="1" customHeight="1" x14ac:dyDescent="0.2">
      <c r="A1313" s="559" t="s">
        <v>137</v>
      </c>
      <c r="B1313" s="173" t="s">
        <v>425</v>
      </c>
      <c r="C1313" s="34" t="s">
        <v>426</v>
      </c>
      <c r="D1313" s="78">
        <v>0.15</v>
      </c>
      <c r="E1313" s="174">
        <v>20</v>
      </c>
      <c r="F1313" s="174">
        <v>20</v>
      </c>
      <c r="G1313" s="78">
        <f t="shared" si="41"/>
        <v>1</v>
      </c>
      <c r="H1313" s="87" t="s">
        <v>397</v>
      </c>
      <c r="I1313" s="98"/>
    </row>
    <row r="1314" spans="1:9" ht="24.75" hidden="1" customHeight="1" x14ac:dyDescent="0.2">
      <c r="A1314" s="560"/>
      <c r="B1314" s="173" t="s">
        <v>427</v>
      </c>
      <c r="C1314" s="34" t="s">
        <v>426</v>
      </c>
      <c r="D1314" s="78">
        <v>0.15</v>
      </c>
      <c r="E1314" s="89">
        <v>8</v>
      </c>
      <c r="F1314" s="89">
        <v>1</v>
      </c>
      <c r="G1314" s="78">
        <f t="shared" si="41"/>
        <v>0.125</v>
      </c>
      <c r="H1314" s="87" t="s">
        <v>398</v>
      </c>
      <c r="I1314" s="98"/>
    </row>
    <row r="1315" spans="1:9" ht="24.75" hidden="1" customHeight="1" x14ac:dyDescent="0.2">
      <c r="A1315" s="560"/>
      <c r="B1315" s="173" t="s">
        <v>428</v>
      </c>
      <c r="C1315" s="34" t="s">
        <v>426</v>
      </c>
      <c r="D1315" s="78">
        <v>0.15</v>
      </c>
      <c r="E1315" s="89">
        <v>2</v>
      </c>
      <c r="F1315" s="89">
        <v>0.36</v>
      </c>
      <c r="G1315" s="78">
        <f t="shared" si="41"/>
        <v>0.18</v>
      </c>
      <c r="H1315" s="87" t="s">
        <v>399</v>
      </c>
      <c r="I1315" s="98"/>
    </row>
    <row r="1316" spans="1:9" ht="24.75" hidden="1" customHeight="1" x14ac:dyDescent="0.2">
      <c r="A1316" s="560"/>
      <c r="B1316" s="173" t="s">
        <v>429</v>
      </c>
      <c r="C1316" s="34" t="s">
        <v>426</v>
      </c>
      <c r="D1316" s="78">
        <v>0.15</v>
      </c>
      <c r="E1316" s="174">
        <v>362</v>
      </c>
      <c r="F1316" s="174">
        <v>16</v>
      </c>
      <c r="G1316" s="78">
        <f t="shared" si="41"/>
        <v>4.4198895027624308E-2</v>
      </c>
      <c r="H1316" s="87" t="s">
        <v>400</v>
      </c>
      <c r="I1316" s="98"/>
    </row>
    <row r="1317" spans="1:9" ht="24.75" hidden="1" customHeight="1" x14ac:dyDescent="0.2">
      <c r="A1317" s="560"/>
      <c r="B1317" s="173" t="s">
        <v>430</v>
      </c>
      <c r="C1317" s="34" t="s">
        <v>426</v>
      </c>
      <c r="D1317" s="78">
        <v>0.15</v>
      </c>
      <c r="E1317" s="89">
        <v>1</v>
      </c>
      <c r="F1317" s="89">
        <v>1</v>
      </c>
      <c r="G1317" s="78">
        <f t="shared" si="41"/>
        <v>1</v>
      </c>
      <c r="H1317" s="87" t="s">
        <v>401</v>
      </c>
      <c r="I1317" s="98"/>
    </row>
    <row r="1318" spans="1:9" ht="24.75" hidden="1" customHeight="1" x14ac:dyDescent="0.2">
      <c r="A1318" s="560"/>
      <c r="B1318" s="173" t="s">
        <v>431</v>
      </c>
      <c r="C1318" s="34" t="s">
        <v>426</v>
      </c>
      <c r="D1318" s="78">
        <v>0.15</v>
      </c>
      <c r="E1318" s="89">
        <v>4707</v>
      </c>
      <c r="F1318" s="89">
        <v>1326</v>
      </c>
      <c r="G1318" s="78">
        <f t="shared" si="41"/>
        <v>0.28170809432759719</v>
      </c>
      <c r="H1318" s="87" t="s">
        <v>402</v>
      </c>
      <c r="I1318" s="98"/>
    </row>
    <row r="1319" spans="1:9" ht="24.75" hidden="1" customHeight="1" x14ac:dyDescent="0.2">
      <c r="A1319" s="516"/>
      <c r="B1319" s="173" t="s">
        <v>432</v>
      </c>
      <c r="C1319" s="34" t="s">
        <v>426</v>
      </c>
      <c r="D1319" s="78">
        <v>0.1</v>
      </c>
      <c r="E1319" s="89">
        <v>1</v>
      </c>
      <c r="F1319" s="89">
        <v>1</v>
      </c>
      <c r="G1319" s="78">
        <f t="shared" si="41"/>
        <v>1</v>
      </c>
      <c r="H1319" s="87" t="s">
        <v>403</v>
      </c>
      <c r="I1319" s="98"/>
    </row>
    <row r="1320" spans="1:9" ht="24.75" hidden="1" customHeight="1" x14ac:dyDescent="0.2">
      <c r="A1320" s="559" t="s">
        <v>138</v>
      </c>
      <c r="B1320" s="173" t="s">
        <v>425</v>
      </c>
      <c r="C1320" s="34" t="s">
        <v>426</v>
      </c>
      <c r="D1320" s="78">
        <v>0.15</v>
      </c>
      <c r="E1320" s="174">
        <v>20</v>
      </c>
      <c r="F1320" s="174">
        <v>20</v>
      </c>
      <c r="G1320" s="78">
        <f t="shared" si="41"/>
        <v>1</v>
      </c>
      <c r="H1320" s="87"/>
      <c r="I1320" s="98"/>
    </row>
    <row r="1321" spans="1:9" ht="24.75" hidden="1" customHeight="1" x14ac:dyDescent="0.2">
      <c r="A1321" s="560"/>
      <c r="B1321" s="173" t="s">
        <v>427</v>
      </c>
      <c r="C1321" s="34" t="s">
        <v>426</v>
      </c>
      <c r="D1321" s="78">
        <v>0.15</v>
      </c>
      <c r="E1321" s="89">
        <v>6</v>
      </c>
      <c r="F1321" s="89">
        <v>1.6</v>
      </c>
      <c r="G1321" s="78">
        <f t="shared" si="41"/>
        <v>0.26666666666666666</v>
      </c>
      <c r="H1321" s="87"/>
      <c r="I1321" s="98"/>
    </row>
    <row r="1322" spans="1:9" ht="24.75" hidden="1" customHeight="1" x14ac:dyDescent="0.2">
      <c r="A1322" s="560"/>
      <c r="B1322" s="173" t="s">
        <v>428</v>
      </c>
      <c r="C1322" s="34" t="s">
        <v>426</v>
      </c>
      <c r="D1322" s="78">
        <v>0.15</v>
      </c>
      <c r="E1322" s="89">
        <v>1</v>
      </c>
      <c r="F1322" s="89">
        <v>0.51</v>
      </c>
      <c r="G1322" s="78">
        <f t="shared" si="41"/>
        <v>0.51</v>
      </c>
      <c r="H1322" s="87"/>
      <c r="I1322" s="98"/>
    </row>
    <row r="1323" spans="1:9" ht="24.75" hidden="1" customHeight="1" x14ac:dyDescent="0.2">
      <c r="A1323" s="560"/>
      <c r="B1323" s="173" t="s">
        <v>429</v>
      </c>
      <c r="C1323" s="34" t="s">
        <v>426</v>
      </c>
      <c r="D1323" s="78">
        <v>0.15</v>
      </c>
      <c r="E1323" s="174">
        <v>362</v>
      </c>
      <c r="F1323" s="174">
        <v>16</v>
      </c>
      <c r="G1323" s="78">
        <f t="shared" si="41"/>
        <v>4.4198895027624308E-2</v>
      </c>
      <c r="H1323" s="87"/>
      <c r="I1323" s="98"/>
    </row>
    <row r="1324" spans="1:9" ht="24.75" hidden="1" customHeight="1" x14ac:dyDescent="0.2">
      <c r="A1324" s="560"/>
      <c r="B1324" s="173" t="s">
        <v>430</v>
      </c>
      <c r="C1324" s="34" t="s">
        <v>426</v>
      </c>
      <c r="D1324" s="78">
        <v>0.15</v>
      </c>
      <c r="E1324" s="89">
        <v>1</v>
      </c>
      <c r="F1324" s="89">
        <v>1</v>
      </c>
      <c r="G1324" s="78">
        <f t="shared" si="41"/>
        <v>1</v>
      </c>
      <c r="H1324" s="87"/>
      <c r="I1324" s="98"/>
    </row>
    <row r="1325" spans="1:9" ht="24.75" hidden="1" customHeight="1" x14ac:dyDescent="0.2">
      <c r="A1325" s="560"/>
      <c r="B1325" s="173" t="s">
        <v>431</v>
      </c>
      <c r="C1325" s="34" t="s">
        <v>426</v>
      </c>
      <c r="D1325" s="78">
        <v>0.15</v>
      </c>
      <c r="E1325" s="89">
        <v>4707</v>
      </c>
      <c r="F1325" s="89">
        <v>1501</v>
      </c>
      <c r="G1325" s="78">
        <f t="shared" si="41"/>
        <v>0.31888676439345653</v>
      </c>
      <c r="H1325" s="87"/>
      <c r="I1325" s="98"/>
    </row>
    <row r="1326" spans="1:9" ht="24.75" hidden="1" customHeight="1" x14ac:dyDescent="0.2">
      <c r="A1326" s="516"/>
      <c r="B1326" s="173" t="s">
        <v>432</v>
      </c>
      <c r="C1326" s="34" t="s">
        <v>426</v>
      </c>
      <c r="D1326" s="78">
        <v>0.1</v>
      </c>
      <c r="E1326" s="89">
        <v>528678000</v>
      </c>
      <c r="F1326" s="89">
        <v>516118000</v>
      </c>
      <c r="G1326" s="78">
        <f t="shared" si="41"/>
        <v>0.97624262783773863</v>
      </c>
      <c r="H1326" s="212"/>
      <c r="I1326" s="98"/>
    </row>
    <row r="1327" spans="1:9" ht="24.75" hidden="1" customHeight="1" x14ac:dyDescent="0.2">
      <c r="A1327" s="559" t="s">
        <v>139</v>
      </c>
      <c r="B1327" s="173" t="s">
        <v>425</v>
      </c>
      <c r="C1327" s="34" t="s">
        <v>426</v>
      </c>
      <c r="D1327" s="78">
        <v>0.15</v>
      </c>
      <c r="E1327" s="174">
        <v>20</v>
      </c>
      <c r="F1327" s="174">
        <v>20</v>
      </c>
      <c r="G1327" s="78">
        <f t="shared" si="41"/>
        <v>1</v>
      </c>
      <c r="H1327" s="82" t="s">
        <v>441</v>
      </c>
      <c r="I1327" s="98"/>
    </row>
    <row r="1328" spans="1:9" ht="24.75" hidden="1" customHeight="1" x14ac:dyDescent="0.2">
      <c r="A1328" s="560"/>
      <c r="B1328" s="173" t="s">
        <v>427</v>
      </c>
      <c r="C1328" s="34" t="s">
        <v>426</v>
      </c>
      <c r="D1328" s="78">
        <v>0.15</v>
      </c>
      <c r="E1328" s="89">
        <v>8</v>
      </c>
      <c r="F1328" s="89">
        <v>2.4</v>
      </c>
      <c r="G1328" s="78">
        <f t="shared" si="41"/>
        <v>0.3</v>
      </c>
      <c r="H1328" s="82" t="s">
        <v>434</v>
      </c>
      <c r="I1328" s="98"/>
    </row>
    <row r="1329" spans="1:38" ht="24.75" hidden="1" customHeight="1" x14ac:dyDescent="0.2">
      <c r="A1329" s="560"/>
      <c r="B1329" s="173" t="s">
        <v>428</v>
      </c>
      <c r="C1329" s="34" t="s">
        <v>426</v>
      </c>
      <c r="D1329" s="78">
        <v>0.15</v>
      </c>
      <c r="E1329" s="89">
        <v>2</v>
      </c>
      <c r="F1329" s="89">
        <v>0.65</v>
      </c>
      <c r="G1329" s="78">
        <f t="shared" si="41"/>
        <v>0.32500000000000001</v>
      </c>
      <c r="H1329" s="82" t="s">
        <v>442</v>
      </c>
      <c r="I1329" s="98"/>
    </row>
    <row r="1330" spans="1:38" ht="24.75" hidden="1" customHeight="1" x14ac:dyDescent="0.2">
      <c r="A1330" s="560"/>
      <c r="B1330" s="173" t="s">
        <v>429</v>
      </c>
      <c r="C1330" s="34" t="s">
        <v>426</v>
      </c>
      <c r="D1330" s="78">
        <v>0.15</v>
      </c>
      <c r="E1330" s="174">
        <v>766</v>
      </c>
      <c r="F1330" s="174">
        <v>357</v>
      </c>
      <c r="G1330" s="78">
        <f t="shared" si="41"/>
        <v>0.4660574412532637</v>
      </c>
      <c r="H1330" s="82" t="s">
        <v>443</v>
      </c>
      <c r="I1330" s="98"/>
    </row>
    <row r="1331" spans="1:38" ht="24.75" hidden="1" customHeight="1" x14ac:dyDescent="0.2">
      <c r="A1331" s="560"/>
      <c r="B1331" s="173" t="s">
        <v>430</v>
      </c>
      <c r="C1331" s="34" t="s">
        <v>426</v>
      </c>
      <c r="D1331" s="78">
        <v>0.15</v>
      </c>
      <c r="E1331" s="89">
        <v>1</v>
      </c>
      <c r="F1331" s="89">
        <v>1</v>
      </c>
      <c r="G1331" s="78">
        <f t="shared" si="41"/>
        <v>1</v>
      </c>
      <c r="H1331" s="82" t="s">
        <v>444</v>
      </c>
      <c r="I1331" s="98"/>
    </row>
    <row r="1332" spans="1:38" ht="24.75" hidden="1" customHeight="1" x14ac:dyDescent="0.2">
      <c r="A1332" s="560"/>
      <c r="B1332" s="173" t="s">
        <v>431</v>
      </c>
      <c r="C1332" s="34" t="s">
        <v>426</v>
      </c>
      <c r="D1332" s="78">
        <v>0.15</v>
      </c>
      <c r="E1332" s="89">
        <v>4707</v>
      </c>
      <c r="F1332" s="89">
        <v>2706</v>
      </c>
      <c r="G1332" s="78">
        <f t="shared" si="41"/>
        <v>0.57488846398980242</v>
      </c>
      <c r="H1332" s="82" t="s">
        <v>445</v>
      </c>
      <c r="I1332" s="98"/>
    </row>
    <row r="1333" spans="1:38" ht="24.75" hidden="1" customHeight="1" x14ac:dyDescent="0.2">
      <c r="A1333" s="516"/>
      <c r="B1333" s="173" t="s">
        <v>432</v>
      </c>
      <c r="C1333" s="34" t="s">
        <v>426</v>
      </c>
      <c r="D1333" s="78">
        <v>0.1</v>
      </c>
      <c r="E1333" s="78">
        <v>1</v>
      </c>
      <c r="F1333" s="78">
        <v>1</v>
      </c>
      <c r="G1333" s="78">
        <f t="shared" si="41"/>
        <v>1</v>
      </c>
      <c r="H1333" s="82" t="s">
        <v>439</v>
      </c>
      <c r="I1333" s="98"/>
    </row>
    <row r="1334" spans="1:38" ht="24.75" hidden="1" customHeight="1" x14ac:dyDescent="0.2">
      <c r="A1334" s="559" t="s">
        <v>140</v>
      </c>
      <c r="B1334" s="173" t="s">
        <v>425</v>
      </c>
      <c r="C1334" s="34" t="s">
        <v>426</v>
      </c>
      <c r="D1334" s="78">
        <v>0.15</v>
      </c>
      <c r="E1334" s="174">
        <v>20</v>
      </c>
      <c r="F1334" s="174">
        <v>20</v>
      </c>
      <c r="G1334" s="78">
        <f>F1334/E1334</f>
        <v>1</v>
      </c>
      <c r="H1334" s="82" t="s">
        <v>452</v>
      </c>
    </row>
    <row r="1335" spans="1:38" ht="24.75" hidden="1" customHeight="1" x14ac:dyDescent="0.2">
      <c r="A1335" s="560"/>
      <c r="B1335" s="173" t="s">
        <v>427</v>
      </c>
      <c r="C1335" s="34" t="s">
        <v>426</v>
      </c>
      <c r="D1335" s="78">
        <v>0.15</v>
      </c>
      <c r="E1335" s="89">
        <v>8</v>
      </c>
      <c r="F1335" s="89">
        <v>3</v>
      </c>
      <c r="G1335" s="78">
        <f t="shared" si="41"/>
        <v>0.375</v>
      </c>
      <c r="H1335" s="82" t="s">
        <v>325</v>
      </c>
    </row>
    <row r="1336" spans="1:38" ht="24.75" hidden="1" customHeight="1" x14ac:dyDescent="0.2">
      <c r="A1336" s="560"/>
      <c r="B1336" s="173" t="s">
        <v>428</v>
      </c>
      <c r="C1336" s="34" t="s">
        <v>426</v>
      </c>
      <c r="D1336" s="78">
        <v>0.15</v>
      </c>
      <c r="E1336" s="89">
        <v>2</v>
      </c>
      <c r="F1336" s="89">
        <v>1</v>
      </c>
      <c r="G1336" s="78">
        <f t="shared" si="41"/>
        <v>0.5</v>
      </c>
      <c r="H1336" s="82" t="s">
        <v>453</v>
      </c>
    </row>
    <row r="1337" spans="1:38" ht="24.75" hidden="1" customHeight="1" x14ac:dyDescent="0.2">
      <c r="A1337" s="560"/>
      <c r="B1337" s="173" t="s">
        <v>429</v>
      </c>
      <c r="C1337" s="34" t="s">
        <v>426</v>
      </c>
      <c r="D1337" s="78">
        <v>0.15</v>
      </c>
      <c r="E1337" s="174">
        <v>766</v>
      </c>
      <c r="F1337" s="174">
        <v>463</v>
      </c>
      <c r="G1337" s="78">
        <f t="shared" si="41"/>
        <v>0.6044386422976501</v>
      </c>
      <c r="H1337" s="82" t="s">
        <v>454</v>
      </c>
    </row>
    <row r="1338" spans="1:38" s="206" customFormat="1" ht="24.75" hidden="1" customHeight="1" x14ac:dyDescent="0.2">
      <c r="A1338" s="560"/>
      <c r="B1338" s="173" t="s">
        <v>430</v>
      </c>
      <c r="C1338" s="34" t="s">
        <v>426</v>
      </c>
      <c r="D1338" s="78">
        <v>0.15</v>
      </c>
      <c r="E1338" s="89">
        <v>1</v>
      </c>
      <c r="F1338" s="89">
        <v>1</v>
      </c>
      <c r="G1338" s="78">
        <f t="shared" si="41"/>
        <v>1</v>
      </c>
      <c r="H1338" s="82" t="s">
        <v>449</v>
      </c>
      <c r="J1338" s="83"/>
      <c r="K1338" s="83"/>
      <c r="L1338" s="83"/>
      <c r="M1338" s="83"/>
      <c r="N1338" s="83"/>
      <c r="O1338" s="83"/>
      <c r="P1338" s="83"/>
      <c r="Q1338" s="83"/>
      <c r="R1338" s="83"/>
      <c r="S1338" s="83"/>
      <c r="T1338" s="83"/>
      <c r="U1338" s="83"/>
      <c r="V1338" s="83"/>
      <c r="W1338" s="83"/>
      <c r="X1338" s="83"/>
      <c r="Y1338" s="83"/>
      <c r="Z1338" s="83"/>
      <c r="AA1338" s="83"/>
      <c r="AB1338" s="83"/>
      <c r="AC1338" s="83"/>
      <c r="AD1338" s="83"/>
      <c r="AE1338" s="83"/>
      <c r="AF1338" s="83"/>
      <c r="AG1338" s="83"/>
      <c r="AH1338" s="83"/>
      <c r="AI1338" s="83"/>
      <c r="AJ1338" s="83"/>
      <c r="AK1338" s="83"/>
      <c r="AL1338" s="83"/>
    </row>
    <row r="1339" spans="1:38" s="206" customFormat="1" ht="24.75" hidden="1" customHeight="1" x14ac:dyDescent="0.2">
      <c r="A1339" s="560"/>
      <c r="B1339" s="173" t="s">
        <v>431</v>
      </c>
      <c r="C1339" s="34" t="s">
        <v>426</v>
      </c>
      <c r="D1339" s="78">
        <v>0.15</v>
      </c>
      <c r="E1339" s="89">
        <v>4707</v>
      </c>
      <c r="F1339" s="89">
        <v>3504</v>
      </c>
      <c r="G1339" s="78">
        <f t="shared" si="41"/>
        <v>0.74442319949012115</v>
      </c>
      <c r="H1339" s="82" t="s">
        <v>450</v>
      </c>
      <c r="J1339" s="83"/>
      <c r="K1339" s="83"/>
      <c r="L1339" s="83"/>
      <c r="M1339" s="83"/>
      <c r="N1339" s="83"/>
      <c r="O1339" s="83"/>
      <c r="P1339" s="83"/>
      <c r="Q1339" s="83"/>
      <c r="R1339" s="83"/>
      <c r="S1339" s="83"/>
      <c r="T1339" s="83"/>
      <c r="U1339" s="83"/>
      <c r="V1339" s="83"/>
      <c r="W1339" s="83"/>
      <c r="X1339" s="83"/>
      <c r="Y1339" s="83"/>
      <c r="Z1339" s="83"/>
      <c r="AA1339" s="83"/>
      <c r="AB1339" s="83"/>
      <c r="AC1339" s="83"/>
      <c r="AD1339" s="83"/>
      <c r="AE1339" s="83"/>
      <c r="AF1339" s="83"/>
      <c r="AG1339" s="83"/>
      <c r="AH1339" s="83"/>
      <c r="AI1339" s="83"/>
      <c r="AJ1339" s="83"/>
      <c r="AK1339" s="83"/>
      <c r="AL1339" s="83"/>
    </row>
    <row r="1340" spans="1:38" s="206" customFormat="1" ht="24.75" hidden="1" customHeight="1" x14ac:dyDescent="0.2">
      <c r="A1340" s="516"/>
      <c r="B1340" s="173" t="s">
        <v>432</v>
      </c>
      <c r="C1340" s="34" t="s">
        <v>426</v>
      </c>
      <c r="D1340" s="78">
        <v>0.1</v>
      </c>
      <c r="E1340" s="78">
        <v>1</v>
      </c>
      <c r="F1340" s="78">
        <v>0.92</v>
      </c>
      <c r="G1340" s="78">
        <f t="shared" si="41"/>
        <v>0.92</v>
      </c>
      <c r="H1340" s="82" t="s">
        <v>451</v>
      </c>
      <c r="J1340" s="83"/>
      <c r="K1340" s="83"/>
      <c r="L1340" s="83"/>
      <c r="M1340" s="83"/>
      <c r="N1340" s="83"/>
      <c r="O1340" s="83"/>
      <c r="P1340" s="83"/>
      <c r="Q1340" s="83"/>
      <c r="R1340" s="83"/>
      <c r="S1340" s="83"/>
      <c r="T1340" s="83"/>
      <c r="U1340" s="83"/>
      <c r="V1340" s="83"/>
      <c r="W1340" s="83"/>
      <c r="X1340" s="83"/>
      <c r="Y1340" s="83"/>
      <c r="Z1340" s="83"/>
      <c r="AA1340" s="83"/>
      <c r="AB1340" s="83"/>
      <c r="AC1340" s="83"/>
      <c r="AD1340" s="83"/>
      <c r="AE1340" s="83"/>
      <c r="AF1340" s="83"/>
      <c r="AG1340" s="83"/>
      <c r="AH1340" s="83"/>
      <c r="AI1340" s="83"/>
      <c r="AJ1340" s="83"/>
      <c r="AK1340" s="83"/>
      <c r="AL1340" s="83"/>
    </row>
    <row r="1341" spans="1:38" s="206" customFormat="1" ht="24.75" hidden="1" customHeight="1" x14ac:dyDescent="0.2">
      <c r="A1341" s="559" t="s">
        <v>128</v>
      </c>
      <c r="B1341" s="173" t="s">
        <v>425</v>
      </c>
      <c r="C1341" s="34" t="s">
        <v>426</v>
      </c>
      <c r="D1341" s="78">
        <v>0.15</v>
      </c>
      <c r="E1341" s="174">
        <v>20</v>
      </c>
      <c r="F1341" s="174">
        <v>20</v>
      </c>
      <c r="G1341" s="78">
        <f>F1341/E1341</f>
        <v>1</v>
      </c>
      <c r="H1341" s="213" t="s">
        <v>460</v>
      </c>
      <c r="J1341" s="83"/>
      <c r="K1341" s="83"/>
      <c r="L1341" s="83"/>
      <c r="M1341" s="83"/>
      <c r="N1341" s="83"/>
      <c r="O1341" s="83"/>
      <c r="P1341" s="83"/>
      <c r="Q1341" s="83"/>
      <c r="R1341" s="83"/>
      <c r="S1341" s="83"/>
      <c r="T1341" s="83"/>
      <c r="U1341" s="83"/>
      <c r="V1341" s="83"/>
      <c r="W1341" s="83"/>
      <c r="X1341" s="83"/>
      <c r="Y1341" s="83"/>
      <c r="Z1341" s="83"/>
      <c r="AA1341" s="83"/>
      <c r="AB1341" s="83"/>
      <c r="AC1341" s="83"/>
      <c r="AD1341" s="83"/>
      <c r="AE1341" s="83"/>
      <c r="AF1341" s="83"/>
      <c r="AG1341" s="83"/>
      <c r="AH1341" s="83"/>
      <c r="AI1341" s="83"/>
      <c r="AJ1341" s="83"/>
      <c r="AK1341" s="83"/>
      <c r="AL1341" s="83"/>
    </row>
    <row r="1342" spans="1:38" s="206" customFormat="1" ht="24.75" hidden="1" customHeight="1" x14ac:dyDescent="0.2">
      <c r="A1342" s="560"/>
      <c r="B1342" s="173" t="s">
        <v>427</v>
      </c>
      <c r="C1342" s="34" t="s">
        <v>426</v>
      </c>
      <c r="D1342" s="78">
        <v>0.15</v>
      </c>
      <c r="E1342" s="89">
        <v>8</v>
      </c>
      <c r="F1342" s="89">
        <v>3.8</v>
      </c>
      <c r="G1342" s="78">
        <f t="shared" ref="G1342:G1347" si="42">F1342/E1342</f>
        <v>0.47499999999999998</v>
      </c>
      <c r="H1342" s="213" t="s">
        <v>461</v>
      </c>
      <c r="J1342" s="83"/>
      <c r="K1342" s="83"/>
      <c r="L1342" s="83"/>
      <c r="M1342" s="83"/>
      <c r="N1342" s="83"/>
      <c r="O1342" s="83"/>
      <c r="P1342" s="83"/>
      <c r="Q1342" s="83"/>
      <c r="R1342" s="83"/>
      <c r="S1342" s="83"/>
      <c r="T1342" s="83"/>
      <c r="U1342" s="83"/>
      <c r="V1342" s="83"/>
      <c r="W1342" s="83"/>
      <c r="X1342" s="83"/>
      <c r="Y1342" s="83"/>
      <c r="Z1342" s="83"/>
      <c r="AA1342" s="83"/>
      <c r="AB1342" s="83"/>
      <c r="AC1342" s="83"/>
      <c r="AD1342" s="83"/>
      <c r="AE1342" s="83"/>
      <c r="AF1342" s="83"/>
      <c r="AG1342" s="83"/>
      <c r="AH1342" s="83"/>
      <c r="AI1342" s="83"/>
      <c r="AJ1342" s="83"/>
      <c r="AK1342" s="83"/>
      <c r="AL1342" s="83"/>
    </row>
    <row r="1343" spans="1:38" s="206" customFormat="1" ht="24.75" hidden="1" customHeight="1" x14ac:dyDescent="0.2">
      <c r="A1343" s="560"/>
      <c r="B1343" s="173" t="s">
        <v>428</v>
      </c>
      <c r="C1343" s="34" t="s">
        <v>426</v>
      </c>
      <c r="D1343" s="78">
        <v>0.15</v>
      </c>
      <c r="E1343" s="89">
        <v>2</v>
      </c>
      <c r="F1343" s="89">
        <v>1.26</v>
      </c>
      <c r="G1343" s="78">
        <f t="shared" si="42"/>
        <v>0.63</v>
      </c>
      <c r="H1343" s="213" t="s">
        <v>462</v>
      </c>
      <c r="J1343" s="83"/>
      <c r="K1343" s="83"/>
      <c r="L1343" s="83"/>
      <c r="M1343" s="83"/>
      <c r="N1343" s="83"/>
      <c r="O1343" s="83"/>
      <c r="P1343" s="83"/>
      <c r="Q1343" s="83"/>
      <c r="R1343" s="83"/>
      <c r="S1343" s="83"/>
      <c r="T1343" s="83"/>
      <c r="U1343" s="83"/>
      <c r="V1343" s="83"/>
      <c r="W1343" s="83"/>
      <c r="X1343" s="83"/>
      <c r="Y1343" s="83"/>
      <c r="Z1343" s="83"/>
      <c r="AA1343" s="83"/>
      <c r="AB1343" s="83"/>
      <c r="AC1343" s="83"/>
      <c r="AD1343" s="83"/>
      <c r="AE1343" s="83"/>
      <c r="AF1343" s="83"/>
      <c r="AG1343" s="83"/>
      <c r="AH1343" s="83"/>
      <c r="AI1343" s="83"/>
      <c r="AJ1343" s="83"/>
      <c r="AK1343" s="83"/>
      <c r="AL1343" s="83"/>
    </row>
    <row r="1344" spans="1:38" s="206" customFormat="1" ht="24.75" hidden="1" customHeight="1" x14ac:dyDescent="0.2">
      <c r="A1344" s="560"/>
      <c r="B1344" s="173" t="s">
        <v>429</v>
      </c>
      <c r="C1344" s="34" t="s">
        <v>426</v>
      </c>
      <c r="D1344" s="78">
        <v>0.15</v>
      </c>
      <c r="E1344" s="174">
        <v>766</v>
      </c>
      <c r="F1344" s="174">
        <v>440</v>
      </c>
      <c r="G1344" s="78">
        <f t="shared" si="42"/>
        <v>0.5744125326370757</v>
      </c>
      <c r="H1344" s="82" t="s">
        <v>467</v>
      </c>
      <c r="J1344" s="83"/>
      <c r="K1344" s="83"/>
      <c r="L1344" s="83"/>
      <c r="M1344" s="83"/>
      <c r="N1344" s="83"/>
      <c r="O1344" s="83"/>
      <c r="P1344" s="83"/>
      <c r="Q1344" s="83"/>
      <c r="R1344" s="83"/>
      <c r="S1344" s="83"/>
      <c r="T1344" s="83"/>
      <c r="U1344" s="83"/>
      <c r="V1344" s="83"/>
      <c r="W1344" s="83"/>
      <c r="X1344" s="83"/>
      <c r="Y1344" s="83"/>
      <c r="Z1344" s="83"/>
      <c r="AA1344" s="83"/>
      <c r="AB1344" s="83"/>
      <c r="AC1344" s="83"/>
      <c r="AD1344" s="83"/>
      <c r="AE1344" s="83"/>
      <c r="AF1344" s="83"/>
      <c r="AG1344" s="83"/>
      <c r="AH1344" s="83"/>
      <c r="AI1344" s="83"/>
      <c r="AJ1344" s="83"/>
      <c r="AK1344" s="83"/>
      <c r="AL1344" s="83"/>
    </row>
    <row r="1345" spans="1:38" s="206" customFormat="1" ht="24.75" hidden="1" customHeight="1" x14ac:dyDescent="0.2">
      <c r="A1345" s="560"/>
      <c r="B1345" s="173" t="s">
        <v>430</v>
      </c>
      <c r="C1345" s="34" t="s">
        <v>426</v>
      </c>
      <c r="D1345" s="78">
        <v>0.15</v>
      </c>
      <c r="E1345" s="89">
        <v>1</v>
      </c>
      <c r="F1345" s="89">
        <v>1.17</v>
      </c>
      <c r="G1345" s="78">
        <f t="shared" si="42"/>
        <v>1.17</v>
      </c>
      <c r="H1345" s="213" t="s">
        <v>463</v>
      </c>
      <c r="J1345" s="83"/>
      <c r="K1345" s="83"/>
      <c r="L1345" s="83"/>
      <c r="M1345" s="83"/>
      <c r="N1345" s="83"/>
      <c r="O1345" s="83"/>
      <c r="P1345" s="83"/>
      <c r="Q1345" s="83"/>
      <c r="R1345" s="83"/>
      <c r="S1345" s="83"/>
      <c r="T1345" s="83"/>
      <c r="U1345" s="83"/>
      <c r="V1345" s="83"/>
      <c r="W1345" s="83"/>
      <c r="X1345" s="83"/>
      <c r="Y1345" s="83"/>
      <c r="Z1345" s="83"/>
      <c r="AA1345" s="83"/>
      <c r="AB1345" s="83"/>
      <c r="AC1345" s="83"/>
      <c r="AD1345" s="83"/>
      <c r="AE1345" s="83"/>
      <c r="AF1345" s="83"/>
      <c r="AG1345" s="83"/>
      <c r="AH1345" s="83"/>
      <c r="AI1345" s="83"/>
      <c r="AJ1345" s="83"/>
      <c r="AK1345" s="83"/>
      <c r="AL1345" s="83"/>
    </row>
    <row r="1346" spans="1:38" s="206" customFormat="1" ht="24.75" hidden="1" customHeight="1" x14ac:dyDescent="0.2">
      <c r="A1346" s="560"/>
      <c r="B1346" s="173" t="s">
        <v>431</v>
      </c>
      <c r="C1346" s="34" t="s">
        <v>426</v>
      </c>
      <c r="D1346" s="78">
        <v>0.15</v>
      </c>
      <c r="E1346" s="89">
        <v>4707</v>
      </c>
      <c r="F1346" s="89">
        <v>3769</v>
      </c>
      <c r="G1346" s="78">
        <f t="shared" si="42"/>
        <v>0.80072232844699387</v>
      </c>
      <c r="H1346" s="213" t="s">
        <v>464</v>
      </c>
      <c r="J1346" s="83"/>
      <c r="K1346" s="83"/>
      <c r="L1346" s="83"/>
      <c r="M1346" s="83"/>
      <c r="N1346" s="83"/>
      <c r="O1346" s="83"/>
      <c r="P1346" s="83"/>
      <c r="Q1346" s="83"/>
      <c r="R1346" s="83"/>
      <c r="S1346" s="83"/>
      <c r="T1346" s="83"/>
      <c r="U1346" s="83"/>
      <c r="V1346" s="83"/>
      <c r="W1346" s="83"/>
      <c r="X1346" s="83"/>
      <c r="Y1346" s="83"/>
      <c r="Z1346" s="83"/>
      <c r="AA1346" s="83"/>
      <c r="AB1346" s="83"/>
      <c r="AC1346" s="83"/>
      <c r="AD1346" s="83"/>
      <c r="AE1346" s="83"/>
      <c r="AF1346" s="83"/>
      <c r="AG1346" s="83"/>
      <c r="AH1346" s="83"/>
      <c r="AI1346" s="83"/>
      <c r="AJ1346" s="83"/>
      <c r="AK1346" s="83"/>
      <c r="AL1346" s="83"/>
    </row>
    <row r="1347" spans="1:38" s="206" customFormat="1" ht="24.75" hidden="1" customHeight="1" x14ac:dyDescent="0.2">
      <c r="A1347" s="516"/>
      <c r="B1347" s="173" t="s">
        <v>432</v>
      </c>
      <c r="C1347" s="34" t="s">
        <v>426</v>
      </c>
      <c r="D1347" s="78">
        <v>0.1</v>
      </c>
      <c r="E1347" s="78">
        <v>1</v>
      </c>
      <c r="F1347" s="78">
        <v>1</v>
      </c>
      <c r="G1347" s="78">
        <f t="shared" si="42"/>
        <v>1</v>
      </c>
      <c r="H1347" s="213" t="s">
        <v>465</v>
      </c>
      <c r="J1347" s="83"/>
      <c r="K1347" s="83"/>
      <c r="L1347" s="83"/>
      <c r="M1347" s="83"/>
      <c r="N1347" s="83"/>
      <c r="O1347" s="83"/>
      <c r="P1347" s="83"/>
      <c r="Q1347" s="83"/>
      <c r="R1347" s="83"/>
      <c r="S1347" s="83"/>
      <c r="T1347" s="83"/>
      <c r="U1347" s="83"/>
      <c r="V1347" s="83"/>
      <c r="W1347" s="83"/>
      <c r="X1347" s="83"/>
      <c r="Y1347" s="83"/>
      <c r="Z1347" s="83"/>
      <c r="AA1347" s="83"/>
      <c r="AB1347" s="83"/>
      <c r="AC1347" s="83"/>
      <c r="AD1347" s="83"/>
      <c r="AE1347" s="83"/>
      <c r="AF1347" s="83"/>
      <c r="AG1347" s="83"/>
      <c r="AH1347" s="83"/>
      <c r="AI1347" s="83"/>
      <c r="AJ1347" s="83"/>
      <c r="AK1347" s="83"/>
      <c r="AL1347" s="83"/>
    </row>
    <row r="1348" spans="1:38" s="206" customFormat="1" ht="24.75" hidden="1" customHeight="1" x14ac:dyDescent="0.2">
      <c r="A1348" s="559" t="s">
        <v>129</v>
      </c>
      <c r="B1348" s="173" t="s">
        <v>425</v>
      </c>
      <c r="C1348" s="34" t="s">
        <v>426</v>
      </c>
      <c r="D1348" s="78">
        <v>0.15</v>
      </c>
      <c r="E1348" s="174">
        <v>20</v>
      </c>
      <c r="F1348" s="174">
        <v>20</v>
      </c>
      <c r="G1348" s="78">
        <f>F1348/E1348</f>
        <v>1</v>
      </c>
      <c r="H1348" s="213" t="s">
        <v>460</v>
      </c>
      <c r="J1348" s="83"/>
      <c r="K1348" s="83"/>
      <c r="L1348" s="83"/>
      <c r="M1348" s="83"/>
      <c r="N1348" s="83"/>
      <c r="O1348" s="83"/>
      <c r="P1348" s="83"/>
      <c r="Q1348" s="83"/>
      <c r="R1348" s="83"/>
      <c r="S1348" s="83"/>
      <c r="T1348" s="83"/>
      <c r="U1348" s="83"/>
      <c r="V1348" s="83"/>
      <c r="W1348" s="83"/>
      <c r="X1348" s="83"/>
      <c r="Y1348" s="83"/>
      <c r="Z1348" s="83"/>
      <c r="AA1348" s="83"/>
      <c r="AB1348" s="83"/>
      <c r="AC1348" s="83"/>
      <c r="AD1348" s="83"/>
      <c r="AE1348" s="83"/>
      <c r="AF1348" s="83"/>
      <c r="AG1348" s="83"/>
      <c r="AH1348" s="83"/>
      <c r="AI1348" s="83"/>
      <c r="AJ1348" s="83"/>
      <c r="AK1348" s="83"/>
      <c r="AL1348" s="83"/>
    </row>
    <row r="1349" spans="1:38" s="206" customFormat="1" ht="24.75" hidden="1" customHeight="1" x14ac:dyDescent="0.2">
      <c r="A1349" s="560"/>
      <c r="B1349" s="173" t="s">
        <v>427</v>
      </c>
      <c r="C1349" s="34" t="s">
        <v>426</v>
      </c>
      <c r="D1349" s="78">
        <v>0.15</v>
      </c>
      <c r="E1349" s="89">
        <v>8</v>
      </c>
      <c r="F1349" s="89">
        <v>4.5999999999999996</v>
      </c>
      <c r="G1349" s="78">
        <f t="shared" ref="G1349:G1354" si="43">F1349/E1349</f>
        <v>0.57499999999999996</v>
      </c>
      <c r="H1349" s="213" t="s">
        <v>461</v>
      </c>
      <c r="J1349" s="83"/>
      <c r="K1349" s="83"/>
      <c r="L1349" s="83"/>
      <c r="M1349" s="83"/>
      <c r="N1349" s="83"/>
      <c r="O1349" s="83"/>
      <c r="P1349" s="83"/>
      <c r="Q1349" s="83"/>
      <c r="R1349" s="83"/>
      <c r="S1349" s="83"/>
      <c r="T1349" s="83"/>
      <c r="U1349" s="83"/>
      <c r="V1349" s="83"/>
      <c r="W1349" s="83"/>
      <c r="X1349" s="83"/>
      <c r="Y1349" s="83"/>
      <c r="Z1349" s="83"/>
      <c r="AA1349" s="83"/>
      <c r="AB1349" s="83"/>
      <c r="AC1349" s="83"/>
      <c r="AD1349" s="83"/>
      <c r="AE1349" s="83"/>
      <c r="AF1349" s="83"/>
      <c r="AG1349" s="83"/>
      <c r="AH1349" s="83"/>
      <c r="AI1349" s="83"/>
      <c r="AJ1349" s="83"/>
      <c r="AK1349" s="83"/>
      <c r="AL1349" s="83"/>
    </row>
    <row r="1350" spans="1:38" s="206" customFormat="1" ht="24.75" hidden="1" customHeight="1" x14ac:dyDescent="0.2">
      <c r="A1350" s="560"/>
      <c r="B1350" s="173" t="s">
        <v>428</v>
      </c>
      <c r="C1350" s="34" t="s">
        <v>426</v>
      </c>
      <c r="D1350" s="78">
        <v>0.15</v>
      </c>
      <c r="E1350" s="89">
        <v>2</v>
      </c>
      <c r="F1350" s="89">
        <v>1.39</v>
      </c>
      <c r="G1350" s="78">
        <f t="shared" si="43"/>
        <v>0.69499999999999995</v>
      </c>
      <c r="H1350" s="213" t="s">
        <v>462</v>
      </c>
      <c r="J1350" s="83"/>
      <c r="K1350" s="83"/>
      <c r="L1350" s="83"/>
      <c r="M1350" s="83"/>
      <c r="N1350" s="83"/>
      <c r="O1350" s="83"/>
      <c r="P1350" s="83"/>
      <c r="Q1350" s="83"/>
      <c r="R1350" s="83"/>
      <c r="S1350" s="83"/>
      <c r="T1350" s="83"/>
      <c r="U1350" s="83"/>
      <c r="V1350" s="83"/>
      <c r="W1350" s="83"/>
      <c r="X1350" s="83"/>
      <c r="Y1350" s="83"/>
      <c r="Z1350" s="83"/>
      <c r="AA1350" s="83"/>
      <c r="AB1350" s="83"/>
      <c r="AC1350" s="83"/>
      <c r="AD1350" s="83"/>
      <c r="AE1350" s="83"/>
      <c r="AF1350" s="83"/>
      <c r="AG1350" s="83"/>
      <c r="AH1350" s="83"/>
      <c r="AI1350" s="83"/>
      <c r="AJ1350" s="83"/>
      <c r="AK1350" s="83"/>
      <c r="AL1350" s="83"/>
    </row>
    <row r="1351" spans="1:38" s="206" customFormat="1" ht="24.75" hidden="1" customHeight="1" x14ac:dyDescent="0.2">
      <c r="A1351" s="560"/>
      <c r="B1351" s="173" t="s">
        <v>429</v>
      </c>
      <c r="C1351" s="34" t="s">
        <v>426</v>
      </c>
      <c r="D1351" s="78">
        <v>0.15</v>
      </c>
      <c r="E1351" s="174">
        <v>766</v>
      </c>
      <c r="F1351" s="174">
        <v>529</v>
      </c>
      <c r="G1351" s="78">
        <f t="shared" si="43"/>
        <v>0.69060052219321144</v>
      </c>
      <c r="H1351" s="82" t="s">
        <v>467</v>
      </c>
      <c r="J1351" s="83"/>
      <c r="K1351" s="83"/>
      <c r="L1351" s="83"/>
      <c r="M1351" s="83"/>
      <c r="N1351" s="83"/>
      <c r="O1351" s="83"/>
      <c r="P1351" s="83"/>
      <c r="Q1351" s="83"/>
      <c r="R1351" s="83"/>
      <c r="S1351" s="83"/>
      <c r="T1351" s="83"/>
      <c r="U1351" s="83"/>
      <c r="V1351" s="83"/>
      <c r="W1351" s="83"/>
      <c r="X1351" s="83"/>
      <c r="Y1351" s="83"/>
      <c r="Z1351" s="83"/>
      <c r="AA1351" s="83"/>
      <c r="AB1351" s="83"/>
      <c r="AC1351" s="83"/>
      <c r="AD1351" s="83"/>
      <c r="AE1351" s="83"/>
      <c r="AF1351" s="83"/>
      <c r="AG1351" s="83"/>
      <c r="AH1351" s="83"/>
      <c r="AI1351" s="83"/>
      <c r="AJ1351" s="83"/>
      <c r="AK1351" s="83"/>
      <c r="AL1351" s="83"/>
    </row>
    <row r="1352" spans="1:38" s="206" customFormat="1" ht="24.75" hidden="1" customHeight="1" x14ac:dyDescent="0.2">
      <c r="A1352" s="560"/>
      <c r="B1352" s="173" t="s">
        <v>430</v>
      </c>
      <c r="C1352" s="34" t="s">
        <v>426</v>
      </c>
      <c r="D1352" s="78">
        <v>0.15</v>
      </c>
      <c r="E1352" s="89">
        <v>1</v>
      </c>
      <c r="F1352" s="89">
        <v>1.67</v>
      </c>
      <c r="G1352" s="78">
        <f t="shared" si="43"/>
        <v>1.67</v>
      </c>
      <c r="H1352" s="213" t="s">
        <v>463</v>
      </c>
      <c r="J1352" s="83"/>
      <c r="K1352" s="83"/>
      <c r="L1352" s="83"/>
      <c r="M1352" s="83"/>
      <c r="N1352" s="83"/>
      <c r="O1352" s="83"/>
      <c r="P1352" s="83"/>
      <c r="Q1352" s="83"/>
      <c r="R1352" s="83"/>
      <c r="S1352" s="83"/>
      <c r="T1352" s="83"/>
      <c r="U1352" s="83"/>
      <c r="V1352" s="83"/>
      <c r="W1352" s="83"/>
      <c r="X1352" s="83"/>
      <c r="Y1352" s="83"/>
      <c r="Z1352" s="83"/>
      <c r="AA1352" s="83"/>
      <c r="AB1352" s="83"/>
      <c r="AC1352" s="83"/>
      <c r="AD1352" s="83"/>
      <c r="AE1352" s="83"/>
      <c r="AF1352" s="83"/>
      <c r="AG1352" s="83"/>
      <c r="AH1352" s="83"/>
      <c r="AI1352" s="83"/>
      <c r="AJ1352" s="83"/>
      <c r="AK1352" s="83"/>
      <c r="AL1352" s="83"/>
    </row>
    <row r="1353" spans="1:38" s="206" customFormat="1" ht="24.75" hidden="1" customHeight="1" x14ac:dyDescent="0.2">
      <c r="A1353" s="560"/>
      <c r="B1353" s="173" t="s">
        <v>431</v>
      </c>
      <c r="C1353" s="34" t="s">
        <v>426</v>
      </c>
      <c r="D1353" s="78">
        <v>0.15</v>
      </c>
      <c r="E1353" s="89">
        <v>4707</v>
      </c>
      <c r="F1353" s="89">
        <v>3972</v>
      </c>
      <c r="G1353" s="78">
        <f t="shared" si="43"/>
        <v>0.84384958572339075</v>
      </c>
      <c r="H1353" s="213" t="s">
        <v>464</v>
      </c>
      <c r="J1353" s="83"/>
      <c r="K1353" s="83"/>
      <c r="L1353" s="83"/>
      <c r="M1353" s="83"/>
      <c r="N1353" s="83"/>
      <c r="O1353" s="83"/>
      <c r="P1353" s="83"/>
      <c r="Q1353" s="83"/>
      <c r="R1353" s="83"/>
      <c r="S1353" s="83"/>
      <c r="T1353" s="83"/>
      <c r="U1353" s="83"/>
      <c r="V1353" s="83"/>
      <c r="W1353" s="83"/>
      <c r="X1353" s="83"/>
      <c r="Y1353" s="83"/>
      <c r="Z1353" s="83"/>
      <c r="AA1353" s="83"/>
      <c r="AB1353" s="83"/>
      <c r="AC1353" s="83"/>
      <c r="AD1353" s="83"/>
      <c r="AE1353" s="83"/>
      <c r="AF1353" s="83"/>
      <c r="AG1353" s="83"/>
      <c r="AH1353" s="83"/>
      <c r="AI1353" s="83"/>
      <c r="AJ1353" s="83"/>
      <c r="AK1353" s="83"/>
      <c r="AL1353" s="83"/>
    </row>
    <row r="1354" spans="1:38" s="206" customFormat="1" ht="24.75" hidden="1" customHeight="1" x14ac:dyDescent="0.2">
      <c r="A1354" s="516"/>
      <c r="B1354" s="173" t="s">
        <v>432</v>
      </c>
      <c r="C1354" s="34" t="s">
        <v>426</v>
      </c>
      <c r="D1354" s="78">
        <v>0.1</v>
      </c>
      <c r="E1354" s="78">
        <v>1</v>
      </c>
      <c r="F1354" s="78">
        <v>1</v>
      </c>
      <c r="G1354" s="78">
        <f t="shared" si="43"/>
        <v>1</v>
      </c>
      <c r="H1354" s="213" t="s">
        <v>465</v>
      </c>
      <c r="J1354" s="83"/>
      <c r="K1354" s="83"/>
      <c r="L1354" s="83"/>
      <c r="M1354" s="83"/>
      <c r="N1354" s="83"/>
      <c r="O1354" s="83"/>
      <c r="P1354" s="83"/>
      <c r="Q1354" s="83"/>
      <c r="R1354" s="83"/>
      <c r="S1354" s="83"/>
      <c r="T1354" s="83"/>
      <c r="U1354" s="83"/>
      <c r="V1354" s="83"/>
      <c r="W1354" s="83"/>
      <c r="X1354" s="83"/>
      <c r="Y1354" s="83"/>
      <c r="Z1354" s="83"/>
      <c r="AA1354" s="83"/>
      <c r="AB1354" s="83"/>
      <c r="AC1354" s="83"/>
      <c r="AD1354" s="83"/>
      <c r="AE1354" s="83"/>
      <c r="AF1354" s="83"/>
      <c r="AG1354" s="83"/>
      <c r="AH1354" s="83"/>
      <c r="AI1354" s="83"/>
      <c r="AJ1354" s="83"/>
      <c r="AK1354" s="83"/>
      <c r="AL1354" s="83"/>
    </row>
    <row r="1355" spans="1:38" s="206" customFormat="1" ht="24.75" hidden="1" customHeight="1" x14ac:dyDescent="0.2">
      <c r="A1355" s="559" t="s">
        <v>130</v>
      </c>
      <c r="B1355" s="173" t="s">
        <v>425</v>
      </c>
      <c r="C1355" s="34" t="s">
        <v>426</v>
      </c>
      <c r="D1355" s="78">
        <v>0.15</v>
      </c>
      <c r="E1355" s="174">
        <v>20</v>
      </c>
      <c r="F1355" s="174">
        <v>20</v>
      </c>
      <c r="G1355" s="78">
        <f>F1355/E1355</f>
        <v>1</v>
      </c>
      <c r="H1355" s="100" t="s">
        <v>480</v>
      </c>
      <c r="J1355" s="83"/>
      <c r="K1355" s="83"/>
      <c r="L1355" s="83"/>
      <c r="M1355" s="83"/>
      <c r="N1355" s="83"/>
      <c r="O1355" s="83"/>
      <c r="P1355" s="83"/>
      <c r="Q1355" s="83"/>
      <c r="R1355" s="83"/>
      <c r="S1355" s="83"/>
      <c r="T1355" s="83"/>
      <c r="U1355" s="83"/>
      <c r="V1355" s="83"/>
      <c r="W1355" s="83"/>
      <c r="X1355" s="83"/>
      <c r="Y1355" s="83"/>
      <c r="Z1355" s="83"/>
      <c r="AA1355" s="83"/>
      <c r="AB1355" s="83"/>
      <c r="AC1355" s="83"/>
      <c r="AD1355" s="83"/>
      <c r="AE1355" s="83"/>
      <c r="AF1355" s="83"/>
      <c r="AG1355" s="83"/>
      <c r="AH1355" s="83"/>
      <c r="AI1355" s="83"/>
      <c r="AJ1355" s="83"/>
      <c r="AK1355" s="83"/>
      <c r="AL1355" s="83"/>
    </row>
    <row r="1356" spans="1:38" s="206" customFormat="1" ht="24.75" hidden="1" customHeight="1" x14ac:dyDescent="0.2">
      <c r="A1356" s="560"/>
      <c r="B1356" s="173" t="s">
        <v>427</v>
      </c>
      <c r="C1356" s="34" t="s">
        <v>426</v>
      </c>
      <c r="D1356" s="78">
        <v>0.15</v>
      </c>
      <c r="E1356" s="89">
        <v>8</v>
      </c>
      <c r="F1356" s="89">
        <v>5.65</v>
      </c>
      <c r="G1356" s="78">
        <f t="shared" ref="G1356:G1382" si="44">F1356/E1356</f>
        <v>0.70625000000000004</v>
      </c>
      <c r="H1356" s="100" t="s">
        <v>478</v>
      </c>
      <c r="J1356" s="83"/>
      <c r="K1356" s="83"/>
      <c r="L1356" s="83"/>
      <c r="M1356" s="83"/>
      <c r="N1356" s="83"/>
      <c r="O1356" s="83"/>
      <c r="P1356" s="83"/>
      <c r="Q1356" s="83"/>
      <c r="R1356" s="83"/>
      <c r="S1356" s="83"/>
      <c r="T1356" s="83"/>
      <c r="U1356" s="83"/>
      <c r="V1356" s="83"/>
      <c r="W1356" s="83"/>
      <c r="X1356" s="83"/>
      <c r="Y1356" s="83"/>
      <c r="Z1356" s="83"/>
      <c r="AA1356" s="83"/>
      <c r="AB1356" s="83"/>
      <c r="AC1356" s="83"/>
      <c r="AD1356" s="83"/>
      <c r="AE1356" s="83"/>
      <c r="AF1356" s="83"/>
      <c r="AG1356" s="83"/>
      <c r="AH1356" s="83"/>
      <c r="AI1356" s="83"/>
      <c r="AJ1356" s="83"/>
      <c r="AK1356" s="83"/>
      <c r="AL1356" s="83"/>
    </row>
    <row r="1357" spans="1:38" s="206" customFormat="1" ht="24.75" hidden="1" customHeight="1" x14ac:dyDescent="0.2">
      <c r="A1357" s="560"/>
      <c r="B1357" s="173" t="s">
        <v>428</v>
      </c>
      <c r="C1357" s="34" t="s">
        <v>426</v>
      </c>
      <c r="D1357" s="78">
        <v>0.15</v>
      </c>
      <c r="E1357" s="89">
        <v>2</v>
      </c>
      <c r="F1357" s="89">
        <v>1.56</v>
      </c>
      <c r="G1357" s="78">
        <f t="shared" si="44"/>
        <v>0.78</v>
      </c>
      <c r="H1357" s="100" t="s">
        <v>479</v>
      </c>
      <c r="J1357" s="83"/>
      <c r="K1357" s="83"/>
      <c r="L1357" s="83"/>
      <c r="M1357" s="83"/>
      <c r="N1357" s="83"/>
      <c r="O1357" s="83"/>
      <c r="P1357" s="83"/>
      <c r="Q1357" s="83"/>
      <c r="R1357" s="83"/>
      <c r="S1357" s="83"/>
      <c r="T1357" s="83"/>
      <c r="U1357" s="83"/>
      <c r="V1357" s="83"/>
      <c r="W1357" s="83"/>
      <c r="X1357" s="83"/>
      <c r="Y1357" s="83"/>
      <c r="Z1357" s="83"/>
      <c r="AA1357" s="83"/>
      <c r="AB1357" s="83"/>
      <c r="AC1357" s="83"/>
      <c r="AD1357" s="83"/>
      <c r="AE1357" s="83"/>
      <c r="AF1357" s="83"/>
      <c r="AG1357" s="83"/>
      <c r="AH1357" s="83"/>
      <c r="AI1357" s="83"/>
      <c r="AJ1357" s="83"/>
      <c r="AK1357" s="83"/>
      <c r="AL1357" s="83"/>
    </row>
    <row r="1358" spans="1:38" s="206" customFormat="1" ht="24.75" hidden="1" customHeight="1" x14ac:dyDescent="0.2">
      <c r="A1358" s="560"/>
      <c r="B1358" s="173" t="s">
        <v>429</v>
      </c>
      <c r="C1358" s="34" t="s">
        <v>426</v>
      </c>
      <c r="D1358" s="78">
        <v>0.15</v>
      </c>
      <c r="E1358" s="174">
        <v>766</v>
      </c>
      <c r="F1358" s="174">
        <v>622</v>
      </c>
      <c r="G1358" s="78">
        <f t="shared" si="44"/>
        <v>0.81201044386422971</v>
      </c>
      <c r="H1358" s="100" t="s">
        <v>476</v>
      </c>
      <c r="J1358" s="83"/>
      <c r="K1358" s="83"/>
      <c r="L1358" s="83"/>
      <c r="M1358" s="83"/>
      <c r="N1358" s="83"/>
      <c r="O1358" s="83"/>
      <c r="P1358" s="83"/>
      <c r="Q1358" s="83"/>
      <c r="R1358" s="83"/>
      <c r="S1358" s="83"/>
      <c r="T1358" s="83"/>
      <c r="U1358" s="83"/>
      <c r="V1358" s="83"/>
      <c r="W1358" s="83"/>
      <c r="X1358" s="83"/>
      <c r="Y1358" s="83"/>
      <c r="Z1358" s="83"/>
      <c r="AA1358" s="83"/>
      <c r="AB1358" s="83"/>
      <c r="AC1358" s="83"/>
      <c r="AD1358" s="83"/>
      <c r="AE1358" s="83"/>
      <c r="AF1358" s="83"/>
      <c r="AG1358" s="83"/>
      <c r="AH1358" s="83"/>
      <c r="AI1358" s="83"/>
      <c r="AJ1358" s="83"/>
      <c r="AK1358" s="83"/>
      <c r="AL1358" s="83"/>
    </row>
    <row r="1359" spans="1:38" s="206" customFormat="1" ht="24.75" hidden="1" customHeight="1" x14ac:dyDescent="0.2">
      <c r="A1359" s="560"/>
      <c r="B1359" s="173" t="s">
        <v>430</v>
      </c>
      <c r="C1359" s="34" t="s">
        <v>426</v>
      </c>
      <c r="D1359" s="78">
        <v>0.15</v>
      </c>
      <c r="E1359" s="89">
        <v>1</v>
      </c>
      <c r="F1359" s="89">
        <v>1</v>
      </c>
      <c r="G1359" s="78">
        <f t="shared" si="44"/>
        <v>1</v>
      </c>
      <c r="H1359" s="100" t="s">
        <v>477</v>
      </c>
      <c r="J1359" s="83"/>
      <c r="K1359" s="83"/>
      <c r="L1359" s="83"/>
      <c r="M1359" s="83"/>
      <c r="N1359" s="83"/>
      <c r="O1359" s="83"/>
      <c r="P1359" s="83"/>
      <c r="Q1359" s="83"/>
      <c r="R1359" s="83"/>
      <c r="S1359" s="83"/>
      <c r="T1359" s="83"/>
      <c r="U1359" s="83"/>
      <c r="V1359" s="83"/>
      <c r="W1359" s="83"/>
      <c r="X1359" s="83"/>
      <c r="Y1359" s="83"/>
      <c r="Z1359" s="83"/>
      <c r="AA1359" s="83"/>
      <c r="AB1359" s="83"/>
      <c r="AC1359" s="83"/>
      <c r="AD1359" s="83"/>
      <c r="AE1359" s="83"/>
      <c r="AF1359" s="83"/>
      <c r="AG1359" s="83"/>
      <c r="AH1359" s="83"/>
      <c r="AI1359" s="83"/>
      <c r="AJ1359" s="83"/>
      <c r="AK1359" s="83"/>
      <c r="AL1359" s="83"/>
    </row>
    <row r="1360" spans="1:38" s="206" customFormat="1" ht="24.75" hidden="1" customHeight="1" x14ac:dyDescent="0.2">
      <c r="A1360" s="560"/>
      <c r="B1360" s="173" t="s">
        <v>431</v>
      </c>
      <c r="C1360" s="34" t="s">
        <v>426</v>
      </c>
      <c r="D1360" s="78">
        <v>0.15</v>
      </c>
      <c r="E1360" s="89">
        <v>4707</v>
      </c>
      <c r="F1360" s="89">
        <v>3972</v>
      </c>
      <c r="G1360" s="78">
        <f t="shared" si="44"/>
        <v>0.84384958572339075</v>
      </c>
      <c r="H1360" s="100" t="s">
        <v>475</v>
      </c>
      <c r="J1360" s="83"/>
      <c r="K1360" s="83"/>
      <c r="L1360" s="83"/>
      <c r="M1360" s="83"/>
      <c r="N1360" s="83"/>
      <c r="O1360" s="83"/>
      <c r="P1360" s="83"/>
      <c r="Q1360" s="83"/>
      <c r="R1360" s="83"/>
      <c r="S1360" s="83"/>
      <c r="T1360" s="83"/>
      <c r="U1360" s="83"/>
      <c r="V1360" s="83"/>
      <c r="W1360" s="83"/>
      <c r="X1360" s="83"/>
      <c r="Y1360" s="83"/>
      <c r="Z1360" s="83"/>
      <c r="AA1360" s="83"/>
      <c r="AB1360" s="83"/>
      <c r="AC1360" s="83"/>
      <c r="AD1360" s="83"/>
      <c r="AE1360" s="83"/>
      <c r="AF1360" s="83"/>
      <c r="AG1360" s="83"/>
      <c r="AH1360" s="83"/>
      <c r="AI1360" s="83"/>
      <c r="AJ1360" s="83"/>
      <c r="AK1360" s="83"/>
      <c r="AL1360" s="83"/>
    </row>
    <row r="1361" spans="1:38" s="206" customFormat="1" ht="24.75" hidden="1" customHeight="1" x14ac:dyDescent="0.2">
      <c r="A1361" s="516"/>
      <c r="B1361" s="173" t="s">
        <v>432</v>
      </c>
      <c r="C1361" s="34" t="s">
        <v>426</v>
      </c>
      <c r="D1361" s="78">
        <v>0.1</v>
      </c>
      <c r="E1361" s="78">
        <v>1</v>
      </c>
      <c r="F1361" s="78">
        <v>1</v>
      </c>
      <c r="G1361" s="78">
        <f t="shared" si="44"/>
        <v>1</v>
      </c>
      <c r="H1361" s="100" t="s">
        <v>481</v>
      </c>
      <c r="J1361" s="83"/>
      <c r="K1361" s="83"/>
      <c r="L1361" s="83"/>
      <c r="M1361" s="83"/>
      <c r="N1361" s="83"/>
      <c r="O1361" s="83"/>
      <c r="P1361" s="83"/>
      <c r="Q1361" s="83"/>
      <c r="R1361" s="83"/>
      <c r="S1361" s="83"/>
      <c r="T1361" s="83"/>
      <c r="U1361" s="83"/>
      <c r="V1361" s="83"/>
      <c r="W1361" s="83"/>
      <c r="X1361" s="83"/>
      <c r="Y1361" s="83"/>
      <c r="Z1361" s="83"/>
      <c r="AA1361" s="83"/>
      <c r="AB1361" s="83"/>
      <c r="AC1361" s="83"/>
      <c r="AD1361" s="83"/>
      <c r="AE1361" s="83"/>
      <c r="AF1361" s="83"/>
      <c r="AG1361" s="83"/>
      <c r="AH1361" s="83"/>
      <c r="AI1361" s="83"/>
      <c r="AJ1361" s="83"/>
      <c r="AK1361" s="83"/>
      <c r="AL1361" s="83"/>
    </row>
    <row r="1362" spans="1:38" s="206" customFormat="1" ht="24.75" hidden="1" customHeight="1" x14ac:dyDescent="0.2">
      <c r="A1362" s="559" t="s">
        <v>131</v>
      </c>
      <c r="B1362" s="173" t="s">
        <v>425</v>
      </c>
      <c r="C1362" s="34" t="s">
        <v>426</v>
      </c>
      <c r="D1362" s="78">
        <v>0.15</v>
      </c>
      <c r="E1362" s="174">
        <v>20</v>
      </c>
      <c r="F1362" s="174">
        <v>20</v>
      </c>
      <c r="G1362" s="78">
        <f>F1362/E1362</f>
        <v>1</v>
      </c>
      <c r="H1362" s="100" t="s">
        <v>506</v>
      </c>
      <c r="J1362" s="83"/>
      <c r="K1362" s="83"/>
      <c r="L1362" s="83"/>
      <c r="M1362" s="83"/>
      <c r="N1362" s="83"/>
      <c r="O1362" s="83"/>
      <c r="P1362" s="83"/>
      <c r="Q1362" s="83"/>
      <c r="R1362" s="83"/>
      <c r="S1362" s="83"/>
      <c r="T1362" s="83"/>
      <c r="U1362" s="83"/>
      <c r="V1362" s="83"/>
      <c r="W1362" s="83"/>
      <c r="X1362" s="83"/>
      <c r="Y1362" s="83"/>
      <c r="Z1362" s="83"/>
      <c r="AA1362" s="83"/>
      <c r="AB1362" s="83"/>
      <c r="AC1362" s="83"/>
      <c r="AD1362" s="83"/>
      <c r="AE1362" s="83"/>
      <c r="AF1362" s="83"/>
      <c r="AG1362" s="83"/>
      <c r="AH1362" s="83"/>
      <c r="AI1362" s="83"/>
      <c r="AJ1362" s="83"/>
      <c r="AK1362" s="83"/>
      <c r="AL1362" s="83"/>
    </row>
    <row r="1363" spans="1:38" s="206" customFormat="1" ht="24.75" hidden="1" customHeight="1" x14ac:dyDescent="0.2">
      <c r="A1363" s="560"/>
      <c r="B1363" s="173" t="s">
        <v>427</v>
      </c>
      <c r="C1363" s="34" t="s">
        <v>426</v>
      </c>
      <c r="D1363" s="78">
        <v>0.15</v>
      </c>
      <c r="E1363" s="89">
        <v>8</v>
      </c>
      <c r="F1363" s="89">
        <v>6.5</v>
      </c>
      <c r="G1363" s="78">
        <f t="shared" si="44"/>
        <v>0.8125</v>
      </c>
      <c r="H1363" s="100" t="s">
        <v>491</v>
      </c>
      <c r="J1363" s="83"/>
      <c r="K1363" s="83"/>
      <c r="L1363" s="83"/>
      <c r="M1363" s="83"/>
      <c r="N1363" s="83"/>
      <c r="O1363" s="83"/>
      <c r="P1363" s="83"/>
      <c r="Q1363" s="83"/>
      <c r="R1363" s="83"/>
      <c r="S1363" s="83"/>
      <c r="T1363" s="83"/>
      <c r="U1363" s="83"/>
      <c r="V1363" s="83"/>
      <c r="W1363" s="83"/>
      <c r="X1363" s="83"/>
      <c r="Y1363" s="83"/>
      <c r="Z1363" s="83"/>
      <c r="AA1363" s="83"/>
      <c r="AB1363" s="83"/>
      <c r="AC1363" s="83"/>
      <c r="AD1363" s="83"/>
      <c r="AE1363" s="83"/>
      <c r="AF1363" s="83"/>
      <c r="AG1363" s="83"/>
      <c r="AH1363" s="83"/>
      <c r="AI1363" s="83"/>
      <c r="AJ1363" s="83"/>
      <c r="AK1363" s="83"/>
      <c r="AL1363" s="83"/>
    </row>
    <row r="1364" spans="1:38" s="206" customFormat="1" ht="24.75" hidden="1" customHeight="1" x14ac:dyDescent="0.2">
      <c r="A1364" s="560"/>
      <c r="B1364" s="173" t="s">
        <v>428</v>
      </c>
      <c r="C1364" s="34" t="s">
        <v>426</v>
      </c>
      <c r="D1364" s="78">
        <v>0.15</v>
      </c>
      <c r="E1364" s="89">
        <v>2</v>
      </c>
      <c r="F1364" s="89">
        <v>1.77</v>
      </c>
      <c r="G1364" s="78">
        <f>F1364/E1364</f>
        <v>0.88500000000000001</v>
      </c>
      <c r="H1364" s="100" t="s">
        <v>492</v>
      </c>
      <c r="J1364" s="83"/>
      <c r="K1364" s="83"/>
      <c r="L1364" s="83"/>
      <c r="M1364" s="83"/>
      <c r="N1364" s="83"/>
      <c r="O1364" s="83"/>
      <c r="P1364" s="83"/>
      <c r="Q1364" s="83"/>
      <c r="R1364" s="83"/>
      <c r="S1364" s="83"/>
      <c r="T1364" s="83"/>
      <c r="U1364" s="83"/>
      <c r="V1364" s="83"/>
      <c r="W1364" s="83"/>
      <c r="X1364" s="83"/>
      <c r="Y1364" s="83"/>
      <c r="Z1364" s="83"/>
      <c r="AA1364" s="83"/>
      <c r="AB1364" s="83"/>
      <c r="AC1364" s="83"/>
      <c r="AD1364" s="83"/>
      <c r="AE1364" s="83"/>
      <c r="AF1364" s="83"/>
      <c r="AG1364" s="83"/>
      <c r="AH1364" s="83"/>
      <c r="AI1364" s="83"/>
      <c r="AJ1364" s="83"/>
      <c r="AK1364" s="83"/>
      <c r="AL1364" s="83"/>
    </row>
    <row r="1365" spans="1:38" s="206" customFormat="1" ht="24.75" hidden="1" customHeight="1" x14ac:dyDescent="0.2">
      <c r="A1365" s="560"/>
      <c r="B1365" s="173" t="s">
        <v>429</v>
      </c>
      <c r="C1365" s="34" t="s">
        <v>426</v>
      </c>
      <c r="D1365" s="78">
        <v>0.15</v>
      </c>
      <c r="E1365" s="174">
        <v>766</v>
      </c>
      <c r="F1365" s="174">
        <v>691</v>
      </c>
      <c r="G1365" s="78">
        <f t="shared" si="44"/>
        <v>0.90208877284595301</v>
      </c>
      <c r="H1365" s="100" t="s">
        <v>493</v>
      </c>
      <c r="J1365" s="83"/>
      <c r="K1365" s="83"/>
      <c r="L1365" s="83"/>
      <c r="M1365" s="83"/>
      <c r="N1365" s="83"/>
      <c r="O1365" s="83"/>
      <c r="P1365" s="83"/>
      <c r="Q1365" s="83"/>
      <c r="R1365" s="83"/>
      <c r="S1365" s="83"/>
      <c r="T1365" s="83"/>
      <c r="U1365" s="83"/>
      <c r="V1365" s="83"/>
      <c r="W1365" s="83"/>
      <c r="X1365" s="83"/>
      <c r="Y1365" s="83"/>
      <c r="Z1365" s="83"/>
      <c r="AA1365" s="83"/>
      <c r="AB1365" s="83"/>
      <c r="AC1365" s="83"/>
      <c r="AD1365" s="83"/>
      <c r="AE1365" s="83"/>
      <c r="AF1365" s="83"/>
      <c r="AG1365" s="83"/>
      <c r="AH1365" s="83"/>
      <c r="AI1365" s="83"/>
      <c r="AJ1365" s="83"/>
      <c r="AK1365" s="83"/>
      <c r="AL1365" s="83"/>
    </row>
    <row r="1366" spans="1:38" s="206" customFormat="1" ht="24.75" hidden="1" customHeight="1" x14ac:dyDescent="0.2">
      <c r="A1366" s="560"/>
      <c r="B1366" s="173" t="s">
        <v>430</v>
      </c>
      <c r="C1366" s="34" t="s">
        <v>426</v>
      </c>
      <c r="D1366" s="78">
        <v>0.15</v>
      </c>
      <c r="E1366" s="89">
        <v>1</v>
      </c>
      <c r="F1366" s="89">
        <v>1</v>
      </c>
      <c r="G1366" s="78">
        <f t="shared" si="44"/>
        <v>1</v>
      </c>
      <c r="H1366" s="82" t="s">
        <v>483</v>
      </c>
      <c r="J1366" s="83"/>
      <c r="K1366" s="83"/>
      <c r="L1366" s="83"/>
      <c r="M1366" s="83"/>
      <c r="N1366" s="83"/>
      <c r="O1366" s="83"/>
      <c r="P1366" s="83"/>
      <c r="Q1366" s="83"/>
      <c r="R1366" s="83"/>
      <c r="S1366" s="83"/>
      <c r="T1366" s="83"/>
      <c r="U1366" s="83"/>
      <c r="V1366" s="83"/>
      <c r="W1366" s="83"/>
      <c r="X1366" s="83"/>
      <c r="Y1366" s="83"/>
      <c r="Z1366" s="83"/>
      <c r="AA1366" s="83"/>
      <c r="AB1366" s="83"/>
      <c r="AC1366" s="83"/>
      <c r="AD1366" s="83"/>
      <c r="AE1366" s="83"/>
      <c r="AF1366" s="83"/>
      <c r="AG1366" s="83"/>
      <c r="AH1366" s="83"/>
      <c r="AI1366" s="83"/>
      <c r="AJ1366" s="83"/>
      <c r="AK1366" s="83"/>
      <c r="AL1366" s="83"/>
    </row>
    <row r="1367" spans="1:38" s="206" customFormat="1" ht="24.75" hidden="1" customHeight="1" x14ac:dyDescent="0.2">
      <c r="A1367" s="560"/>
      <c r="B1367" s="173" t="s">
        <v>431</v>
      </c>
      <c r="C1367" s="34" t="s">
        <v>426</v>
      </c>
      <c r="D1367" s="78">
        <v>0.15</v>
      </c>
      <c r="E1367" s="89">
        <v>4707</v>
      </c>
      <c r="F1367" s="89">
        <v>4841</v>
      </c>
      <c r="G1367" s="78">
        <f t="shared" si="44"/>
        <v>1.0284682387932866</v>
      </c>
      <c r="H1367" s="82" t="s">
        <v>489</v>
      </c>
      <c r="J1367" s="83"/>
      <c r="K1367" s="83"/>
      <c r="L1367" s="83"/>
      <c r="M1367" s="83"/>
      <c r="N1367" s="83"/>
      <c r="O1367" s="83"/>
      <c r="P1367" s="83"/>
      <c r="Q1367" s="83"/>
      <c r="R1367" s="83"/>
      <c r="S1367" s="83"/>
      <c r="T1367" s="83"/>
      <c r="U1367" s="83"/>
      <c r="V1367" s="83"/>
      <c r="W1367" s="83"/>
      <c r="X1367" s="83"/>
      <c r="Y1367" s="83"/>
      <c r="Z1367" s="83"/>
      <c r="AA1367" s="83"/>
      <c r="AB1367" s="83"/>
      <c r="AC1367" s="83"/>
      <c r="AD1367" s="83"/>
      <c r="AE1367" s="83"/>
      <c r="AF1367" s="83"/>
      <c r="AG1367" s="83"/>
      <c r="AH1367" s="83"/>
      <c r="AI1367" s="83"/>
      <c r="AJ1367" s="83"/>
      <c r="AK1367" s="83"/>
      <c r="AL1367" s="83"/>
    </row>
    <row r="1368" spans="1:38" s="206" customFormat="1" ht="24.75" hidden="1" customHeight="1" x14ac:dyDescent="0.2">
      <c r="A1368" s="516"/>
      <c r="B1368" s="173" t="s">
        <v>432</v>
      </c>
      <c r="C1368" s="34" t="s">
        <v>426</v>
      </c>
      <c r="D1368" s="78">
        <v>0.1</v>
      </c>
      <c r="E1368" s="78">
        <v>1</v>
      </c>
      <c r="F1368" s="78">
        <v>1</v>
      </c>
      <c r="G1368" s="78">
        <f t="shared" si="44"/>
        <v>1</v>
      </c>
      <c r="H1368" s="100" t="s">
        <v>481</v>
      </c>
      <c r="J1368" s="83"/>
      <c r="K1368" s="83"/>
      <c r="L1368" s="83"/>
      <c r="M1368" s="83"/>
      <c r="N1368" s="83"/>
      <c r="O1368" s="83"/>
      <c r="P1368" s="83"/>
      <c r="Q1368" s="83"/>
      <c r="R1368" s="83"/>
      <c r="S1368" s="83"/>
      <c r="T1368" s="83"/>
      <c r="U1368" s="83"/>
      <c r="V1368" s="83"/>
      <c r="W1368" s="83"/>
      <c r="X1368" s="83"/>
      <c r="Y1368" s="83"/>
      <c r="Z1368" s="83"/>
      <c r="AA1368" s="83"/>
      <c r="AB1368" s="83"/>
      <c r="AC1368" s="83"/>
      <c r="AD1368" s="83"/>
      <c r="AE1368" s="83"/>
      <c r="AF1368" s="83"/>
      <c r="AG1368" s="83"/>
      <c r="AH1368" s="83"/>
      <c r="AI1368" s="83"/>
      <c r="AJ1368" s="83"/>
      <c r="AK1368" s="83"/>
      <c r="AL1368" s="83"/>
    </row>
    <row r="1369" spans="1:38" s="206" customFormat="1" ht="24.75" hidden="1" customHeight="1" x14ac:dyDescent="0.2">
      <c r="A1369" s="614" t="s">
        <v>132</v>
      </c>
      <c r="B1369" s="173" t="s">
        <v>425</v>
      </c>
      <c r="C1369" s="34" t="s">
        <v>426</v>
      </c>
      <c r="D1369" s="78">
        <v>0.15</v>
      </c>
      <c r="E1369" s="174">
        <v>20</v>
      </c>
      <c r="F1369" s="174">
        <v>20</v>
      </c>
      <c r="G1369" s="78">
        <f>F1369/E1369</f>
        <v>1</v>
      </c>
      <c r="H1369" s="100" t="s">
        <v>503</v>
      </c>
      <c r="J1369" s="83"/>
      <c r="K1369" s="83"/>
      <c r="L1369" s="83"/>
      <c r="M1369" s="83"/>
      <c r="N1369" s="83"/>
      <c r="O1369" s="83"/>
      <c r="P1369" s="83"/>
      <c r="Q1369" s="83"/>
      <c r="R1369" s="83"/>
      <c r="S1369" s="83"/>
      <c r="T1369" s="83"/>
      <c r="U1369" s="83"/>
      <c r="V1369" s="83"/>
      <c r="W1369" s="83"/>
      <c r="X1369" s="83"/>
      <c r="Y1369" s="83"/>
      <c r="Z1369" s="83"/>
      <c r="AA1369" s="83"/>
      <c r="AB1369" s="83"/>
      <c r="AC1369" s="83"/>
      <c r="AD1369" s="83"/>
      <c r="AE1369" s="83"/>
      <c r="AF1369" s="83"/>
      <c r="AG1369" s="83"/>
      <c r="AH1369" s="83"/>
      <c r="AI1369" s="83"/>
      <c r="AJ1369" s="83"/>
      <c r="AK1369" s="83"/>
      <c r="AL1369" s="83"/>
    </row>
    <row r="1370" spans="1:38" s="206" customFormat="1" ht="24.75" hidden="1" customHeight="1" x14ac:dyDescent="0.2">
      <c r="A1370" s="615"/>
      <c r="B1370" s="173" t="s">
        <v>427</v>
      </c>
      <c r="C1370" s="34" t="s">
        <v>426</v>
      </c>
      <c r="D1370" s="78">
        <v>0.15</v>
      </c>
      <c r="E1370" s="89">
        <v>8</v>
      </c>
      <c r="F1370" s="89">
        <v>7.1</v>
      </c>
      <c r="G1370" s="78">
        <f t="shared" si="44"/>
        <v>0.88749999999999996</v>
      </c>
      <c r="H1370" s="100" t="s">
        <v>500</v>
      </c>
      <c r="J1370" s="83"/>
      <c r="K1370" s="83"/>
      <c r="L1370" s="83"/>
      <c r="M1370" s="83"/>
      <c r="N1370" s="83"/>
      <c r="O1370" s="83"/>
      <c r="P1370" s="83"/>
      <c r="Q1370" s="83"/>
      <c r="R1370" s="83"/>
      <c r="S1370" s="83"/>
      <c r="T1370" s="83"/>
      <c r="U1370" s="83"/>
      <c r="V1370" s="83"/>
      <c r="W1370" s="83"/>
      <c r="X1370" s="83"/>
      <c r="Y1370" s="83"/>
      <c r="Z1370" s="83"/>
      <c r="AA1370" s="83"/>
      <c r="AB1370" s="83"/>
      <c r="AC1370" s="83"/>
      <c r="AD1370" s="83"/>
      <c r="AE1370" s="83"/>
      <c r="AF1370" s="83"/>
      <c r="AG1370" s="83"/>
      <c r="AH1370" s="83"/>
      <c r="AI1370" s="83"/>
      <c r="AJ1370" s="83"/>
      <c r="AK1370" s="83"/>
      <c r="AL1370" s="83"/>
    </row>
    <row r="1371" spans="1:38" s="206" customFormat="1" ht="24.75" hidden="1" customHeight="1" x14ac:dyDescent="0.2">
      <c r="A1371" s="615"/>
      <c r="B1371" s="173" t="s">
        <v>428</v>
      </c>
      <c r="C1371" s="34" t="s">
        <v>426</v>
      </c>
      <c r="D1371" s="78">
        <v>0.15</v>
      </c>
      <c r="E1371" s="89">
        <v>2</v>
      </c>
      <c r="F1371" s="89">
        <v>1.94</v>
      </c>
      <c r="G1371" s="78">
        <f>F1371/E1371</f>
        <v>0.97</v>
      </c>
      <c r="H1371" s="100" t="s">
        <v>505</v>
      </c>
      <c r="J1371" s="83"/>
      <c r="K1371" s="83"/>
      <c r="L1371" s="83"/>
      <c r="M1371" s="83"/>
      <c r="N1371" s="83"/>
      <c r="O1371" s="83"/>
      <c r="P1371" s="83"/>
      <c r="Q1371" s="83"/>
      <c r="R1371" s="83"/>
      <c r="S1371" s="83"/>
      <c r="T1371" s="83"/>
      <c r="U1371" s="83"/>
      <c r="V1371" s="83"/>
      <c r="W1371" s="83"/>
      <c r="X1371" s="83"/>
      <c r="Y1371" s="83"/>
      <c r="Z1371" s="83"/>
      <c r="AA1371" s="83"/>
      <c r="AB1371" s="83"/>
      <c r="AC1371" s="83"/>
      <c r="AD1371" s="83"/>
      <c r="AE1371" s="83"/>
      <c r="AF1371" s="83"/>
      <c r="AG1371" s="83"/>
      <c r="AH1371" s="83"/>
      <c r="AI1371" s="83"/>
      <c r="AJ1371" s="83"/>
      <c r="AK1371" s="83"/>
      <c r="AL1371" s="83"/>
    </row>
    <row r="1372" spans="1:38" s="206" customFormat="1" ht="24.75" hidden="1" customHeight="1" x14ac:dyDescent="0.2">
      <c r="A1372" s="615"/>
      <c r="B1372" s="173" t="s">
        <v>429</v>
      </c>
      <c r="C1372" s="34" t="s">
        <v>426</v>
      </c>
      <c r="D1372" s="78">
        <v>0.15</v>
      </c>
      <c r="E1372" s="174">
        <v>766</v>
      </c>
      <c r="F1372" s="174">
        <v>756</v>
      </c>
      <c r="G1372" s="78">
        <f t="shared" si="44"/>
        <v>0.98694516971279378</v>
      </c>
      <c r="H1372" s="100" t="s">
        <v>507</v>
      </c>
      <c r="J1372" s="83"/>
      <c r="K1372" s="83"/>
      <c r="L1372" s="83"/>
      <c r="M1372" s="83"/>
      <c r="N1372" s="83"/>
      <c r="O1372" s="83"/>
      <c r="P1372" s="83"/>
      <c r="Q1372" s="83"/>
      <c r="R1372" s="83"/>
      <c r="S1372" s="83"/>
      <c r="T1372" s="83"/>
      <c r="U1372" s="83"/>
      <c r="V1372" s="83"/>
      <c r="W1372" s="83"/>
      <c r="X1372" s="83"/>
      <c r="Y1372" s="83"/>
      <c r="Z1372" s="83"/>
      <c r="AA1372" s="83"/>
      <c r="AB1372" s="83"/>
      <c r="AC1372" s="83"/>
      <c r="AD1372" s="83"/>
      <c r="AE1372" s="83"/>
      <c r="AF1372" s="83"/>
      <c r="AG1372" s="83"/>
      <c r="AH1372" s="83"/>
      <c r="AI1372" s="83"/>
      <c r="AJ1372" s="83"/>
      <c r="AK1372" s="83"/>
      <c r="AL1372" s="83"/>
    </row>
    <row r="1373" spans="1:38" s="206" customFormat="1" ht="24.75" hidden="1" customHeight="1" x14ac:dyDescent="0.2">
      <c r="A1373" s="615"/>
      <c r="B1373" s="173" t="s">
        <v>430</v>
      </c>
      <c r="C1373" s="34" t="s">
        <v>426</v>
      </c>
      <c r="D1373" s="78">
        <v>0.15</v>
      </c>
      <c r="E1373" s="89">
        <v>1</v>
      </c>
      <c r="F1373" s="89">
        <v>1</v>
      </c>
      <c r="G1373" s="78">
        <f t="shared" si="44"/>
        <v>1</v>
      </c>
      <c r="H1373" s="100" t="s">
        <v>501</v>
      </c>
      <c r="J1373" s="83"/>
      <c r="K1373" s="83"/>
      <c r="L1373" s="83"/>
      <c r="M1373" s="83"/>
      <c r="N1373" s="83"/>
      <c r="O1373" s="83"/>
      <c r="P1373" s="83"/>
      <c r="Q1373" s="83"/>
      <c r="R1373" s="83"/>
      <c r="S1373" s="83"/>
      <c r="T1373" s="83"/>
      <c r="U1373" s="83"/>
      <c r="V1373" s="83"/>
      <c r="W1373" s="83"/>
      <c r="X1373" s="83"/>
      <c r="Y1373" s="83"/>
      <c r="Z1373" s="83"/>
      <c r="AA1373" s="83"/>
      <c r="AB1373" s="83"/>
      <c r="AC1373" s="83"/>
      <c r="AD1373" s="83"/>
      <c r="AE1373" s="83"/>
      <c r="AF1373" s="83"/>
      <c r="AG1373" s="83"/>
      <c r="AH1373" s="83"/>
      <c r="AI1373" s="83"/>
      <c r="AJ1373" s="83"/>
      <c r="AK1373" s="83"/>
      <c r="AL1373" s="83"/>
    </row>
    <row r="1374" spans="1:38" s="206" customFormat="1" ht="24.75" hidden="1" customHeight="1" x14ac:dyDescent="0.2">
      <c r="A1374" s="615"/>
      <c r="B1374" s="173" t="s">
        <v>431</v>
      </c>
      <c r="C1374" s="34" t="s">
        <v>426</v>
      </c>
      <c r="D1374" s="78">
        <v>0.15</v>
      </c>
      <c r="E1374" s="89">
        <v>4707</v>
      </c>
      <c r="F1374" s="89">
        <v>4898</v>
      </c>
      <c r="G1374" s="78">
        <f t="shared" si="44"/>
        <v>1.040577862757595</v>
      </c>
      <c r="H1374" s="100" t="s">
        <v>504</v>
      </c>
      <c r="J1374" s="83"/>
      <c r="K1374" s="83"/>
      <c r="L1374" s="83"/>
      <c r="M1374" s="83"/>
      <c r="N1374" s="83"/>
      <c r="O1374" s="83"/>
      <c r="P1374" s="83"/>
      <c r="Q1374" s="83"/>
      <c r="R1374" s="83"/>
      <c r="S1374" s="83"/>
      <c r="T1374" s="83"/>
      <c r="U1374" s="83"/>
      <c r="V1374" s="83"/>
      <c r="W1374" s="83"/>
      <c r="X1374" s="83"/>
      <c r="Y1374" s="83"/>
      <c r="Z1374" s="83"/>
      <c r="AA1374" s="83"/>
      <c r="AB1374" s="83"/>
      <c r="AC1374" s="83"/>
      <c r="AD1374" s="83"/>
      <c r="AE1374" s="83"/>
      <c r="AF1374" s="83"/>
      <c r="AG1374" s="83"/>
      <c r="AH1374" s="83"/>
      <c r="AI1374" s="83"/>
      <c r="AJ1374" s="83"/>
      <c r="AK1374" s="83"/>
      <c r="AL1374" s="83"/>
    </row>
    <row r="1375" spans="1:38" s="206" customFormat="1" ht="24.75" hidden="1" customHeight="1" x14ac:dyDescent="0.2">
      <c r="A1375" s="616"/>
      <c r="B1375" s="173" t="s">
        <v>432</v>
      </c>
      <c r="C1375" s="34" t="s">
        <v>426</v>
      </c>
      <c r="D1375" s="78">
        <v>0.1</v>
      </c>
      <c r="E1375" s="78">
        <v>1</v>
      </c>
      <c r="F1375" s="78">
        <v>1</v>
      </c>
      <c r="G1375" s="78">
        <f t="shared" si="44"/>
        <v>1</v>
      </c>
      <c r="H1375" s="100" t="s">
        <v>502</v>
      </c>
      <c r="J1375" s="83"/>
      <c r="K1375" s="83"/>
      <c r="L1375" s="83"/>
      <c r="M1375" s="83"/>
      <c r="N1375" s="83"/>
      <c r="O1375" s="83"/>
      <c r="P1375" s="83"/>
      <c r="Q1375" s="83"/>
      <c r="R1375" s="83"/>
      <c r="S1375" s="83"/>
      <c r="T1375" s="83"/>
      <c r="U1375" s="83"/>
      <c r="V1375" s="83"/>
      <c r="W1375" s="83"/>
      <c r="X1375" s="83"/>
      <c r="Y1375" s="83"/>
      <c r="Z1375" s="83"/>
      <c r="AA1375" s="83"/>
      <c r="AB1375" s="83"/>
      <c r="AC1375" s="83"/>
      <c r="AD1375" s="83"/>
      <c r="AE1375" s="83"/>
      <c r="AF1375" s="83"/>
      <c r="AG1375" s="83"/>
      <c r="AH1375" s="83"/>
      <c r="AI1375" s="83"/>
      <c r="AJ1375" s="83"/>
      <c r="AK1375" s="83"/>
      <c r="AL1375" s="83"/>
    </row>
    <row r="1376" spans="1:38" s="206" customFormat="1" ht="24.75" hidden="1" customHeight="1" x14ac:dyDescent="0.2">
      <c r="A1376" s="559" t="s">
        <v>133</v>
      </c>
      <c r="B1376" s="173" t="s">
        <v>425</v>
      </c>
      <c r="C1376" s="34" t="s">
        <v>426</v>
      </c>
      <c r="D1376" s="78">
        <v>0.15</v>
      </c>
      <c r="E1376" s="174">
        <v>20</v>
      </c>
      <c r="F1376" s="174">
        <v>20</v>
      </c>
      <c r="G1376" s="78">
        <f t="shared" si="44"/>
        <v>1</v>
      </c>
      <c r="H1376" s="100" t="s">
        <v>656</v>
      </c>
      <c r="J1376" s="83"/>
      <c r="K1376" s="83"/>
      <c r="L1376" s="83"/>
      <c r="M1376" s="83"/>
      <c r="N1376" s="83"/>
      <c r="O1376" s="83"/>
      <c r="P1376" s="83"/>
      <c r="Q1376" s="83"/>
      <c r="R1376" s="83"/>
      <c r="S1376" s="83"/>
      <c r="T1376" s="83"/>
      <c r="U1376" s="83"/>
      <c r="V1376" s="83"/>
      <c r="W1376" s="83"/>
      <c r="X1376" s="83"/>
      <c r="Y1376" s="83"/>
      <c r="Z1376" s="83"/>
      <c r="AA1376" s="83"/>
      <c r="AB1376" s="83"/>
      <c r="AC1376" s="83"/>
      <c r="AD1376" s="83"/>
      <c r="AE1376" s="83"/>
      <c r="AF1376" s="83"/>
      <c r="AG1376" s="83"/>
      <c r="AH1376" s="83"/>
      <c r="AI1376" s="83"/>
      <c r="AJ1376" s="83"/>
      <c r="AK1376" s="83"/>
      <c r="AL1376" s="83"/>
    </row>
    <row r="1377" spans="1:38" s="206" customFormat="1" ht="24.75" hidden="1" customHeight="1" x14ac:dyDescent="0.2">
      <c r="A1377" s="560"/>
      <c r="B1377" s="173" t="s">
        <v>427</v>
      </c>
      <c r="C1377" s="34" t="s">
        <v>426</v>
      </c>
      <c r="D1377" s="78">
        <v>0.15</v>
      </c>
      <c r="E1377" s="89">
        <v>8</v>
      </c>
      <c r="F1377" s="89">
        <v>8</v>
      </c>
      <c r="G1377" s="78">
        <f t="shared" si="44"/>
        <v>1</v>
      </c>
      <c r="H1377" s="100" t="s">
        <v>657</v>
      </c>
      <c r="J1377" s="83"/>
      <c r="K1377" s="83"/>
      <c r="L1377" s="83"/>
      <c r="M1377" s="83"/>
      <c r="N1377" s="83"/>
      <c r="O1377" s="83"/>
      <c r="P1377" s="83"/>
      <c r="Q1377" s="83"/>
      <c r="R1377" s="83"/>
      <c r="S1377" s="83"/>
      <c r="T1377" s="83"/>
      <c r="U1377" s="83"/>
      <c r="V1377" s="83"/>
      <c r="W1377" s="83"/>
      <c r="X1377" s="83"/>
      <c r="Y1377" s="83"/>
      <c r="Z1377" s="83"/>
      <c r="AA1377" s="83"/>
      <c r="AB1377" s="83"/>
      <c r="AC1377" s="83"/>
      <c r="AD1377" s="83"/>
      <c r="AE1377" s="83"/>
      <c r="AF1377" s="83"/>
      <c r="AG1377" s="83"/>
      <c r="AH1377" s="83"/>
      <c r="AI1377" s="83"/>
      <c r="AJ1377" s="83"/>
      <c r="AK1377" s="83"/>
      <c r="AL1377" s="83"/>
    </row>
    <row r="1378" spans="1:38" s="206" customFormat="1" ht="24.75" hidden="1" customHeight="1" x14ac:dyDescent="0.2">
      <c r="A1378" s="560"/>
      <c r="B1378" s="173" t="s">
        <v>428</v>
      </c>
      <c r="C1378" s="34" t="s">
        <v>426</v>
      </c>
      <c r="D1378" s="78">
        <v>0.15</v>
      </c>
      <c r="E1378" s="89">
        <v>2</v>
      </c>
      <c r="F1378" s="89">
        <v>2</v>
      </c>
      <c r="G1378" s="78">
        <f t="shared" si="44"/>
        <v>1</v>
      </c>
      <c r="H1378" s="100" t="s">
        <v>658</v>
      </c>
      <c r="J1378" s="83"/>
      <c r="K1378" s="83"/>
      <c r="L1378" s="83"/>
      <c r="M1378" s="83"/>
      <c r="N1378" s="83"/>
      <c r="O1378" s="83"/>
      <c r="P1378" s="83"/>
      <c r="Q1378" s="83"/>
      <c r="R1378" s="83"/>
      <c r="S1378" s="83"/>
      <c r="T1378" s="83"/>
      <c r="U1378" s="83"/>
      <c r="V1378" s="83"/>
      <c r="W1378" s="83"/>
      <c r="X1378" s="83"/>
      <c r="Y1378" s="83"/>
      <c r="Z1378" s="83"/>
      <c r="AA1378" s="83"/>
      <c r="AB1378" s="83"/>
      <c r="AC1378" s="83"/>
      <c r="AD1378" s="83"/>
      <c r="AE1378" s="83"/>
      <c r="AF1378" s="83"/>
      <c r="AG1378" s="83"/>
      <c r="AH1378" s="83"/>
      <c r="AI1378" s="83"/>
      <c r="AJ1378" s="83"/>
      <c r="AK1378" s="83"/>
      <c r="AL1378" s="83"/>
    </row>
    <row r="1379" spans="1:38" s="206" customFormat="1" ht="24.75" hidden="1" customHeight="1" x14ac:dyDescent="0.2">
      <c r="A1379" s="560"/>
      <c r="B1379" s="173" t="s">
        <v>429</v>
      </c>
      <c r="C1379" s="34" t="s">
        <v>426</v>
      </c>
      <c r="D1379" s="78">
        <v>0.15</v>
      </c>
      <c r="E1379" s="174">
        <v>766</v>
      </c>
      <c r="F1379" s="174">
        <v>766</v>
      </c>
      <c r="G1379" s="78">
        <f t="shared" si="44"/>
        <v>1</v>
      </c>
      <c r="H1379" s="100" t="s">
        <v>659</v>
      </c>
      <c r="J1379" s="83"/>
      <c r="K1379" s="83"/>
      <c r="L1379" s="83"/>
      <c r="M1379" s="83"/>
      <c r="N1379" s="83"/>
      <c r="O1379" s="83"/>
      <c r="P1379" s="83"/>
      <c r="Q1379" s="83"/>
      <c r="R1379" s="83"/>
      <c r="S1379" s="83"/>
      <c r="T1379" s="83"/>
      <c r="U1379" s="83"/>
      <c r="V1379" s="83"/>
      <c r="W1379" s="83"/>
      <c r="X1379" s="83"/>
      <c r="Y1379" s="83"/>
      <c r="Z1379" s="83"/>
      <c r="AA1379" s="83"/>
      <c r="AB1379" s="83"/>
      <c r="AC1379" s="83"/>
      <c r="AD1379" s="83"/>
      <c r="AE1379" s="83"/>
      <c r="AF1379" s="83"/>
      <c r="AG1379" s="83"/>
      <c r="AH1379" s="83"/>
      <c r="AI1379" s="83"/>
      <c r="AJ1379" s="83"/>
      <c r="AK1379" s="83"/>
      <c r="AL1379" s="83"/>
    </row>
    <row r="1380" spans="1:38" s="206" customFormat="1" ht="24.75" hidden="1" customHeight="1" x14ac:dyDescent="0.2">
      <c r="A1380" s="560"/>
      <c r="B1380" s="173" t="s">
        <v>430</v>
      </c>
      <c r="C1380" s="34" t="s">
        <v>426</v>
      </c>
      <c r="D1380" s="78">
        <v>0.15</v>
      </c>
      <c r="E1380" s="89">
        <v>1</v>
      </c>
      <c r="F1380" s="89">
        <v>1</v>
      </c>
      <c r="G1380" s="78">
        <f t="shared" si="44"/>
        <v>1</v>
      </c>
      <c r="H1380" s="100" t="s">
        <v>660</v>
      </c>
      <c r="J1380" s="83"/>
      <c r="K1380" s="83"/>
      <c r="L1380" s="83"/>
      <c r="M1380" s="83"/>
      <c r="N1380" s="83"/>
      <c r="O1380" s="83"/>
      <c r="P1380" s="83"/>
      <c r="Q1380" s="83"/>
      <c r="R1380" s="83"/>
      <c r="S1380" s="83"/>
      <c r="T1380" s="83"/>
      <c r="U1380" s="83"/>
      <c r="V1380" s="83"/>
      <c r="W1380" s="83"/>
      <c r="X1380" s="83"/>
      <c r="Y1380" s="83"/>
      <c r="Z1380" s="83"/>
      <c r="AA1380" s="83"/>
      <c r="AB1380" s="83"/>
      <c r="AC1380" s="83"/>
      <c r="AD1380" s="83"/>
      <c r="AE1380" s="83"/>
      <c r="AF1380" s="83"/>
      <c r="AG1380" s="83"/>
      <c r="AH1380" s="83"/>
      <c r="AI1380" s="83"/>
      <c r="AJ1380" s="83"/>
      <c r="AK1380" s="83"/>
      <c r="AL1380" s="83"/>
    </row>
    <row r="1381" spans="1:38" s="206" customFormat="1" ht="24.75" hidden="1" customHeight="1" x14ac:dyDescent="0.2">
      <c r="A1381" s="560"/>
      <c r="B1381" s="173" t="s">
        <v>431</v>
      </c>
      <c r="C1381" s="34" t="s">
        <v>426</v>
      </c>
      <c r="D1381" s="78">
        <v>0.15</v>
      </c>
      <c r="E1381" s="89">
        <v>4707</v>
      </c>
      <c r="F1381" s="89">
        <v>4950</v>
      </c>
      <c r="G1381" s="78">
        <f t="shared" si="44"/>
        <v>1.0516252390057361</v>
      </c>
      <c r="H1381" s="100" t="s">
        <v>661</v>
      </c>
      <c r="J1381" s="83"/>
      <c r="K1381" s="83"/>
      <c r="L1381" s="83"/>
      <c r="M1381" s="83"/>
      <c r="N1381" s="83"/>
      <c r="O1381" s="83"/>
      <c r="P1381" s="83"/>
      <c r="Q1381" s="83"/>
      <c r="R1381" s="83"/>
      <c r="S1381" s="83"/>
      <c r="T1381" s="83"/>
      <c r="U1381" s="83"/>
      <c r="V1381" s="83"/>
      <c r="W1381" s="83"/>
      <c r="X1381" s="83"/>
      <c r="Y1381" s="83"/>
      <c r="Z1381" s="83"/>
      <c r="AA1381" s="83"/>
      <c r="AB1381" s="83"/>
      <c r="AC1381" s="83"/>
      <c r="AD1381" s="83"/>
      <c r="AE1381" s="83"/>
      <c r="AF1381" s="83"/>
      <c r="AG1381" s="83"/>
      <c r="AH1381" s="83"/>
      <c r="AI1381" s="83"/>
      <c r="AJ1381" s="83"/>
      <c r="AK1381" s="83"/>
      <c r="AL1381" s="83"/>
    </row>
    <row r="1382" spans="1:38" s="206" customFormat="1" ht="24.75" hidden="1" customHeight="1" x14ac:dyDescent="0.2">
      <c r="A1382" s="516"/>
      <c r="B1382" s="173" t="s">
        <v>432</v>
      </c>
      <c r="C1382" s="34" t="s">
        <v>426</v>
      </c>
      <c r="D1382" s="78">
        <v>0.1</v>
      </c>
      <c r="E1382" s="78">
        <v>1</v>
      </c>
      <c r="F1382" s="78">
        <v>1</v>
      </c>
      <c r="G1382" s="78">
        <f t="shared" si="44"/>
        <v>1</v>
      </c>
      <c r="H1382" s="100" t="s">
        <v>662</v>
      </c>
      <c r="J1382" s="83"/>
      <c r="K1382" s="83"/>
      <c r="L1382" s="83"/>
      <c r="M1382" s="83"/>
      <c r="N1382" s="83"/>
      <c r="O1382" s="83"/>
      <c r="P1382" s="83"/>
      <c r="Q1382" s="83"/>
      <c r="R1382" s="83"/>
      <c r="S1382" s="83"/>
      <c r="T1382" s="83"/>
      <c r="U1382" s="83"/>
      <c r="V1382" s="83"/>
      <c r="W1382" s="83"/>
      <c r="X1382" s="83"/>
      <c r="Y1382" s="83"/>
      <c r="Z1382" s="83"/>
      <c r="AA1382" s="83"/>
      <c r="AB1382" s="83"/>
      <c r="AC1382" s="83"/>
      <c r="AD1382" s="83"/>
      <c r="AE1382" s="83"/>
      <c r="AF1382" s="83"/>
      <c r="AG1382" s="83"/>
      <c r="AH1382" s="83"/>
      <c r="AI1382" s="83"/>
      <c r="AJ1382" s="83"/>
      <c r="AK1382" s="83"/>
      <c r="AL1382" s="83"/>
    </row>
    <row r="1384" spans="1:38" s="206" customFormat="1" ht="24.75" customHeight="1" x14ac:dyDescent="0.2">
      <c r="A1384" s="561" t="s">
        <v>179</v>
      </c>
      <c r="B1384" s="562"/>
      <c r="C1384" s="562"/>
      <c r="D1384" s="562"/>
      <c r="E1384" s="562"/>
      <c r="F1384" s="562"/>
      <c r="G1384" s="562"/>
      <c r="H1384" s="563"/>
      <c r="J1384" s="83"/>
      <c r="K1384" s="83"/>
      <c r="L1384" s="83"/>
      <c r="M1384" s="83"/>
      <c r="N1384" s="83"/>
      <c r="O1384" s="83"/>
      <c r="P1384" s="83"/>
      <c r="Q1384" s="83"/>
      <c r="R1384" s="83"/>
      <c r="S1384" s="83"/>
      <c r="T1384" s="83"/>
      <c r="U1384" s="83"/>
      <c r="V1384" s="83"/>
      <c r="W1384" s="83"/>
      <c r="X1384" s="83"/>
      <c r="Y1384" s="83"/>
      <c r="Z1384" s="83"/>
      <c r="AA1384" s="83"/>
      <c r="AB1384" s="83"/>
      <c r="AC1384" s="83"/>
      <c r="AD1384" s="83"/>
      <c r="AE1384" s="83"/>
      <c r="AF1384" s="83"/>
      <c r="AG1384" s="83"/>
      <c r="AH1384" s="83"/>
      <c r="AI1384" s="83"/>
      <c r="AJ1384" s="83"/>
      <c r="AK1384" s="83"/>
      <c r="AL1384" s="83"/>
    </row>
    <row r="1385" spans="1:38" s="206" customFormat="1" ht="24.75" customHeight="1" x14ac:dyDescent="0.2">
      <c r="A1385" s="74" t="s">
        <v>61</v>
      </c>
      <c r="B1385" s="29" t="s">
        <v>175</v>
      </c>
      <c r="C1385" s="205" t="s">
        <v>147</v>
      </c>
      <c r="D1385" s="205" t="s">
        <v>158</v>
      </c>
      <c r="E1385" s="205" t="s">
        <v>180</v>
      </c>
      <c r="F1385" s="205" t="s">
        <v>181</v>
      </c>
      <c r="G1385" s="205" t="s">
        <v>182</v>
      </c>
      <c r="H1385" s="29" t="s">
        <v>167</v>
      </c>
      <c r="J1385" s="83"/>
      <c r="K1385" s="83"/>
      <c r="L1385" s="83"/>
      <c r="M1385" s="83"/>
      <c r="N1385" s="83"/>
      <c r="O1385" s="83"/>
      <c r="P1385" s="83"/>
      <c r="Q1385" s="83"/>
      <c r="R1385" s="83"/>
      <c r="S1385" s="83"/>
      <c r="T1385" s="83"/>
      <c r="U1385" s="83"/>
      <c r="V1385" s="83"/>
      <c r="W1385" s="83"/>
      <c r="X1385" s="83"/>
      <c r="Y1385" s="83"/>
      <c r="Z1385" s="83"/>
      <c r="AA1385" s="83"/>
      <c r="AB1385" s="83"/>
      <c r="AC1385" s="83"/>
      <c r="AD1385" s="83"/>
      <c r="AE1385" s="83"/>
      <c r="AF1385" s="83"/>
      <c r="AG1385" s="83"/>
      <c r="AH1385" s="83"/>
      <c r="AI1385" s="83"/>
      <c r="AJ1385" s="83"/>
      <c r="AK1385" s="83"/>
      <c r="AL1385" s="83"/>
    </row>
    <row r="1386" spans="1:38" s="206" customFormat="1" ht="24.75" hidden="1" customHeight="1" x14ac:dyDescent="0.2">
      <c r="A1386" s="559" t="s">
        <v>135</v>
      </c>
      <c r="B1386" s="173" t="s">
        <v>425</v>
      </c>
      <c r="C1386" s="34" t="s">
        <v>426</v>
      </c>
      <c r="D1386" s="78">
        <v>0.15</v>
      </c>
      <c r="E1386" s="174">
        <v>20</v>
      </c>
      <c r="F1386" s="174">
        <v>20</v>
      </c>
      <c r="G1386" s="78">
        <f>F1386/E1386</f>
        <v>1</v>
      </c>
      <c r="H1386" s="87" t="s">
        <v>513</v>
      </c>
      <c r="J1386" s="83"/>
      <c r="K1386" s="83"/>
      <c r="L1386" s="83"/>
      <c r="M1386" s="83"/>
      <c r="N1386" s="83"/>
      <c r="O1386" s="83"/>
      <c r="P1386" s="83"/>
      <c r="Q1386" s="83"/>
      <c r="R1386" s="83"/>
      <c r="S1386" s="83"/>
      <c r="T1386" s="83"/>
      <c r="U1386" s="83"/>
      <c r="V1386" s="83"/>
      <c r="W1386" s="83"/>
      <c r="X1386" s="83"/>
      <c r="Y1386" s="83"/>
      <c r="Z1386" s="83"/>
      <c r="AA1386" s="83"/>
      <c r="AB1386" s="83"/>
      <c r="AC1386" s="83"/>
      <c r="AD1386" s="83"/>
      <c r="AE1386" s="83"/>
      <c r="AF1386" s="83"/>
      <c r="AG1386" s="83"/>
      <c r="AH1386" s="83"/>
      <c r="AI1386" s="83"/>
      <c r="AJ1386" s="83"/>
      <c r="AK1386" s="83"/>
      <c r="AL1386" s="83"/>
    </row>
    <row r="1387" spans="1:38" s="206" customFormat="1" ht="24.75" hidden="1" customHeight="1" x14ac:dyDescent="0.2">
      <c r="A1387" s="560"/>
      <c r="B1387" s="173" t="s">
        <v>427</v>
      </c>
      <c r="C1387" s="34" t="s">
        <v>426</v>
      </c>
      <c r="D1387" s="78">
        <v>0.15</v>
      </c>
      <c r="E1387" s="89">
        <v>6</v>
      </c>
      <c r="F1387" s="89">
        <v>0</v>
      </c>
      <c r="G1387" s="78">
        <f t="shared" ref="G1387:G1392" si="45">F1387/E1387</f>
        <v>0</v>
      </c>
      <c r="H1387" s="87" t="s">
        <v>523</v>
      </c>
      <c r="J1387" s="83"/>
      <c r="K1387" s="83"/>
      <c r="L1387" s="83"/>
      <c r="M1387" s="83"/>
      <c r="N1387" s="83"/>
      <c r="O1387" s="83"/>
      <c r="P1387" s="83"/>
      <c r="Q1387" s="83"/>
      <c r="R1387" s="83"/>
      <c r="S1387" s="83"/>
      <c r="T1387" s="83"/>
      <c r="U1387" s="83"/>
      <c r="V1387" s="83"/>
      <c r="W1387" s="83"/>
      <c r="X1387" s="83"/>
      <c r="Y1387" s="83"/>
      <c r="Z1387" s="83"/>
      <c r="AA1387" s="83"/>
      <c r="AB1387" s="83"/>
      <c r="AC1387" s="83"/>
      <c r="AD1387" s="83"/>
      <c r="AE1387" s="83"/>
      <c r="AF1387" s="83"/>
      <c r="AG1387" s="83"/>
      <c r="AH1387" s="83"/>
      <c r="AI1387" s="83"/>
      <c r="AJ1387" s="83"/>
      <c r="AK1387" s="83"/>
      <c r="AL1387" s="83"/>
    </row>
    <row r="1388" spans="1:38" s="206" customFormat="1" ht="24.75" hidden="1" customHeight="1" x14ac:dyDescent="0.2">
      <c r="A1388" s="560"/>
      <c r="B1388" s="173" t="s">
        <v>428</v>
      </c>
      <c r="C1388" s="34" t="s">
        <v>426</v>
      </c>
      <c r="D1388" s="78">
        <v>0.15</v>
      </c>
      <c r="E1388" s="89">
        <v>2</v>
      </c>
      <c r="F1388" s="89">
        <v>0</v>
      </c>
      <c r="G1388" s="78">
        <f t="shared" si="45"/>
        <v>0</v>
      </c>
      <c r="H1388" s="87" t="s">
        <v>524</v>
      </c>
      <c r="J1388" s="83"/>
      <c r="K1388" s="83"/>
      <c r="L1388" s="83"/>
      <c r="M1388" s="83"/>
      <c r="N1388" s="83"/>
      <c r="O1388" s="83"/>
      <c r="P1388" s="83"/>
      <c r="Q1388" s="83"/>
      <c r="R1388" s="83"/>
      <c r="S1388" s="83"/>
      <c r="T1388" s="83"/>
      <c r="U1388" s="83"/>
      <c r="V1388" s="83"/>
      <c r="W1388" s="83"/>
      <c r="X1388" s="83"/>
      <c r="Y1388" s="83"/>
      <c r="Z1388" s="83"/>
      <c r="AA1388" s="83"/>
      <c r="AB1388" s="83"/>
      <c r="AC1388" s="83"/>
      <c r="AD1388" s="83"/>
      <c r="AE1388" s="83"/>
      <c r="AF1388" s="83"/>
      <c r="AG1388" s="83"/>
      <c r="AH1388" s="83"/>
      <c r="AI1388" s="83"/>
      <c r="AJ1388" s="83"/>
      <c r="AK1388" s="83"/>
      <c r="AL1388" s="83"/>
    </row>
    <row r="1389" spans="1:38" s="206" customFormat="1" ht="24.75" hidden="1" customHeight="1" x14ac:dyDescent="0.2">
      <c r="A1389" s="560"/>
      <c r="B1389" s="173" t="s">
        <v>429</v>
      </c>
      <c r="C1389" s="34" t="s">
        <v>426</v>
      </c>
      <c r="D1389" s="78">
        <v>0.15</v>
      </c>
      <c r="E1389" s="174">
        <v>1072</v>
      </c>
      <c r="F1389" s="174">
        <v>11</v>
      </c>
      <c r="G1389" s="78">
        <f t="shared" si="45"/>
        <v>1.0261194029850746E-2</v>
      </c>
      <c r="H1389" s="87" t="s">
        <v>518</v>
      </c>
      <c r="J1389" s="83"/>
      <c r="K1389" s="83"/>
      <c r="L1389" s="83"/>
      <c r="M1389" s="83"/>
      <c r="N1389" s="83"/>
      <c r="O1389" s="83"/>
      <c r="P1389" s="83"/>
      <c r="Q1389" s="83"/>
      <c r="R1389" s="83"/>
      <c r="S1389" s="83"/>
      <c r="T1389" s="83"/>
      <c r="U1389" s="83"/>
      <c r="V1389" s="83"/>
      <c r="W1389" s="83"/>
      <c r="X1389" s="83"/>
      <c r="Y1389" s="83"/>
      <c r="Z1389" s="83"/>
      <c r="AA1389" s="83"/>
      <c r="AB1389" s="83"/>
      <c r="AC1389" s="83"/>
      <c r="AD1389" s="83"/>
      <c r="AE1389" s="83"/>
      <c r="AF1389" s="83"/>
      <c r="AG1389" s="83"/>
      <c r="AH1389" s="83"/>
      <c r="AI1389" s="83"/>
      <c r="AJ1389" s="83"/>
      <c r="AK1389" s="83"/>
      <c r="AL1389" s="83"/>
    </row>
    <row r="1390" spans="1:38" s="206" customFormat="1" ht="24.75" hidden="1" customHeight="1" x14ac:dyDescent="0.2">
      <c r="A1390" s="560"/>
      <c r="B1390" s="173" t="s">
        <v>430</v>
      </c>
      <c r="C1390" s="34" t="s">
        <v>426</v>
      </c>
      <c r="D1390" s="78">
        <v>0.15</v>
      </c>
      <c r="E1390" s="89">
        <v>1</v>
      </c>
      <c r="F1390" s="89">
        <v>1</v>
      </c>
      <c r="G1390" s="78">
        <f t="shared" si="45"/>
        <v>1</v>
      </c>
      <c r="H1390" s="87" t="s">
        <v>527</v>
      </c>
      <c r="J1390" s="83"/>
      <c r="K1390" s="83"/>
      <c r="L1390" s="83"/>
      <c r="M1390" s="83"/>
      <c r="N1390" s="83"/>
      <c r="O1390" s="83"/>
      <c r="P1390" s="83"/>
      <c r="Q1390" s="83"/>
      <c r="R1390" s="83"/>
      <c r="S1390" s="83"/>
      <c r="T1390" s="83"/>
      <c r="U1390" s="83"/>
      <c r="V1390" s="83"/>
      <c r="W1390" s="83"/>
      <c r="X1390" s="83"/>
      <c r="Y1390" s="83"/>
      <c r="Z1390" s="83"/>
      <c r="AA1390" s="83"/>
      <c r="AB1390" s="83"/>
      <c r="AC1390" s="83"/>
      <c r="AD1390" s="83"/>
      <c r="AE1390" s="83"/>
      <c r="AF1390" s="83"/>
      <c r="AG1390" s="83"/>
      <c r="AH1390" s="83"/>
      <c r="AI1390" s="83"/>
      <c r="AJ1390" s="83"/>
      <c r="AK1390" s="83"/>
      <c r="AL1390" s="83"/>
    </row>
    <row r="1391" spans="1:38" s="206" customFormat="1" ht="24.75" hidden="1" customHeight="1" x14ac:dyDescent="0.2">
      <c r="A1391" s="560"/>
      <c r="B1391" s="173" t="s">
        <v>431</v>
      </c>
      <c r="C1391" s="34" t="s">
        <v>426</v>
      </c>
      <c r="D1391" s="78">
        <v>0.15</v>
      </c>
      <c r="E1391" s="89">
        <v>1097</v>
      </c>
      <c r="F1391" s="89">
        <v>0</v>
      </c>
      <c r="G1391" s="78">
        <f t="shared" si="45"/>
        <v>0</v>
      </c>
      <c r="H1391" s="87" t="s">
        <v>525</v>
      </c>
      <c r="J1391" s="83"/>
      <c r="K1391" s="83"/>
      <c r="L1391" s="83"/>
      <c r="M1391" s="83"/>
      <c r="N1391" s="83"/>
      <c r="O1391" s="83"/>
      <c r="P1391" s="83"/>
      <c r="Q1391" s="83"/>
      <c r="R1391" s="83"/>
      <c r="S1391" s="83"/>
      <c r="T1391" s="83"/>
      <c r="U1391" s="83"/>
      <c r="V1391" s="83"/>
      <c r="W1391" s="83"/>
      <c r="X1391" s="83"/>
      <c r="Y1391" s="83"/>
      <c r="Z1391" s="83"/>
      <c r="AA1391" s="83"/>
      <c r="AB1391" s="83"/>
      <c r="AC1391" s="83"/>
      <c r="AD1391" s="83"/>
      <c r="AE1391" s="83"/>
      <c r="AF1391" s="83"/>
      <c r="AG1391" s="83"/>
      <c r="AH1391" s="83"/>
      <c r="AI1391" s="83"/>
      <c r="AJ1391" s="83"/>
      <c r="AK1391" s="83"/>
      <c r="AL1391" s="83"/>
    </row>
    <row r="1392" spans="1:38" s="206" customFormat="1" ht="24.75" hidden="1" customHeight="1" x14ac:dyDescent="0.2">
      <c r="A1392" s="516"/>
      <c r="B1392" s="173" t="s">
        <v>432</v>
      </c>
      <c r="C1392" s="34" t="s">
        <v>426</v>
      </c>
      <c r="D1392" s="78">
        <v>0.1</v>
      </c>
      <c r="E1392" s="78">
        <v>1</v>
      </c>
      <c r="F1392" s="78">
        <v>1</v>
      </c>
      <c r="G1392" s="78">
        <f t="shared" si="45"/>
        <v>1</v>
      </c>
      <c r="H1392" s="87" t="s">
        <v>526</v>
      </c>
      <c r="J1392" s="83"/>
      <c r="K1392" s="83"/>
      <c r="L1392" s="83"/>
      <c r="M1392" s="83"/>
      <c r="N1392" s="83"/>
      <c r="O1392" s="83"/>
      <c r="P1392" s="83"/>
      <c r="Q1392" s="83"/>
      <c r="R1392" s="83"/>
      <c r="S1392" s="83"/>
      <c r="T1392" s="83"/>
      <c r="U1392" s="83"/>
      <c r="V1392" s="83"/>
      <c r="W1392" s="83"/>
      <c r="X1392" s="83"/>
      <c r="Y1392" s="83"/>
      <c r="Z1392" s="83"/>
      <c r="AA1392" s="83"/>
      <c r="AB1392" s="83"/>
      <c r="AC1392" s="83"/>
      <c r="AD1392" s="83"/>
      <c r="AE1392" s="83"/>
      <c r="AF1392" s="83"/>
      <c r="AG1392" s="83"/>
      <c r="AH1392" s="83"/>
      <c r="AI1392" s="83"/>
      <c r="AJ1392" s="83"/>
      <c r="AK1392" s="83"/>
      <c r="AL1392" s="83"/>
    </row>
    <row r="1393" spans="1:38" s="206" customFormat="1" ht="24.75" hidden="1" customHeight="1" x14ac:dyDescent="0.2">
      <c r="A1393" s="559" t="s">
        <v>136</v>
      </c>
      <c r="B1393" s="173" t="s">
        <v>425</v>
      </c>
      <c r="C1393" s="34" t="s">
        <v>426</v>
      </c>
      <c r="D1393" s="78">
        <v>0.15</v>
      </c>
      <c r="E1393" s="174">
        <v>20</v>
      </c>
      <c r="F1393" s="174">
        <v>20</v>
      </c>
      <c r="G1393" s="113">
        <f>F1393/E1393</f>
        <v>1</v>
      </c>
      <c r="H1393" s="82" t="s">
        <v>535</v>
      </c>
      <c r="J1393" s="83"/>
      <c r="K1393" s="83"/>
      <c r="L1393" s="83"/>
      <c r="M1393" s="83"/>
      <c r="N1393" s="83"/>
      <c r="O1393" s="83"/>
      <c r="P1393" s="83"/>
      <c r="Q1393" s="83"/>
      <c r="R1393" s="83"/>
      <c r="S1393" s="83"/>
      <c r="T1393" s="83"/>
      <c r="U1393" s="83"/>
      <c r="V1393" s="83"/>
      <c r="W1393" s="83"/>
      <c r="X1393" s="83"/>
      <c r="Y1393" s="83"/>
      <c r="Z1393" s="83"/>
      <c r="AA1393" s="83"/>
      <c r="AB1393" s="83"/>
      <c r="AC1393" s="83"/>
      <c r="AD1393" s="83"/>
      <c r="AE1393" s="83"/>
      <c r="AF1393" s="83"/>
      <c r="AG1393" s="83"/>
      <c r="AH1393" s="83"/>
      <c r="AI1393" s="83"/>
      <c r="AJ1393" s="83"/>
      <c r="AK1393" s="83"/>
      <c r="AL1393" s="83"/>
    </row>
    <row r="1394" spans="1:38" s="206" customFormat="1" ht="24.75" hidden="1" customHeight="1" x14ac:dyDescent="0.2">
      <c r="A1394" s="560"/>
      <c r="B1394" s="173" t="s">
        <v>427</v>
      </c>
      <c r="C1394" s="34" t="s">
        <v>426</v>
      </c>
      <c r="D1394" s="78">
        <v>0.15</v>
      </c>
      <c r="E1394" s="89">
        <v>6</v>
      </c>
      <c r="F1394" s="89">
        <v>0.45</v>
      </c>
      <c r="G1394" s="113">
        <f t="shared" ref="G1394:G1399" si="46">F1394/E1394</f>
        <v>7.4999999999999997E-2</v>
      </c>
      <c r="H1394" s="82" t="s">
        <v>530</v>
      </c>
      <c r="J1394" s="83"/>
      <c r="K1394" s="83"/>
      <c r="L1394" s="83"/>
      <c r="M1394" s="83"/>
      <c r="N1394" s="83"/>
      <c r="O1394" s="83"/>
      <c r="P1394" s="83"/>
      <c r="Q1394" s="83"/>
      <c r="R1394" s="83"/>
      <c r="S1394" s="83"/>
      <c r="T1394" s="83"/>
      <c r="U1394" s="83"/>
      <c r="V1394" s="83"/>
      <c r="W1394" s="83"/>
      <c r="X1394" s="83"/>
      <c r="Y1394" s="83"/>
      <c r="Z1394" s="83"/>
      <c r="AA1394" s="83"/>
      <c r="AB1394" s="83"/>
      <c r="AC1394" s="83"/>
      <c r="AD1394" s="83"/>
      <c r="AE1394" s="83"/>
      <c r="AF1394" s="83"/>
      <c r="AG1394" s="83"/>
      <c r="AH1394" s="83"/>
      <c r="AI1394" s="83"/>
      <c r="AJ1394" s="83"/>
      <c r="AK1394" s="83"/>
      <c r="AL1394" s="83"/>
    </row>
    <row r="1395" spans="1:38" s="206" customFormat="1" ht="24.75" hidden="1" customHeight="1" x14ac:dyDescent="0.2">
      <c r="A1395" s="560"/>
      <c r="B1395" s="173" t="s">
        <v>428</v>
      </c>
      <c r="C1395" s="34" t="s">
        <v>426</v>
      </c>
      <c r="D1395" s="78">
        <v>0.15</v>
      </c>
      <c r="E1395" s="89">
        <v>2</v>
      </c>
      <c r="F1395" s="89">
        <v>0.34</v>
      </c>
      <c r="G1395" s="113">
        <f t="shared" si="46"/>
        <v>0.17</v>
      </c>
      <c r="H1395" s="82" t="s">
        <v>531</v>
      </c>
      <c r="J1395" s="83"/>
      <c r="K1395" s="83"/>
      <c r="L1395" s="83"/>
      <c r="M1395" s="83"/>
      <c r="N1395" s="83"/>
      <c r="O1395" s="83"/>
      <c r="P1395" s="83"/>
      <c r="Q1395" s="83"/>
      <c r="R1395" s="83"/>
      <c r="S1395" s="83"/>
      <c r="T1395" s="83"/>
      <c r="U1395" s="83"/>
      <c r="V1395" s="83"/>
      <c r="W1395" s="83"/>
      <c r="X1395" s="83"/>
      <c r="Y1395" s="83"/>
      <c r="Z1395" s="83"/>
      <c r="AA1395" s="83"/>
      <c r="AB1395" s="83"/>
      <c r="AC1395" s="83"/>
      <c r="AD1395" s="83"/>
      <c r="AE1395" s="83"/>
      <c r="AF1395" s="83"/>
      <c r="AG1395" s="83"/>
      <c r="AH1395" s="83"/>
      <c r="AI1395" s="83"/>
      <c r="AJ1395" s="83"/>
      <c r="AK1395" s="83"/>
      <c r="AL1395" s="83"/>
    </row>
    <row r="1396" spans="1:38" s="206" customFormat="1" ht="24.75" hidden="1" customHeight="1" x14ac:dyDescent="0.2">
      <c r="A1396" s="560"/>
      <c r="B1396" s="173" t="s">
        <v>429</v>
      </c>
      <c r="C1396" s="34" t="s">
        <v>426</v>
      </c>
      <c r="D1396" s="78">
        <v>0.15</v>
      </c>
      <c r="E1396" s="174">
        <v>1072</v>
      </c>
      <c r="F1396" s="174">
        <v>110</v>
      </c>
      <c r="G1396" s="113">
        <f t="shared" si="46"/>
        <v>0.10261194029850747</v>
      </c>
      <c r="H1396" s="82" t="s">
        <v>536</v>
      </c>
      <c r="J1396" s="83"/>
      <c r="K1396" s="83"/>
      <c r="L1396" s="83"/>
      <c r="M1396" s="83"/>
      <c r="N1396" s="83"/>
      <c r="O1396" s="83"/>
      <c r="P1396" s="83"/>
      <c r="Q1396" s="83"/>
      <c r="R1396" s="83"/>
      <c r="S1396" s="83"/>
      <c r="T1396" s="83"/>
      <c r="U1396" s="83"/>
      <c r="V1396" s="83"/>
      <c r="W1396" s="83"/>
      <c r="X1396" s="83"/>
      <c r="Y1396" s="83"/>
      <c r="Z1396" s="83"/>
      <c r="AA1396" s="83"/>
      <c r="AB1396" s="83"/>
      <c r="AC1396" s="83"/>
      <c r="AD1396" s="83"/>
      <c r="AE1396" s="83"/>
      <c r="AF1396" s="83"/>
      <c r="AG1396" s="83"/>
      <c r="AH1396" s="83"/>
      <c r="AI1396" s="83"/>
      <c r="AJ1396" s="83"/>
      <c r="AK1396" s="83"/>
      <c r="AL1396" s="83"/>
    </row>
    <row r="1397" spans="1:38" s="206" customFormat="1" ht="24.75" hidden="1" customHeight="1" x14ac:dyDescent="0.2">
      <c r="A1397" s="560"/>
      <c r="B1397" s="173" t="s">
        <v>430</v>
      </c>
      <c r="C1397" s="34" t="s">
        <v>426</v>
      </c>
      <c r="D1397" s="78">
        <v>0.15</v>
      </c>
      <c r="E1397" s="89">
        <v>1</v>
      </c>
      <c r="F1397" s="89">
        <v>1</v>
      </c>
      <c r="G1397" s="113">
        <f t="shared" si="46"/>
        <v>1</v>
      </c>
      <c r="H1397" s="82" t="s">
        <v>533</v>
      </c>
      <c r="J1397" s="83"/>
      <c r="K1397" s="83"/>
      <c r="L1397" s="83"/>
      <c r="M1397" s="83"/>
      <c r="N1397" s="83"/>
      <c r="O1397" s="83"/>
      <c r="P1397" s="83"/>
      <c r="Q1397" s="83"/>
      <c r="R1397" s="83"/>
      <c r="S1397" s="83"/>
      <c r="T1397" s="83"/>
      <c r="U1397" s="83"/>
      <c r="V1397" s="83"/>
      <c r="W1397" s="83"/>
      <c r="X1397" s="83"/>
      <c r="Y1397" s="83"/>
      <c r="Z1397" s="83"/>
      <c r="AA1397" s="83"/>
      <c r="AB1397" s="83"/>
      <c r="AC1397" s="83"/>
      <c r="AD1397" s="83"/>
      <c r="AE1397" s="83"/>
      <c r="AF1397" s="83"/>
      <c r="AG1397" s="83"/>
      <c r="AH1397" s="83"/>
      <c r="AI1397" s="83"/>
      <c r="AJ1397" s="83"/>
      <c r="AK1397" s="83"/>
      <c r="AL1397" s="83"/>
    </row>
    <row r="1398" spans="1:38" s="206" customFormat="1" ht="24.75" hidden="1" customHeight="1" x14ac:dyDescent="0.2">
      <c r="A1398" s="560"/>
      <c r="B1398" s="173" t="s">
        <v>431</v>
      </c>
      <c r="C1398" s="34" t="s">
        <v>426</v>
      </c>
      <c r="D1398" s="78">
        <v>0.15</v>
      </c>
      <c r="E1398" s="89">
        <v>1097</v>
      </c>
      <c r="F1398" s="89">
        <v>32</v>
      </c>
      <c r="G1398" s="113">
        <f t="shared" si="46"/>
        <v>2.9170464904284411E-2</v>
      </c>
      <c r="H1398" s="82" t="s">
        <v>529</v>
      </c>
      <c r="J1398" s="83"/>
      <c r="K1398" s="83"/>
      <c r="L1398" s="83"/>
      <c r="M1398" s="83"/>
      <c r="N1398" s="83"/>
      <c r="O1398" s="83"/>
      <c r="P1398" s="83"/>
      <c r="Q1398" s="83"/>
      <c r="R1398" s="83"/>
      <c r="S1398" s="83"/>
      <c r="T1398" s="83"/>
      <c r="U1398" s="83"/>
      <c r="V1398" s="83"/>
      <c r="W1398" s="83"/>
      <c r="X1398" s="83"/>
      <c r="Y1398" s="83"/>
      <c r="Z1398" s="83"/>
      <c r="AA1398" s="83"/>
      <c r="AB1398" s="83"/>
      <c r="AC1398" s="83"/>
      <c r="AD1398" s="83"/>
      <c r="AE1398" s="83"/>
      <c r="AF1398" s="83"/>
      <c r="AG1398" s="83"/>
      <c r="AH1398" s="83"/>
      <c r="AI1398" s="83"/>
      <c r="AJ1398" s="83"/>
      <c r="AK1398" s="83"/>
      <c r="AL1398" s="83"/>
    </row>
    <row r="1399" spans="1:38" s="206" customFormat="1" ht="24.75" hidden="1" customHeight="1" x14ac:dyDescent="0.2">
      <c r="A1399" s="516"/>
      <c r="B1399" s="173" t="s">
        <v>432</v>
      </c>
      <c r="C1399" s="34" t="s">
        <v>426</v>
      </c>
      <c r="D1399" s="78">
        <v>0.1</v>
      </c>
      <c r="E1399" s="78">
        <v>1</v>
      </c>
      <c r="F1399" s="113">
        <v>1</v>
      </c>
      <c r="G1399" s="113">
        <f t="shared" si="46"/>
        <v>1</v>
      </c>
      <c r="H1399" s="82" t="s">
        <v>534</v>
      </c>
      <c r="J1399" s="83"/>
      <c r="K1399" s="83"/>
      <c r="L1399" s="83"/>
      <c r="M1399" s="83"/>
      <c r="N1399" s="83"/>
      <c r="O1399" s="83"/>
      <c r="P1399" s="83"/>
      <c r="Q1399" s="83"/>
      <c r="R1399" s="83"/>
      <c r="S1399" s="83"/>
      <c r="T1399" s="83"/>
      <c r="U1399" s="83"/>
      <c r="V1399" s="83"/>
      <c r="W1399" s="83"/>
      <c r="X1399" s="83"/>
      <c r="Y1399" s="83"/>
      <c r="Z1399" s="83"/>
      <c r="AA1399" s="83"/>
      <c r="AB1399" s="83"/>
      <c r="AC1399" s="83"/>
      <c r="AD1399" s="83"/>
      <c r="AE1399" s="83"/>
      <c r="AF1399" s="83"/>
      <c r="AG1399" s="83"/>
      <c r="AH1399" s="83"/>
      <c r="AI1399" s="83"/>
      <c r="AJ1399" s="83"/>
      <c r="AK1399" s="83"/>
      <c r="AL1399" s="83"/>
    </row>
    <row r="1400" spans="1:38" s="206" customFormat="1" ht="24.75" hidden="1" customHeight="1" x14ac:dyDescent="0.2">
      <c r="A1400" s="559" t="s">
        <v>137</v>
      </c>
      <c r="B1400" s="173" t="s">
        <v>425</v>
      </c>
      <c r="C1400" s="34" t="s">
        <v>426</v>
      </c>
      <c r="D1400" s="78">
        <v>0.15</v>
      </c>
      <c r="E1400" s="174">
        <v>20</v>
      </c>
      <c r="F1400" s="174">
        <v>20</v>
      </c>
      <c r="G1400" s="78">
        <f>F1400/E1400</f>
        <v>1</v>
      </c>
      <c r="H1400" s="82" t="s">
        <v>539</v>
      </c>
      <c r="J1400" s="83"/>
      <c r="K1400" s="83"/>
      <c r="L1400" s="83"/>
      <c r="M1400" s="83"/>
      <c r="N1400" s="83"/>
      <c r="O1400" s="83"/>
      <c r="P1400" s="83"/>
      <c r="Q1400" s="83"/>
      <c r="R1400" s="83"/>
      <c r="S1400" s="83"/>
      <c r="T1400" s="83"/>
      <c r="U1400" s="83"/>
      <c r="V1400" s="83"/>
      <c r="W1400" s="83"/>
      <c r="X1400" s="83"/>
      <c r="Y1400" s="83"/>
      <c r="Z1400" s="83"/>
      <c r="AA1400" s="83"/>
      <c r="AB1400" s="83"/>
      <c r="AC1400" s="83"/>
      <c r="AD1400" s="83"/>
      <c r="AE1400" s="83"/>
      <c r="AF1400" s="83"/>
      <c r="AG1400" s="83"/>
      <c r="AH1400" s="83"/>
      <c r="AI1400" s="83"/>
      <c r="AJ1400" s="83"/>
      <c r="AK1400" s="83"/>
      <c r="AL1400" s="83"/>
    </row>
    <row r="1401" spans="1:38" s="206" customFormat="1" ht="24.75" hidden="1" customHeight="1" x14ac:dyDescent="0.2">
      <c r="A1401" s="560"/>
      <c r="B1401" s="173" t="s">
        <v>427</v>
      </c>
      <c r="C1401" s="34" t="s">
        <v>426</v>
      </c>
      <c r="D1401" s="78">
        <v>0.15</v>
      </c>
      <c r="E1401" s="89">
        <v>6</v>
      </c>
      <c r="F1401" s="89">
        <v>1</v>
      </c>
      <c r="G1401" s="78">
        <f t="shared" ref="G1401:G1406" si="47">F1401/E1401</f>
        <v>0.16666666666666666</v>
      </c>
      <c r="H1401" s="82" t="s">
        <v>540</v>
      </c>
      <c r="J1401" s="83"/>
      <c r="K1401" s="83"/>
      <c r="L1401" s="83"/>
      <c r="M1401" s="83"/>
      <c r="N1401" s="83"/>
      <c r="O1401" s="83"/>
      <c r="P1401" s="83"/>
      <c r="Q1401" s="83"/>
      <c r="R1401" s="83"/>
      <c r="S1401" s="83"/>
      <c r="T1401" s="83"/>
      <c r="U1401" s="83"/>
      <c r="V1401" s="83"/>
      <c r="W1401" s="83"/>
      <c r="X1401" s="83"/>
      <c r="Y1401" s="83"/>
      <c r="Z1401" s="83"/>
      <c r="AA1401" s="83"/>
      <c r="AB1401" s="83"/>
      <c r="AC1401" s="83"/>
      <c r="AD1401" s="83"/>
      <c r="AE1401" s="83"/>
      <c r="AF1401" s="83"/>
      <c r="AG1401" s="83"/>
      <c r="AH1401" s="83"/>
      <c r="AI1401" s="83"/>
      <c r="AJ1401" s="83"/>
      <c r="AK1401" s="83"/>
      <c r="AL1401" s="83"/>
    </row>
    <row r="1402" spans="1:38" s="206" customFormat="1" ht="24.75" hidden="1" customHeight="1" x14ac:dyDescent="0.2">
      <c r="A1402" s="560"/>
      <c r="B1402" s="173" t="s">
        <v>428</v>
      </c>
      <c r="C1402" s="34" t="s">
        <v>426</v>
      </c>
      <c r="D1402" s="78">
        <v>0.15</v>
      </c>
      <c r="E1402" s="89">
        <v>2</v>
      </c>
      <c r="F1402" s="89">
        <v>0.5</v>
      </c>
      <c r="G1402" s="78">
        <f t="shared" si="47"/>
        <v>0.25</v>
      </c>
      <c r="H1402" s="82" t="s">
        <v>541</v>
      </c>
      <c r="J1402" s="83"/>
      <c r="K1402" s="83"/>
      <c r="L1402" s="83"/>
      <c r="M1402" s="83"/>
      <c r="N1402" s="83"/>
      <c r="O1402" s="83"/>
      <c r="P1402" s="83"/>
      <c r="Q1402" s="83"/>
      <c r="R1402" s="83"/>
      <c r="S1402" s="83"/>
      <c r="T1402" s="83"/>
      <c r="U1402" s="83"/>
      <c r="V1402" s="83"/>
      <c r="W1402" s="83"/>
      <c r="X1402" s="83"/>
      <c r="Y1402" s="83"/>
      <c r="Z1402" s="83"/>
      <c r="AA1402" s="83"/>
      <c r="AB1402" s="83"/>
      <c r="AC1402" s="83"/>
      <c r="AD1402" s="83"/>
      <c r="AE1402" s="83"/>
      <c r="AF1402" s="83"/>
      <c r="AG1402" s="83"/>
      <c r="AH1402" s="83"/>
      <c r="AI1402" s="83"/>
      <c r="AJ1402" s="83"/>
      <c r="AK1402" s="83"/>
      <c r="AL1402" s="83"/>
    </row>
    <row r="1403" spans="1:38" s="206" customFormat="1" ht="24.75" hidden="1" customHeight="1" x14ac:dyDescent="0.2">
      <c r="A1403" s="560"/>
      <c r="B1403" s="173" t="s">
        <v>429</v>
      </c>
      <c r="C1403" s="34" t="s">
        <v>426</v>
      </c>
      <c r="D1403" s="78">
        <v>0.15</v>
      </c>
      <c r="E1403" s="174">
        <v>1072</v>
      </c>
      <c r="F1403" s="174">
        <v>196</v>
      </c>
      <c r="G1403" s="78">
        <f t="shared" si="47"/>
        <v>0.18283582089552239</v>
      </c>
      <c r="H1403" s="82" t="s">
        <v>543</v>
      </c>
      <c r="J1403" s="83"/>
      <c r="K1403" s="83"/>
      <c r="L1403" s="83"/>
      <c r="M1403" s="83"/>
      <c r="N1403" s="83"/>
      <c r="O1403" s="83"/>
      <c r="P1403" s="83"/>
      <c r="Q1403" s="83"/>
      <c r="R1403" s="83"/>
      <c r="S1403" s="83"/>
      <c r="T1403" s="83"/>
      <c r="U1403" s="83"/>
      <c r="V1403" s="83"/>
      <c r="W1403" s="83"/>
      <c r="X1403" s="83"/>
      <c r="Y1403" s="83"/>
      <c r="Z1403" s="83"/>
      <c r="AA1403" s="83"/>
      <c r="AB1403" s="83"/>
      <c r="AC1403" s="83"/>
      <c r="AD1403" s="83"/>
      <c r="AE1403" s="83"/>
      <c r="AF1403" s="83"/>
      <c r="AG1403" s="83"/>
      <c r="AH1403" s="83"/>
      <c r="AI1403" s="83"/>
      <c r="AJ1403" s="83"/>
      <c r="AK1403" s="83"/>
      <c r="AL1403" s="83"/>
    </row>
    <row r="1404" spans="1:38" s="206" customFormat="1" ht="24.75" hidden="1" customHeight="1" x14ac:dyDescent="0.2">
      <c r="A1404" s="560"/>
      <c r="B1404" s="173" t="s">
        <v>430</v>
      </c>
      <c r="C1404" s="34" t="s">
        <v>426</v>
      </c>
      <c r="D1404" s="78">
        <v>0.15</v>
      </c>
      <c r="E1404" s="89">
        <v>1</v>
      </c>
      <c r="F1404" s="89">
        <v>1</v>
      </c>
      <c r="G1404" s="78">
        <f t="shared" si="47"/>
        <v>1</v>
      </c>
      <c r="H1404" s="82" t="s">
        <v>542</v>
      </c>
      <c r="J1404" s="83"/>
      <c r="K1404" s="83"/>
      <c r="L1404" s="83"/>
      <c r="M1404" s="83"/>
      <c r="N1404" s="83"/>
      <c r="O1404" s="83"/>
      <c r="P1404" s="83"/>
      <c r="Q1404" s="83"/>
      <c r="R1404" s="83"/>
      <c r="S1404" s="83"/>
      <c r="T1404" s="83"/>
      <c r="U1404" s="83"/>
      <c r="V1404" s="83"/>
      <c r="W1404" s="83"/>
      <c r="X1404" s="83"/>
      <c r="Y1404" s="83"/>
      <c r="Z1404" s="83"/>
      <c r="AA1404" s="83"/>
      <c r="AB1404" s="83"/>
      <c r="AC1404" s="83"/>
      <c r="AD1404" s="83"/>
      <c r="AE1404" s="83"/>
      <c r="AF1404" s="83"/>
      <c r="AG1404" s="83"/>
      <c r="AH1404" s="83"/>
      <c r="AI1404" s="83"/>
      <c r="AJ1404" s="83"/>
      <c r="AK1404" s="83"/>
      <c r="AL1404" s="83"/>
    </row>
    <row r="1405" spans="1:38" s="206" customFormat="1" ht="24.75" hidden="1" customHeight="1" x14ac:dyDescent="0.2">
      <c r="A1405" s="560"/>
      <c r="B1405" s="173" t="s">
        <v>431</v>
      </c>
      <c r="C1405" s="34" t="s">
        <v>426</v>
      </c>
      <c r="D1405" s="78">
        <v>0.15</v>
      </c>
      <c r="E1405" s="89">
        <v>1097</v>
      </c>
      <c r="F1405" s="89">
        <v>87</v>
      </c>
      <c r="G1405" s="78">
        <f t="shared" si="47"/>
        <v>7.9307201458523241E-2</v>
      </c>
      <c r="H1405" s="82" t="s">
        <v>544</v>
      </c>
      <c r="J1405" s="83"/>
      <c r="K1405" s="83"/>
      <c r="L1405" s="83"/>
      <c r="M1405" s="83"/>
      <c r="N1405" s="83"/>
      <c r="O1405" s="83"/>
      <c r="P1405" s="83"/>
      <c r="Q1405" s="83"/>
      <c r="R1405" s="83"/>
      <c r="S1405" s="83"/>
      <c r="T1405" s="83"/>
      <c r="U1405" s="83"/>
      <c r="V1405" s="83"/>
      <c r="W1405" s="83"/>
      <c r="X1405" s="83"/>
      <c r="Y1405" s="83"/>
      <c r="Z1405" s="83"/>
      <c r="AA1405" s="83"/>
      <c r="AB1405" s="83"/>
      <c r="AC1405" s="83"/>
      <c r="AD1405" s="83"/>
      <c r="AE1405" s="83"/>
      <c r="AF1405" s="83"/>
      <c r="AG1405" s="83"/>
      <c r="AH1405" s="83"/>
      <c r="AI1405" s="83"/>
      <c r="AJ1405" s="83"/>
      <c r="AK1405" s="83"/>
      <c r="AL1405" s="83"/>
    </row>
    <row r="1406" spans="1:38" s="206" customFormat="1" ht="24.75" hidden="1" customHeight="1" x14ac:dyDescent="0.2">
      <c r="A1406" s="516"/>
      <c r="B1406" s="173" t="s">
        <v>432</v>
      </c>
      <c r="C1406" s="34" t="s">
        <v>426</v>
      </c>
      <c r="D1406" s="78">
        <v>0.1</v>
      </c>
      <c r="E1406" s="78">
        <v>1</v>
      </c>
      <c r="F1406" s="113">
        <v>1</v>
      </c>
      <c r="G1406" s="78">
        <f t="shared" si="47"/>
        <v>1</v>
      </c>
      <c r="H1406" s="82" t="s">
        <v>545</v>
      </c>
      <c r="J1406" s="83"/>
      <c r="K1406" s="83"/>
      <c r="L1406" s="83"/>
      <c r="M1406" s="83"/>
      <c r="N1406" s="83"/>
      <c r="O1406" s="83"/>
      <c r="P1406" s="83"/>
      <c r="Q1406" s="83"/>
      <c r="R1406" s="83"/>
      <c r="S1406" s="83"/>
      <c r="T1406" s="83"/>
      <c r="U1406" s="83"/>
      <c r="V1406" s="83"/>
      <c r="W1406" s="83"/>
      <c r="X1406" s="83"/>
      <c r="Y1406" s="83"/>
      <c r="Z1406" s="83"/>
      <c r="AA1406" s="83"/>
      <c r="AB1406" s="83"/>
      <c r="AC1406" s="83"/>
      <c r="AD1406" s="83"/>
      <c r="AE1406" s="83"/>
      <c r="AF1406" s="83"/>
      <c r="AG1406" s="83"/>
      <c r="AH1406" s="83"/>
      <c r="AI1406" s="83"/>
      <c r="AJ1406" s="83"/>
      <c r="AK1406" s="83"/>
      <c r="AL1406" s="83"/>
    </row>
    <row r="1407" spans="1:38" s="206" customFormat="1" ht="24.75" hidden="1" customHeight="1" x14ac:dyDescent="0.2">
      <c r="A1407" s="559" t="s">
        <v>138</v>
      </c>
      <c r="B1407" s="173" t="s">
        <v>425</v>
      </c>
      <c r="C1407" s="34" t="s">
        <v>426</v>
      </c>
      <c r="D1407" s="78">
        <v>0.15</v>
      </c>
      <c r="E1407" s="174">
        <v>20</v>
      </c>
      <c r="F1407" s="174">
        <v>20</v>
      </c>
      <c r="G1407" s="78">
        <f>F1407/E1407</f>
        <v>1</v>
      </c>
      <c r="H1407" s="82">
        <v>0</v>
      </c>
      <c r="J1407" s="83"/>
      <c r="K1407" s="83"/>
      <c r="L1407" s="83"/>
      <c r="M1407" s="83"/>
      <c r="N1407" s="83"/>
      <c r="O1407" s="83"/>
      <c r="P1407" s="83"/>
      <c r="Q1407" s="83"/>
      <c r="R1407" s="83"/>
      <c r="S1407" s="83"/>
      <c r="T1407" s="83"/>
      <c r="U1407" s="83"/>
      <c r="V1407" s="83"/>
      <c r="W1407" s="83"/>
      <c r="X1407" s="83"/>
      <c r="Y1407" s="83"/>
      <c r="Z1407" s="83"/>
      <c r="AA1407" s="83"/>
      <c r="AB1407" s="83"/>
      <c r="AC1407" s="83"/>
      <c r="AD1407" s="83"/>
      <c r="AE1407" s="83"/>
      <c r="AF1407" s="83"/>
      <c r="AG1407" s="83"/>
      <c r="AH1407" s="83"/>
      <c r="AI1407" s="83"/>
      <c r="AJ1407" s="83"/>
      <c r="AK1407" s="83"/>
      <c r="AL1407" s="83"/>
    </row>
    <row r="1408" spans="1:38" s="206" customFormat="1" ht="24.75" hidden="1" customHeight="1" x14ac:dyDescent="0.2">
      <c r="A1408" s="560"/>
      <c r="B1408" s="173" t="s">
        <v>427</v>
      </c>
      <c r="C1408" s="34" t="s">
        <v>426</v>
      </c>
      <c r="D1408" s="78">
        <v>0.15</v>
      </c>
      <c r="E1408" s="89">
        <v>6</v>
      </c>
      <c r="F1408" s="89">
        <v>1.6</v>
      </c>
      <c r="G1408" s="78">
        <f t="shared" ref="G1408:G1413" si="48">F1408/E1408</f>
        <v>0.26666666666666666</v>
      </c>
      <c r="H1408" s="82" t="s">
        <v>549</v>
      </c>
      <c r="J1408" s="83"/>
      <c r="K1408" s="83"/>
      <c r="L1408" s="83"/>
      <c r="M1408" s="83"/>
      <c r="N1408" s="83"/>
      <c r="O1408" s="83"/>
      <c r="P1408" s="83"/>
      <c r="Q1408" s="83"/>
      <c r="R1408" s="83"/>
      <c r="S1408" s="83"/>
      <c r="T1408" s="83"/>
      <c r="U1408" s="83"/>
      <c r="V1408" s="83"/>
      <c r="W1408" s="83"/>
      <c r="X1408" s="83"/>
      <c r="Y1408" s="83"/>
      <c r="Z1408" s="83"/>
      <c r="AA1408" s="83"/>
      <c r="AB1408" s="83"/>
      <c r="AC1408" s="83"/>
      <c r="AD1408" s="83"/>
      <c r="AE1408" s="83"/>
      <c r="AF1408" s="83"/>
      <c r="AG1408" s="83"/>
      <c r="AH1408" s="83"/>
      <c r="AI1408" s="83"/>
      <c r="AJ1408" s="83"/>
      <c r="AK1408" s="83"/>
      <c r="AL1408" s="83"/>
    </row>
    <row r="1409" spans="1:38" s="206" customFormat="1" ht="24.75" hidden="1" customHeight="1" x14ac:dyDescent="0.2">
      <c r="A1409" s="560"/>
      <c r="B1409" s="173" t="s">
        <v>428</v>
      </c>
      <c r="C1409" s="34" t="s">
        <v>426</v>
      </c>
      <c r="D1409" s="78">
        <v>0.15</v>
      </c>
      <c r="E1409" s="89">
        <v>2</v>
      </c>
      <c r="F1409" s="89">
        <v>0.5</v>
      </c>
      <c r="G1409" s="78">
        <f t="shared" si="48"/>
        <v>0.25</v>
      </c>
      <c r="H1409" s="82" t="s">
        <v>551</v>
      </c>
      <c r="J1409" s="83"/>
      <c r="K1409" s="83"/>
      <c r="L1409" s="83"/>
      <c r="M1409" s="83"/>
      <c r="N1409" s="83"/>
      <c r="O1409" s="83"/>
      <c r="P1409" s="83"/>
      <c r="Q1409" s="83"/>
      <c r="R1409" s="83"/>
      <c r="S1409" s="83"/>
      <c r="T1409" s="83"/>
      <c r="U1409" s="83"/>
      <c r="V1409" s="83"/>
      <c r="W1409" s="83"/>
      <c r="X1409" s="83"/>
      <c r="Y1409" s="83"/>
      <c r="Z1409" s="83"/>
      <c r="AA1409" s="83"/>
      <c r="AB1409" s="83"/>
      <c r="AC1409" s="83"/>
      <c r="AD1409" s="83"/>
      <c r="AE1409" s="83"/>
      <c r="AF1409" s="83"/>
      <c r="AG1409" s="83"/>
      <c r="AH1409" s="83"/>
      <c r="AI1409" s="83"/>
      <c r="AJ1409" s="83"/>
      <c r="AK1409" s="83"/>
      <c r="AL1409" s="83"/>
    </row>
    <row r="1410" spans="1:38" s="206" customFormat="1" ht="24.75" hidden="1" customHeight="1" x14ac:dyDescent="0.2">
      <c r="A1410" s="560"/>
      <c r="B1410" s="173" t="s">
        <v>429</v>
      </c>
      <c r="C1410" s="34" t="s">
        <v>426</v>
      </c>
      <c r="D1410" s="78">
        <v>0.15</v>
      </c>
      <c r="E1410" s="174">
        <v>1072</v>
      </c>
      <c r="F1410" s="174">
        <v>196</v>
      </c>
      <c r="G1410" s="78">
        <f t="shared" si="48"/>
        <v>0.18283582089552239</v>
      </c>
      <c r="H1410" s="82" t="s">
        <v>550</v>
      </c>
      <c r="J1410" s="83"/>
      <c r="K1410" s="83"/>
      <c r="L1410" s="83"/>
      <c r="M1410" s="83"/>
      <c r="N1410" s="83"/>
      <c r="O1410" s="83"/>
      <c r="P1410" s="83"/>
      <c r="Q1410" s="83"/>
      <c r="R1410" s="83"/>
      <c r="S1410" s="83"/>
      <c r="T1410" s="83"/>
      <c r="U1410" s="83"/>
      <c r="V1410" s="83"/>
      <c r="W1410" s="83"/>
      <c r="X1410" s="83"/>
      <c r="Y1410" s="83"/>
      <c r="Z1410" s="83"/>
      <c r="AA1410" s="83"/>
      <c r="AB1410" s="83"/>
      <c r="AC1410" s="83"/>
      <c r="AD1410" s="83"/>
      <c r="AE1410" s="83"/>
      <c r="AF1410" s="83"/>
      <c r="AG1410" s="83"/>
      <c r="AH1410" s="83"/>
      <c r="AI1410" s="83"/>
      <c r="AJ1410" s="83"/>
      <c r="AK1410" s="83"/>
      <c r="AL1410" s="83"/>
    </row>
    <row r="1411" spans="1:38" s="206" customFormat="1" ht="24.75" hidden="1" customHeight="1" x14ac:dyDescent="0.2">
      <c r="A1411" s="560"/>
      <c r="B1411" s="173" t="s">
        <v>430</v>
      </c>
      <c r="C1411" s="34" t="s">
        <v>426</v>
      </c>
      <c r="D1411" s="78">
        <v>0.15</v>
      </c>
      <c r="E1411" s="89">
        <v>1</v>
      </c>
      <c r="F1411" s="89">
        <v>1</v>
      </c>
      <c r="G1411" s="78">
        <f t="shared" si="48"/>
        <v>1</v>
      </c>
      <c r="H1411" s="82" t="s">
        <v>548</v>
      </c>
      <c r="J1411" s="83"/>
      <c r="K1411" s="83"/>
      <c r="L1411" s="83"/>
      <c r="M1411" s="83"/>
      <c r="N1411" s="83"/>
      <c r="O1411" s="83"/>
      <c r="P1411" s="83"/>
      <c r="Q1411" s="83"/>
      <c r="R1411" s="83"/>
      <c r="S1411" s="83"/>
      <c r="T1411" s="83"/>
      <c r="U1411" s="83"/>
      <c r="V1411" s="83"/>
      <c r="W1411" s="83"/>
      <c r="X1411" s="83"/>
      <c r="Y1411" s="83"/>
      <c r="Z1411" s="83"/>
      <c r="AA1411" s="83"/>
      <c r="AB1411" s="83"/>
      <c r="AC1411" s="83"/>
      <c r="AD1411" s="83"/>
      <c r="AE1411" s="83"/>
      <c r="AF1411" s="83"/>
      <c r="AG1411" s="83"/>
      <c r="AH1411" s="83"/>
      <c r="AI1411" s="83"/>
      <c r="AJ1411" s="83"/>
      <c r="AK1411" s="83"/>
      <c r="AL1411" s="83"/>
    </row>
    <row r="1412" spans="1:38" s="206" customFormat="1" ht="24.75" hidden="1" customHeight="1" x14ac:dyDescent="0.2">
      <c r="A1412" s="560"/>
      <c r="B1412" s="173" t="s">
        <v>431</v>
      </c>
      <c r="C1412" s="34" t="s">
        <v>426</v>
      </c>
      <c r="D1412" s="78">
        <v>0.15</v>
      </c>
      <c r="E1412" s="89">
        <v>1097</v>
      </c>
      <c r="F1412" s="89">
        <v>87</v>
      </c>
      <c r="G1412" s="78">
        <f t="shared" si="48"/>
        <v>7.9307201458523241E-2</v>
      </c>
      <c r="H1412" s="82" t="s">
        <v>552</v>
      </c>
      <c r="J1412" s="83"/>
      <c r="K1412" s="83"/>
      <c r="L1412" s="83"/>
      <c r="M1412" s="83"/>
      <c r="N1412" s="83"/>
      <c r="O1412" s="83"/>
      <c r="P1412" s="83"/>
      <c r="Q1412" s="83"/>
      <c r="R1412" s="83"/>
      <c r="S1412" s="83"/>
      <c r="T1412" s="83"/>
      <c r="U1412" s="83"/>
      <c r="V1412" s="83"/>
      <c r="W1412" s="83"/>
      <c r="X1412" s="83"/>
      <c r="Y1412" s="83"/>
      <c r="Z1412" s="83"/>
      <c r="AA1412" s="83"/>
      <c r="AB1412" s="83"/>
      <c r="AC1412" s="83"/>
      <c r="AD1412" s="83"/>
      <c r="AE1412" s="83"/>
      <c r="AF1412" s="83"/>
      <c r="AG1412" s="83"/>
      <c r="AH1412" s="83"/>
      <c r="AI1412" s="83"/>
      <c r="AJ1412" s="83"/>
      <c r="AK1412" s="83"/>
      <c r="AL1412" s="83"/>
    </row>
    <row r="1413" spans="1:38" s="206" customFormat="1" ht="24.75" hidden="1" customHeight="1" x14ac:dyDescent="0.2">
      <c r="A1413" s="516" t="s">
        <v>139</v>
      </c>
      <c r="B1413" s="173" t="s">
        <v>432</v>
      </c>
      <c r="C1413" s="34" t="s">
        <v>426</v>
      </c>
      <c r="D1413" s="78">
        <v>0.1</v>
      </c>
      <c r="E1413" s="78">
        <v>1</v>
      </c>
      <c r="F1413" s="113">
        <v>1</v>
      </c>
      <c r="G1413" s="78">
        <f t="shared" si="48"/>
        <v>1</v>
      </c>
      <c r="H1413" s="82" t="s">
        <v>546</v>
      </c>
      <c r="J1413" s="83"/>
      <c r="K1413" s="83"/>
      <c r="L1413" s="83"/>
      <c r="M1413" s="83"/>
      <c r="N1413" s="83"/>
      <c r="O1413" s="83"/>
      <c r="P1413" s="83"/>
      <c r="Q1413" s="83"/>
      <c r="R1413" s="83"/>
      <c r="S1413" s="83"/>
      <c r="T1413" s="83"/>
      <c r="U1413" s="83"/>
      <c r="V1413" s="83"/>
      <c r="W1413" s="83"/>
      <c r="X1413" s="83"/>
      <c r="Y1413" s="83"/>
      <c r="Z1413" s="83"/>
      <c r="AA1413" s="83"/>
      <c r="AB1413" s="83"/>
      <c r="AC1413" s="83"/>
      <c r="AD1413" s="83"/>
      <c r="AE1413" s="83"/>
      <c r="AF1413" s="83"/>
      <c r="AG1413" s="83"/>
      <c r="AH1413" s="83"/>
      <c r="AI1413" s="83"/>
      <c r="AJ1413" s="83"/>
      <c r="AK1413" s="83"/>
      <c r="AL1413" s="83"/>
    </row>
    <row r="1414" spans="1:38" s="206" customFormat="1" ht="24.75" hidden="1" customHeight="1" x14ac:dyDescent="0.2">
      <c r="A1414" s="559" t="s">
        <v>139</v>
      </c>
      <c r="B1414" s="173" t="s">
        <v>425</v>
      </c>
      <c r="C1414" s="34" t="s">
        <v>426</v>
      </c>
      <c r="D1414" s="78">
        <v>0.15</v>
      </c>
      <c r="E1414" s="174">
        <v>20</v>
      </c>
      <c r="F1414" s="174">
        <v>20</v>
      </c>
      <c r="G1414" s="78">
        <f>F1414/E1414</f>
        <v>1</v>
      </c>
      <c r="H1414" s="82" t="s">
        <v>557</v>
      </c>
      <c r="J1414" s="83"/>
      <c r="K1414" s="83"/>
      <c r="L1414" s="83"/>
      <c r="M1414" s="83"/>
      <c r="N1414" s="83"/>
      <c r="O1414" s="83"/>
      <c r="P1414" s="83"/>
      <c r="Q1414" s="83"/>
      <c r="R1414" s="83"/>
      <c r="S1414" s="83"/>
      <c r="T1414" s="83"/>
      <c r="U1414" s="83"/>
      <c r="V1414" s="83"/>
      <c r="W1414" s="83"/>
      <c r="X1414" s="83"/>
      <c r="Y1414" s="83"/>
      <c r="Z1414" s="83"/>
      <c r="AA1414" s="83"/>
      <c r="AB1414" s="83"/>
      <c r="AC1414" s="83"/>
      <c r="AD1414" s="83"/>
      <c r="AE1414" s="83"/>
      <c r="AF1414" s="83"/>
      <c r="AG1414" s="83"/>
      <c r="AH1414" s="83"/>
      <c r="AI1414" s="83"/>
      <c r="AJ1414" s="83"/>
      <c r="AK1414" s="83"/>
      <c r="AL1414" s="83"/>
    </row>
    <row r="1415" spans="1:38" s="206" customFormat="1" ht="24.75" hidden="1" customHeight="1" x14ac:dyDescent="0.2">
      <c r="A1415" s="560"/>
      <c r="B1415" s="173" t="s">
        <v>427</v>
      </c>
      <c r="C1415" s="34" t="s">
        <v>426</v>
      </c>
      <c r="D1415" s="78">
        <v>0.15</v>
      </c>
      <c r="E1415" s="89">
        <v>6</v>
      </c>
      <c r="F1415" s="89">
        <v>2.2999999999999998</v>
      </c>
      <c r="G1415" s="78">
        <f t="shared" ref="G1415:G1420" si="49">F1415/E1415</f>
        <v>0.3833333333333333</v>
      </c>
      <c r="H1415" s="82" t="s">
        <v>556</v>
      </c>
      <c r="J1415" s="83"/>
      <c r="K1415" s="83"/>
      <c r="L1415" s="83"/>
      <c r="M1415" s="83"/>
      <c r="N1415" s="83"/>
      <c r="O1415" s="83"/>
      <c r="P1415" s="83"/>
      <c r="Q1415" s="83"/>
      <c r="R1415" s="83"/>
      <c r="S1415" s="83"/>
      <c r="T1415" s="83"/>
      <c r="U1415" s="83"/>
      <c r="V1415" s="83"/>
      <c r="W1415" s="83"/>
      <c r="X1415" s="83"/>
      <c r="Y1415" s="83"/>
      <c r="Z1415" s="83"/>
      <c r="AA1415" s="83"/>
      <c r="AB1415" s="83"/>
      <c r="AC1415" s="83"/>
      <c r="AD1415" s="83"/>
      <c r="AE1415" s="83"/>
      <c r="AF1415" s="83"/>
      <c r="AG1415" s="83"/>
      <c r="AH1415" s="83"/>
      <c r="AI1415" s="83"/>
      <c r="AJ1415" s="83"/>
      <c r="AK1415" s="83"/>
      <c r="AL1415" s="83"/>
    </row>
    <row r="1416" spans="1:38" s="206" customFormat="1" ht="24.75" hidden="1" customHeight="1" x14ac:dyDescent="0.2">
      <c r="A1416" s="560"/>
      <c r="B1416" s="173" t="s">
        <v>428</v>
      </c>
      <c r="C1416" s="34" t="s">
        <v>426</v>
      </c>
      <c r="D1416" s="78">
        <v>0.15</v>
      </c>
      <c r="E1416" s="89">
        <v>2</v>
      </c>
      <c r="F1416" s="89">
        <v>0.81</v>
      </c>
      <c r="G1416" s="78">
        <f t="shared" si="49"/>
        <v>0.40500000000000003</v>
      </c>
      <c r="H1416" s="82" t="s">
        <v>558</v>
      </c>
      <c r="J1416" s="83"/>
      <c r="K1416" s="83"/>
      <c r="L1416" s="83"/>
      <c r="M1416" s="83"/>
      <c r="N1416" s="83"/>
      <c r="O1416" s="83"/>
      <c r="P1416" s="83"/>
      <c r="Q1416" s="83"/>
      <c r="R1416" s="83"/>
      <c r="S1416" s="83"/>
      <c r="T1416" s="83"/>
      <c r="U1416" s="83"/>
      <c r="V1416" s="83"/>
      <c r="W1416" s="83"/>
      <c r="X1416" s="83"/>
      <c r="Y1416" s="83"/>
      <c r="Z1416" s="83"/>
      <c r="AA1416" s="83"/>
      <c r="AB1416" s="83"/>
      <c r="AC1416" s="83"/>
      <c r="AD1416" s="83"/>
      <c r="AE1416" s="83"/>
      <c r="AF1416" s="83"/>
      <c r="AG1416" s="83"/>
      <c r="AH1416" s="83"/>
      <c r="AI1416" s="83"/>
      <c r="AJ1416" s="83"/>
      <c r="AK1416" s="83"/>
      <c r="AL1416" s="83"/>
    </row>
    <row r="1417" spans="1:38" s="206" customFormat="1" ht="24.75" hidden="1" customHeight="1" x14ac:dyDescent="0.2">
      <c r="A1417" s="560"/>
      <c r="B1417" s="173" t="s">
        <v>429</v>
      </c>
      <c r="C1417" s="34" t="s">
        <v>426</v>
      </c>
      <c r="D1417" s="78">
        <v>0.15</v>
      </c>
      <c r="E1417" s="174">
        <v>1072</v>
      </c>
      <c r="F1417" s="174">
        <v>466</v>
      </c>
      <c r="G1417" s="78">
        <f t="shared" si="49"/>
        <v>0.43470149253731344</v>
      </c>
      <c r="H1417" s="82" t="s">
        <v>554</v>
      </c>
      <c r="J1417" s="83"/>
      <c r="K1417" s="83"/>
      <c r="L1417" s="83"/>
      <c r="M1417" s="83"/>
      <c r="N1417" s="83"/>
      <c r="O1417" s="83"/>
      <c r="P1417" s="83"/>
      <c r="Q1417" s="83"/>
      <c r="R1417" s="83"/>
      <c r="S1417" s="83"/>
      <c r="T1417" s="83"/>
      <c r="U1417" s="83"/>
      <c r="V1417" s="83"/>
      <c r="W1417" s="83"/>
      <c r="X1417" s="83"/>
      <c r="Y1417" s="83"/>
      <c r="Z1417" s="83"/>
      <c r="AA1417" s="83"/>
      <c r="AB1417" s="83"/>
      <c r="AC1417" s="83"/>
      <c r="AD1417" s="83"/>
      <c r="AE1417" s="83"/>
      <c r="AF1417" s="83"/>
      <c r="AG1417" s="83"/>
      <c r="AH1417" s="83"/>
      <c r="AI1417" s="83"/>
      <c r="AJ1417" s="83"/>
      <c r="AK1417" s="83"/>
      <c r="AL1417" s="83"/>
    </row>
    <row r="1418" spans="1:38" s="206" customFormat="1" ht="24.75" hidden="1" customHeight="1" x14ac:dyDescent="0.2">
      <c r="A1418" s="560"/>
      <c r="B1418" s="173" t="s">
        <v>430</v>
      </c>
      <c r="C1418" s="34" t="s">
        <v>426</v>
      </c>
      <c r="D1418" s="78">
        <v>0.15</v>
      </c>
      <c r="E1418" s="89">
        <v>1</v>
      </c>
      <c r="F1418" s="89">
        <v>1</v>
      </c>
      <c r="G1418" s="78">
        <f t="shared" si="49"/>
        <v>1</v>
      </c>
      <c r="H1418" s="82" t="s">
        <v>555</v>
      </c>
      <c r="J1418" s="83"/>
      <c r="K1418" s="83"/>
      <c r="L1418" s="83"/>
      <c r="M1418" s="83"/>
      <c r="N1418" s="83"/>
      <c r="O1418" s="83"/>
      <c r="P1418" s="83"/>
      <c r="Q1418" s="83"/>
      <c r="R1418" s="83"/>
      <c r="S1418" s="83"/>
      <c r="T1418" s="83"/>
      <c r="U1418" s="83"/>
      <c r="V1418" s="83"/>
      <c r="W1418" s="83"/>
      <c r="X1418" s="83"/>
      <c r="Y1418" s="83"/>
      <c r="Z1418" s="83"/>
      <c r="AA1418" s="83"/>
      <c r="AB1418" s="83"/>
      <c r="AC1418" s="83"/>
      <c r="AD1418" s="83"/>
      <c r="AE1418" s="83"/>
      <c r="AF1418" s="83"/>
      <c r="AG1418" s="83"/>
      <c r="AH1418" s="83"/>
      <c r="AI1418" s="83"/>
      <c r="AJ1418" s="83"/>
      <c r="AK1418" s="83"/>
      <c r="AL1418" s="83"/>
    </row>
    <row r="1419" spans="1:38" s="206" customFormat="1" ht="24.75" hidden="1" customHeight="1" x14ac:dyDescent="0.2">
      <c r="A1419" s="560"/>
      <c r="B1419" s="173" t="s">
        <v>431</v>
      </c>
      <c r="C1419" s="34" t="s">
        <v>426</v>
      </c>
      <c r="D1419" s="78">
        <v>0.15</v>
      </c>
      <c r="E1419" s="89">
        <v>1097</v>
      </c>
      <c r="F1419" s="89">
        <v>460</v>
      </c>
      <c r="G1419" s="78">
        <f t="shared" si="49"/>
        <v>0.41932543299908842</v>
      </c>
      <c r="H1419" s="82" t="s">
        <v>553</v>
      </c>
      <c r="J1419" s="83"/>
      <c r="K1419" s="83"/>
      <c r="L1419" s="83"/>
      <c r="M1419" s="83"/>
      <c r="N1419" s="83"/>
      <c r="O1419" s="83"/>
      <c r="P1419" s="83"/>
      <c r="Q1419" s="83"/>
      <c r="R1419" s="83"/>
      <c r="S1419" s="83"/>
      <c r="T1419" s="83"/>
      <c r="U1419" s="83"/>
      <c r="V1419" s="83"/>
      <c r="W1419" s="83"/>
      <c r="X1419" s="83"/>
      <c r="Y1419" s="83"/>
      <c r="Z1419" s="83"/>
      <c r="AA1419" s="83"/>
      <c r="AB1419" s="83"/>
      <c r="AC1419" s="83"/>
      <c r="AD1419" s="83"/>
      <c r="AE1419" s="83"/>
      <c r="AF1419" s="83"/>
      <c r="AG1419" s="83"/>
      <c r="AH1419" s="83"/>
      <c r="AI1419" s="83"/>
      <c r="AJ1419" s="83"/>
      <c r="AK1419" s="83"/>
      <c r="AL1419" s="83"/>
    </row>
    <row r="1420" spans="1:38" s="206" customFormat="1" ht="24.75" hidden="1" customHeight="1" x14ac:dyDescent="0.2">
      <c r="A1420" s="516"/>
      <c r="B1420" s="173" t="s">
        <v>432</v>
      </c>
      <c r="C1420" s="34" t="s">
        <v>426</v>
      </c>
      <c r="D1420" s="78">
        <v>0.1</v>
      </c>
      <c r="E1420" s="78">
        <v>1</v>
      </c>
      <c r="F1420" s="113">
        <v>1</v>
      </c>
      <c r="G1420" s="78">
        <f t="shared" si="49"/>
        <v>1</v>
      </c>
      <c r="H1420" s="82" t="s">
        <v>559</v>
      </c>
      <c r="J1420" s="83"/>
      <c r="K1420" s="83"/>
      <c r="L1420" s="83"/>
      <c r="M1420" s="83"/>
      <c r="N1420" s="83"/>
      <c r="O1420" s="83"/>
      <c r="P1420" s="83"/>
      <c r="Q1420" s="83"/>
      <c r="R1420" s="83"/>
      <c r="S1420" s="83"/>
      <c r="T1420" s="83"/>
      <c r="U1420" s="83"/>
      <c r="V1420" s="83"/>
      <c r="W1420" s="83"/>
      <c r="X1420" s="83"/>
      <c r="Y1420" s="83"/>
      <c r="Z1420" s="83"/>
      <c r="AA1420" s="83"/>
      <c r="AB1420" s="83"/>
      <c r="AC1420" s="83"/>
      <c r="AD1420" s="83"/>
      <c r="AE1420" s="83"/>
      <c r="AF1420" s="83"/>
      <c r="AG1420" s="83"/>
      <c r="AH1420" s="83"/>
      <c r="AI1420" s="83"/>
      <c r="AJ1420" s="83"/>
      <c r="AK1420" s="83"/>
      <c r="AL1420" s="83"/>
    </row>
    <row r="1421" spans="1:38" s="206" customFormat="1" ht="24.75" hidden="1" customHeight="1" x14ac:dyDescent="0.2">
      <c r="A1421" s="559" t="s">
        <v>140</v>
      </c>
      <c r="B1421" s="173" t="s">
        <v>425</v>
      </c>
      <c r="C1421" s="34" t="s">
        <v>426</v>
      </c>
      <c r="D1421" s="78">
        <v>0.15</v>
      </c>
      <c r="E1421" s="174">
        <v>20</v>
      </c>
      <c r="F1421" s="174">
        <v>20</v>
      </c>
      <c r="G1421" s="78">
        <f>F1421/E1421</f>
        <v>1</v>
      </c>
      <c r="H1421" s="82" t="s">
        <v>567</v>
      </c>
      <c r="J1421" s="83"/>
      <c r="K1421" s="83"/>
      <c r="L1421" s="83"/>
      <c r="M1421" s="83"/>
      <c r="N1421" s="83"/>
      <c r="O1421" s="83"/>
      <c r="P1421" s="83"/>
      <c r="Q1421" s="83"/>
      <c r="R1421" s="83"/>
      <c r="S1421" s="83"/>
      <c r="T1421" s="83"/>
      <c r="U1421" s="83"/>
      <c r="V1421" s="83"/>
      <c r="W1421" s="83"/>
      <c r="X1421" s="83"/>
      <c r="Y1421" s="83"/>
      <c r="Z1421" s="83"/>
      <c r="AA1421" s="83"/>
      <c r="AB1421" s="83"/>
      <c r="AC1421" s="83"/>
      <c r="AD1421" s="83"/>
      <c r="AE1421" s="83"/>
      <c r="AF1421" s="83"/>
      <c r="AG1421" s="83"/>
      <c r="AH1421" s="83"/>
      <c r="AI1421" s="83"/>
      <c r="AJ1421" s="83"/>
      <c r="AK1421" s="83"/>
      <c r="AL1421" s="83"/>
    </row>
    <row r="1422" spans="1:38" s="206" customFormat="1" ht="24.75" hidden="1" customHeight="1" x14ac:dyDescent="0.2">
      <c r="A1422" s="560"/>
      <c r="B1422" s="173" t="s">
        <v>427</v>
      </c>
      <c r="C1422" s="34" t="s">
        <v>426</v>
      </c>
      <c r="D1422" s="78">
        <v>0.15</v>
      </c>
      <c r="E1422" s="89">
        <v>6</v>
      </c>
      <c r="F1422" s="89">
        <v>3</v>
      </c>
      <c r="G1422" s="78">
        <f t="shared" ref="G1422:G1427" si="50">F1422/E1422</f>
        <v>0.5</v>
      </c>
      <c r="H1422" s="82" t="s">
        <v>563</v>
      </c>
      <c r="J1422" s="83"/>
      <c r="K1422" s="83"/>
      <c r="L1422" s="83"/>
      <c r="M1422" s="83"/>
      <c r="N1422" s="83"/>
      <c r="O1422" s="83"/>
      <c r="P1422" s="83"/>
      <c r="Q1422" s="83"/>
      <c r="R1422" s="83"/>
      <c r="S1422" s="83"/>
      <c r="T1422" s="83"/>
      <c r="U1422" s="83"/>
      <c r="V1422" s="83"/>
      <c r="W1422" s="83"/>
      <c r="X1422" s="83"/>
      <c r="Y1422" s="83"/>
      <c r="Z1422" s="83"/>
      <c r="AA1422" s="83"/>
      <c r="AB1422" s="83"/>
      <c r="AC1422" s="83"/>
      <c r="AD1422" s="83"/>
      <c r="AE1422" s="83"/>
      <c r="AF1422" s="83"/>
      <c r="AG1422" s="83"/>
      <c r="AH1422" s="83"/>
      <c r="AI1422" s="83"/>
      <c r="AJ1422" s="83"/>
      <c r="AK1422" s="83"/>
      <c r="AL1422" s="83"/>
    </row>
    <row r="1423" spans="1:38" s="206" customFormat="1" ht="24.75" hidden="1" customHeight="1" x14ac:dyDescent="0.2">
      <c r="A1423" s="560"/>
      <c r="B1423" s="173" t="s">
        <v>428</v>
      </c>
      <c r="C1423" s="34" t="s">
        <v>426</v>
      </c>
      <c r="D1423" s="78">
        <v>0.15</v>
      </c>
      <c r="E1423" s="89">
        <v>2</v>
      </c>
      <c r="F1423" s="89">
        <v>1</v>
      </c>
      <c r="G1423" s="78">
        <f t="shared" si="50"/>
        <v>0.5</v>
      </c>
      <c r="H1423" s="82" t="s">
        <v>566</v>
      </c>
      <c r="J1423" s="83"/>
      <c r="K1423" s="83"/>
      <c r="L1423" s="83"/>
      <c r="M1423" s="83"/>
      <c r="N1423" s="83"/>
      <c r="O1423" s="83"/>
      <c r="P1423" s="83"/>
      <c r="Q1423" s="83"/>
      <c r="R1423" s="83"/>
      <c r="S1423" s="83"/>
      <c r="T1423" s="83"/>
      <c r="U1423" s="83"/>
      <c r="V1423" s="83"/>
      <c r="W1423" s="83"/>
      <c r="X1423" s="83"/>
      <c r="Y1423" s="83"/>
      <c r="Z1423" s="83"/>
      <c r="AA1423" s="83"/>
      <c r="AB1423" s="83"/>
      <c r="AC1423" s="83"/>
      <c r="AD1423" s="83"/>
      <c r="AE1423" s="83"/>
      <c r="AF1423" s="83"/>
      <c r="AG1423" s="83"/>
      <c r="AH1423" s="83"/>
      <c r="AI1423" s="83"/>
      <c r="AJ1423" s="83"/>
      <c r="AK1423" s="83"/>
      <c r="AL1423" s="83"/>
    </row>
    <row r="1424" spans="1:38" s="206" customFormat="1" ht="24.75" hidden="1" customHeight="1" x14ac:dyDescent="0.2">
      <c r="A1424" s="560"/>
      <c r="B1424" s="173" t="s">
        <v>429</v>
      </c>
      <c r="C1424" s="34" t="s">
        <v>426</v>
      </c>
      <c r="D1424" s="78">
        <v>0.15</v>
      </c>
      <c r="E1424" s="174">
        <v>1072</v>
      </c>
      <c r="F1424" s="174">
        <v>579</v>
      </c>
      <c r="G1424" s="78">
        <f t="shared" si="50"/>
        <v>0.54011194029850751</v>
      </c>
      <c r="H1424" s="82" t="s">
        <v>562</v>
      </c>
      <c r="J1424" s="83"/>
      <c r="K1424" s="83"/>
      <c r="L1424" s="83"/>
      <c r="M1424" s="83"/>
      <c r="N1424" s="83"/>
      <c r="O1424" s="83"/>
      <c r="P1424" s="83"/>
      <c r="Q1424" s="83"/>
      <c r="R1424" s="83"/>
      <c r="S1424" s="83"/>
      <c r="T1424" s="83"/>
      <c r="U1424" s="83"/>
      <c r="V1424" s="83"/>
      <c r="W1424" s="83"/>
      <c r="X1424" s="83"/>
      <c r="Y1424" s="83"/>
      <c r="Z1424" s="83"/>
      <c r="AA1424" s="83"/>
      <c r="AB1424" s="83"/>
      <c r="AC1424" s="83"/>
      <c r="AD1424" s="83"/>
      <c r="AE1424" s="83"/>
      <c r="AF1424" s="83"/>
      <c r="AG1424" s="83"/>
      <c r="AH1424" s="83"/>
      <c r="AI1424" s="83"/>
      <c r="AJ1424" s="83"/>
      <c r="AK1424" s="83"/>
      <c r="AL1424" s="83"/>
    </row>
    <row r="1425" spans="1:38" s="206" customFormat="1" ht="24.75" hidden="1" customHeight="1" x14ac:dyDescent="0.2">
      <c r="A1425" s="560"/>
      <c r="B1425" s="173" t="s">
        <v>430</v>
      </c>
      <c r="C1425" s="34" t="s">
        <v>426</v>
      </c>
      <c r="D1425" s="78">
        <v>0.15</v>
      </c>
      <c r="E1425" s="89">
        <v>1</v>
      </c>
      <c r="F1425" s="89">
        <v>1</v>
      </c>
      <c r="G1425" s="78">
        <f t="shared" si="50"/>
        <v>1</v>
      </c>
      <c r="H1425" s="82" t="s">
        <v>565</v>
      </c>
      <c r="J1425" s="83"/>
      <c r="K1425" s="83"/>
      <c r="L1425" s="83"/>
      <c r="M1425" s="83"/>
      <c r="N1425" s="83"/>
      <c r="O1425" s="83"/>
      <c r="P1425" s="83"/>
      <c r="Q1425" s="83"/>
      <c r="R1425" s="83"/>
      <c r="S1425" s="83"/>
      <c r="T1425" s="83"/>
      <c r="U1425" s="83"/>
      <c r="V1425" s="83"/>
      <c r="W1425" s="83"/>
      <c r="X1425" s="83"/>
      <c r="Y1425" s="83"/>
      <c r="Z1425" s="83"/>
      <c r="AA1425" s="83"/>
      <c r="AB1425" s="83"/>
      <c r="AC1425" s="83"/>
      <c r="AD1425" s="83"/>
      <c r="AE1425" s="83"/>
      <c r="AF1425" s="83"/>
      <c r="AG1425" s="83"/>
      <c r="AH1425" s="83"/>
      <c r="AI1425" s="83"/>
      <c r="AJ1425" s="83"/>
      <c r="AK1425" s="83"/>
      <c r="AL1425" s="83"/>
    </row>
    <row r="1426" spans="1:38" s="206" customFormat="1" ht="24.75" hidden="1" customHeight="1" x14ac:dyDescent="0.2">
      <c r="A1426" s="560"/>
      <c r="B1426" s="173" t="s">
        <v>431</v>
      </c>
      <c r="C1426" s="34" t="s">
        <v>426</v>
      </c>
      <c r="D1426" s="78">
        <v>0.15</v>
      </c>
      <c r="E1426" s="89">
        <v>1097</v>
      </c>
      <c r="F1426" s="89">
        <v>547</v>
      </c>
      <c r="G1426" s="78">
        <f t="shared" si="50"/>
        <v>0.49863263445761169</v>
      </c>
      <c r="H1426" s="82" t="s">
        <v>564</v>
      </c>
      <c r="J1426" s="83"/>
      <c r="K1426" s="83"/>
      <c r="L1426" s="83"/>
      <c r="M1426" s="83"/>
      <c r="N1426" s="83"/>
      <c r="O1426" s="83"/>
      <c r="P1426" s="83"/>
      <c r="Q1426" s="83"/>
      <c r="R1426" s="83"/>
      <c r="S1426" s="83"/>
      <c r="T1426" s="83"/>
      <c r="U1426" s="83"/>
      <c r="V1426" s="83"/>
      <c r="W1426" s="83"/>
      <c r="X1426" s="83"/>
      <c r="Y1426" s="83"/>
      <c r="Z1426" s="83"/>
      <c r="AA1426" s="83"/>
      <c r="AB1426" s="83"/>
      <c r="AC1426" s="83"/>
      <c r="AD1426" s="83"/>
      <c r="AE1426" s="83"/>
      <c r="AF1426" s="83"/>
      <c r="AG1426" s="83"/>
      <c r="AH1426" s="83"/>
      <c r="AI1426" s="83"/>
      <c r="AJ1426" s="83"/>
      <c r="AK1426" s="83"/>
      <c r="AL1426" s="83"/>
    </row>
    <row r="1427" spans="1:38" s="206" customFormat="1" ht="24.75" hidden="1" customHeight="1" x14ac:dyDescent="0.2">
      <c r="A1427" s="516"/>
      <c r="B1427" s="173" t="s">
        <v>432</v>
      </c>
      <c r="C1427" s="34" t="s">
        <v>426</v>
      </c>
      <c r="D1427" s="78">
        <v>0.1</v>
      </c>
      <c r="E1427" s="78">
        <v>1</v>
      </c>
      <c r="F1427" s="113">
        <v>1</v>
      </c>
      <c r="G1427" s="78">
        <f t="shared" si="50"/>
        <v>1</v>
      </c>
      <c r="H1427" s="82" t="s">
        <v>561</v>
      </c>
      <c r="J1427" s="83"/>
      <c r="K1427" s="83"/>
      <c r="L1427" s="83"/>
      <c r="M1427" s="83"/>
      <c r="N1427" s="83"/>
      <c r="O1427" s="83"/>
      <c r="P1427" s="83"/>
      <c r="Q1427" s="83"/>
      <c r="R1427" s="83"/>
      <c r="S1427" s="83"/>
      <c r="T1427" s="83"/>
      <c r="U1427" s="83"/>
      <c r="V1427" s="83"/>
      <c r="W1427" s="83"/>
      <c r="X1427" s="83"/>
      <c r="Y1427" s="83"/>
      <c r="Z1427" s="83"/>
      <c r="AA1427" s="83"/>
      <c r="AB1427" s="83"/>
      <c r="AC1427" s="83"/>
      <c r="AD1427" s="83"/>
      <c r="AE1427" s="83"/>
      <c r="AF1427" s="83"/>
      <c r="AG1427" s="83"/>
      <c r="AH1427" s="83"/>
      <c r="AI1427" s="83"/>
      <c r="AJ1427" s="83"/>
      <c r="AK1427" s="83"/>
      <c r="AL1427" s="83"/>
    </row>
    <row r="1428" spans="1:38" s="206" customFormat="1" ht="24.75" hidden="1" customHeight="1" x14ac:dyDescent="0.2">
      <c r="A1428" s="559" t="s">
        <v>128</v>
      </c>
      <c r="B1428" s="173" t="s">
        <v>425</v>
      </c>
      <c r="C1428" s="34" t="s">
        <v>426</v>
      </c>
      <c r="D1428" s="78">
        <v>0.15</v>
      </c>
      <c r="E1428" s="174">
        <v>20</v>
      </c>
      <c r="F1428" s="174">
        <v>20</v>
      </c>
      <c r="G1428" s="78">
        <f>F1428/E1428</f>
        <v>1</v>
      </c>
      <c r="H1428" s="82" t="s">
        <v>571</v>
      </c>
      <c r="J1428" s="83"/>
      <c r="K1428" s="83"/>
      <c r="L1428" s="83"/>
      <c r="M1428" s="83"/>
      <c r="N1428" s="83"/>
      <c r="O1428" s="83"/>
      <c r="P1428" s="83"/>
      <c r="Q1428" s="83"/>
      <c r="R1428" s="83"/>
      <c r="S1428" s="83"/>
      <c r="T1428" s="83"/>
      <c r="U1428" s="83"/>
      <c r="V1428" s="83"/>
      <c r="W1428" s="83"/>
      <c r="X1428" s="83"/>
      <c r="Y1428" s="83"/>
      <c r="Z1428" s="83"/>
      <c r="AA1428" s="83"/>
      <c r="AB1428" s="83"/>
      <c r="AC1428" s="83"/>
      <c r="AD1428" s="83"/>
      <c r="AE1428" s="83"/>
      <c r="AF1428" s="83"/>
      <c r="AG1428" s="83"/>
      <c r="AH1428" s="83"/>
      <c r="AI1428" s="83"/>
      <c r="AJ1428" s="83"/>
      <c r="AK1428" s="83"/>
      <c r="AL1428" s="83"/>
    </row>
    <row r="1429" spans="1:38" s="206" customFormat="1" ht="24.75" hidden="1" customHeight="1" x14ac:dyDescent="0.2">
      <c r="A1429" s="560"/>
      <c r="B1429" s="173" t="s">
        <v>427</v>
      </c>
      <c r="C1429" s="34" t="s">
        <v>426</v>
      </c>
      <c r="D1429" s="78">
        <v>0.15</v>
      </c>
      <c r="E1429" s="89">
        <v>6</v>
      </c>
      <c r="F1429" s="89">
        <v>3.3</v>
      </c>
      <c r="G1429" s="78">
        <f t="shared" ref="G1429:G1434" si="51">F1429/E1429</f>
        <v>0.54999999999999993</v>
      </c>
      <c r="H1429" s="82" t="s">
        <v>572</v>
      </c>
      <c r="J1429" s="83"/>
      <c r="K1429" s="83"/>
      <c r="L1429" s="83"/>
      <c r="M1429" s="83"/>
      <c r="N1429" s="83"/>
      <c r="O1429" s="83"/>
      <c r="P1429" s="83"/>
      <c r="Q1429" s="83"/>
      <c r="R1429" s="83"/>
      <c r="S1429" s="83"/>
      <c r="T1429" s="83"/>
      <c r="U1429" s="83"/>
      <c r="V1429" s="83"/>
      <c r="W1429" s="83"/>
      <c r="X1429" s="83"/>
      <c r="Y1429" s="83"/>
      <c r="Z1429" s="83"/>
      <c r="AA1429" s="83"/>
      <c r="AB1429" s="83"/>
      <c r="AC1429" s="83"/>
      <c r="AD1429" s="83"/>
      <c r="AE1429" s="83"/>
      <c r="AF1429" s="83"/>
      <c r="AG1429" s="83"/>
      <c r="AH1429" s="83"/>
      <c r="AI1429" s="83"/>
      <c r="AJ1429" s="83"/>
      <c r="AK1429" s="83"/>
      <c r="AL1429" s="83"/>
    </row>
    <row r="1430" spans="1:38" s="206" customFormat="1" ht="24.75" hidden="1" customHeight="1" x14ac:dyDescent="0.2">
      <c r="A1430" s="560"/>
      <c r="B1430" s="173" t="s">
        <v>428</v>
      </c>
      <c r="C1430" s="34" t="s">
        <v>426</v>
      </c>
      <c r="D1430" s="78">
        <v>0.15</v>
      </c>
      <c r="E1430" s="89">
        <v>2</v>
      </c>
      <c r="F1430" s="89">
        <v>1.17</v>
      </c>
      <c r="G1430" s="78">
        <f t="shared" si="51"/>
        <v>0.58499999999999996</v>
      </c>
      <c r="H1430" s="82" t="s">
        <v>573</v>
      </c>
      <c r="J1430" s="83"/>
      <c r="K1430" s="83"/>
      <c r="L1430" s="83"/>
      <c r="M1430" s="83"/>
      <c r="N1430" s="83"/>
      <c r="O1430" s="83"/>
      <c r="P1430" s="83"/>
      <c r="Q1430" s="83"/>
      <c r="R1430" s="83"/>
      <c r="S1430" s="83"/>
      <c r="T1430" s="83"/>
      <c r="U1430" s="83"/>
      <c r="V1430" s="83"/>
      <c r="W1430" s="83"/>
      <c r="X1430" s="83"/>
      <c r="Y1430" s="83"/>
      <c r="Z1430" s="83"/>
      <c r="AA1430" s="83"/>
      <c r="AB1430" s="83"/>
      <c r="AC1430" s="83"/>
      <c r="AD1430" s="83"/>
      <c r="AE1430" s="83"/>
      <c r="AF1430" s="83"/>
      <c r="AG1430" s="83"/>
      <c r="AH1430" s="83"/>
      <c r="AI1430" s="83"/>
      <c r="AJ1430" s="83"/>
      <c r="AK1430" s="83"/>
      <c r="AL1430" s="83"/>
    </row>
    <row r="1431" spans="1:38" s="206" customFormat="1" ht="24.75" hidden="1" customHeight="1" x14ac:dyDescent="0.2">
      <c r="A1431" s="560"/>
      <c r="B1431" s="173" t="s">
        <v>429</v>
      </c>
      <c r="C1431" s="34" t="s">
        <v>426</v>
      </c>
      <c r="D1431" s="78">
        <v>0.15</v>
      </c>
      <c r="E1431" s="174">
        <v>1072</v>
      </c>
      <c r="F1431" s="174">
        <v>699</v>
      </c>
      <c r="G1431" s="78">
        <f t="shared" si="51"/>
        <v>0.65205223880597019</v>
      </c>
      <c r="H1431" s="82" t="s">
        <v>569</v>
      </c>
      <c r="J1431" s="83"/>
      <c r="K1431" s="83"/>
      <c r="L1431" s="83"/>
      <c r="M1431" s="83"/>
      <c r="N1431" s="83"/>
      <c r="O1431" s="83"/>
      <c r="P1431" s="83"/>
      <c r="Q1431" s="83"/>
      <c r="R1431" s="83"/>
      <c r="S1431" s="83"/>
      <c r="T1431" s="83"/>
      <c r="U1431" s="83"/>
      <c r="V1431" s="83"/>
      <c r="W1431" s="83"/>
      <c r="X1431" s="83"/>
      <c r="Y1431" s="83"/>
      <c r="Z1431" s="83"/>
      <c r="AA1431" s="83"/>
      <c r="AB1431" s="83"/>
      <c r="AC1431" s="83"/>
      <c r="AD1431" s="83"/>
      <c r="AE1431" s="83"/>
      <c r="AF1431" s="83"/>
      <c r="AG1431" s="83"/>
      <c r="AH1431" s="83"/>
      <c r="AI1431" s="83"/>
      <c r="AJ1431" s="83"/>
      <c r="AK1431" s="83"/>
      <c r="AL1431" s="83"/>
    </row>
    <row r="1432" spans="1:38" s="206" customFormat="1" ht="24.75" hidden="1" customHeight="1" x14ac:dyDescent="0.2">
      <c r="A1432" s="560"/>
      <c r="B1432" s="173" t="s">
        <v>430</v>
      </c>
      <c r="C1432" s="34" t="s">
        <v>426</v>
      </c>
      <c r="D1432" s="78">
        <v>0.15</v>
      </c>
      <c r="E1432" s="89">
        <v>1</v>
      </c>
      <c r="F1432" s="89">
        <v>1</v>
      </c>
      <c r="G1432" s="78">
        <f t="shared" si="51"/>
        <v>1</v>
      </c>
      <c r="H1432" s="82" t="s">
        <v>570</v>
      </c>
      <c r="J1432" s="83"/>
      <c r="K1432" s="83"/>
      <c r="L1432" s="83"/>
      <c r="M1432" s="83"/>
      <c r="N1432" s="83"/>
      <c r="O1432" s="83"/>
      <c r="P1432" s="83"/>
      <c r="Q1432" s="83"/>
      <c r="R1432" s="83"/>
      <c r="S1432" s="83"/>
      <c r="T1432" s="83"/>
      <c r="U1432" s="83"/>
      <c r="V1432" s="83"/>
      <c r="W1432" s="83"/>
      <c r="X1432" s="83"/>
      <c r="Y1432" s="83"/>
      <c r="Z1432" s="83"/>
      <c r="AA1432" s="83"/>
      <c r="AB1432" s="83"/>
      <c r="AC1432" s="83"/>
      <c r="AD1432" s="83"/>
      <c r="AE1432" s="83"/>
      <c r="AF1432" s="83"/>
      <c r="AG1432" s="83"/>
      <c r="AH1432" s="83"/>
      <c r="AI1432" s="83"/>
      <c r="AJ1432" s="83"/>
      <c r="AK1432" s="83"/>
      <c r="AL1432" s="83"/>
    </row>
    <row r="1433" spans="1:38" s="206" customFormat="1" ht="24.75" hidden="1" customHeight="1" x14ac:dyDescent="0.2">
      <c r="A1433" s="560"/>
      <c r="B1433" s="173" t="s">
        <v>431</v>
      </c>
      <c r="C1433" s="34" t="s">
        <v>426</v>
      </c>
      <c r="D1433" s="78">
        <v>0.15</v>
      </c>
      <c r="E1433" s="89">
        <v>1097</v>
      </c>
      <c r="F1433" s="89">
        <v>612</v>
      </c>
      <c r="G1433" s="78">
        <f t="shared" si="51"/>
        <v>0.55788514129443934</v>
      </c>
      <c r="H1433" s="82" t="s">
        <v>568</v>
      </c>
      <c r="J1433" s="83"/>
      <c r="K1433" s="83"/>
      <c r="L1433" s="83"/>
      <c r="M1433" s="83"/>
      <c r="N1433" s="83"/>
      <c r="O1433" s="83"/>
      <c r="P1433" s="83"/>
      <c r="Q1433" s="83"/>
      <c r="R1433" s="83"/>
      <c r="S1433" s="83"/>
      <c r="T1433" s="83"/>
      <c r="U1433" s="83"/>
      <c r="V1433" s="83"/>
      <c r="W1433" s="83"/>
      <c r="X1433" s="83"/>
      <c r="Y1433" s="83"/>
      <c r="Z1433" s="83"/>
      <c r="AA1433" s="83"/>
      <c r="AB1433" s="83"/>
      <c r="AC1433" s="83"/>
      <c r="AD1433" s="83"/>
      <c r="AE1433" s="83"/>
      <c r="AF1433" s="83"/>
      <c r="AG1433" s="83"/>
      <c r="AH1433" s="83"/>
      <c r="AI1433" s="83"/>
      <c r="AJ1433" s="83"/>
      <c r="AK1433" s="83"/>
      <c r="AL1433" s="83"/>
    </row>
    <row r="1434" spans="1:38" s="206" customFormat="1" ht="24.75" hidden="1" customHeight="1" x14ac:dyDescent="0.2">
      <c r="A1434" s="516"/>
      <c r="B1434" s="173" t="s">
        <v>432</v>
      </c>
      <c r="C1434" s="34" t="s">
        <v>426</v>
      </c>
      <c r="D1434" s="78">
        <v>0.1</v>
      </c>
      <c r="E1434" s="78">
        <v>1</v>
      </c>
      <c r="F1434" s="113">
        <v>1</v>
      </c>
      <c r="G1434" s="78">
        <f t="shared" si="51"/>
        <v>1</v>
      </c>
      <c r="H1434" s="82" t="s">
        <v>574</v>
      </c>
      <c r="J1434" s="83"/>
      <c r="K1434" s="83"/>
      <c r="L1434" s="83"/>
      <c r="M1434" s="83"/>
      <c r="N1434" s="83"/>
      <c r="O1434" s="83"/>
      <c r="P1434" s="83"/>
      <c r="Q1434" s="83"/>
      <c r="R1434" s="83"/>
      <c r="S1434" s="83"/>
      <c r="T1434" s="83"/>
      <c r="U1434" s="83"/>
      <c r="V1434" s="83"/>
      <c r="W1434" s="83"/>
      <c r="X1434" s="83"/>
      <c r="Y1434" s="83"/>
      <c r="Z1434" s="83"/>
      <c r="AA1434" s="83"/>
      <c r="AB1434" s="83"/>
      <c r="AC1434" s="83"/>
      <c r="AD1434" s="83"/>
      <c r="AE1434" s="83"/>
      <c r="AF1434" s="83"/>
      <c r="AG1434" s="83"/>
      <c r="AH1434" s="83"/>
      <c r="AI1434" s="83"/>
      <c r="AJ1434" s="83"/>
      <c r="AK1434" s="83"/>
      <c r="AL1434" s="83"/>
    </row>
    <row r="1435" spans="1:38" s="206" customFormat="1" ht="24.75" hidden="1" customHeight="1" x14ac:dyDescent="0.2">
      <c r="A1435" s="559" t="s">
        <v>129</v>
      </c>
      <c r="B1435" s="173" t="s">
        <v>425</v>
      </c>
      <c r="C1435" s="34" t="s">
        <v>426</v>
      </c>
      <c r="D1435" s="78">
        <v>0.15</v>
      </c>
      <c r="E1435" s="174">
        <v>20</v>
      </c>
      <c r="F1435" s="174">
        <v>20</v>
      </c>
      <c r="G1435" s="78">
        <f>F1435/E1435</f>
        <v>1</v>
      </c>
      <c r="H1435" s="87" t="s">
        <v>581</v>
      </c>
      <c r="J1435" s="83"/>
      <c r="K1435" s="83"/>
      <c r="L1435" s="83"/>
      <c r="M1435" s="83"/>
      <c r="N1435" s="83"/>
      <c r="O1435" s="83"/>
      <c r="P1435" s="83"/>
      <c r="Q1435" s="83"/>
      <c r="R1435" s="83"/>
      <c r="S1435" s="83"/>
      <c r="T1435" s="83"/>
      <c r="U1435" s="83"/>
      <c r="V1435" s="83"/>
      <c r="W1435" s="83"/>
      <c r="X1435" s="83"/>
      <c r="Y1435" s="83"/>
      <c r="Z1435" s="83"/>
      <c r="AA1435" s="83"/>
      <c r="AB1435" s="83"/>
      <c r="AC1435" s="83"/>
      <c r="AD1435" s="83"/>
      <c r="AE1435" s="83"/>
      <c r="AF1435" s="83"/>
      <c r="AG1435" s="83"/>
      <c r="AH1435" s="83"/>
      <c r="AI1435" s="83"/>
      <c r="AJ1435" s="83"/>
      <c r="AK1435" s="83"/>
      <c r="AL1435" s="83"/>
    </row>
    <row r="1436" spans="1:38" s="206" customFormat="1" ht="24.75" hidden="1" customHeight="1" x14ac:dyDescent="0.2">
      <c r="A1436" s="560"/>
      <c r="B1436" s="173" t="s">
        <v>427</v>
      </c>
      <c r="C1436" s="34" t="s">
        <v>426</v>
      </c>
      <c r="D1436" s="78">
        <v>0.15</v>
      </c>
      <c r="E1436" s="89">
        <v>6</v>
      </c>
      <c r="F1436" s="89"/>
      <c r="G1436" s="78">
        <f t="shared" ref="G1436:G1441" si="52">F1436/E1436</f>
        <v>0</v>
      </c>
      <c r="H1436" s="87" t="s">
        <v>577</v>
      </c>
      <c r="J1436" s="83"/>
      <c r="K1436" s="83"/>
      <c r="L1436" s="83"/>
      <c r="M1436" s="83"/>
      <c r="N1436" s="83"/>
      <c r="O1436" s="83"/>
      <c r="P1436" s="83"/>
      <c r="Q1436" s="83"/>
      <c r="R1436" s="83"/>
      <c r="S1436" s="83"/>
      <c r="T1436" s="83"/>
      <c r="U1436" s="83"/>
      <c r="V1436" s="83"/>
      <c r="W1436" s="83"/>
      <c r="X1436" s="83"/>
      <c r="Y1436" s="83"/>
      <c r="Z1436" s="83"/>
      <c r="AA1436" s="83"/>
      <c r="AB1436" s="83"/>
      <c r="AC1436" s="83"/>
      <c r="AD1436" s="83"/>
      <c r="AE1436" s="83"/>
      <c r="AF1436" s="83"/>
      <c r="AG1436" s="83"/>
      <c r="AH1436" s="83"/>
      <c r="AI1436" s="83"/>
      <c r="AJ1436" s="83"/>
      <c r="AK1436" s="83"/>
      <c r="AL1436" s="83"/>
    </row>
    <row r="1437" spans="1:38" s="206" customFormat="1" ht="24.75" hidden="1" customHeight="1" x14ac:dyDescent="0.2">
      <c r="A1437" s="560"/>
      <c r="B1437" s="173" t="s">
        <v>428</v>
      </c>
      <c r="C1437" s="34" t="s">
        <v>426</v>
      </c>
      <c r="D1437" s="78">
        <v>0.15</v>
      </c>
      <c r="E1437" s="89">
        <v>2</v>
      </c>
      <c r="F1437" s="89"/>
      <c r="G1437" s="78">
        <f t="shared" si="52"/>
        <v>0</v>
      </c>
      <c r="H1437" s="87" t="s">
        <v>580</v>
      </c>
      <c r="J1437" s="83"/>
      <c r="K1437" s="83"/>
      <c r="L1437" s="83"/>
      <c r="M1437" s="83"/>
      <c r="N1437" s="83"/>
      <c r="O1437" s="83"/>
      <c r="P1437" s="83"/>
      <c r="Q1437" s="83"/>
      <c r="R1437" s="83"/>
      <c r="S1437" s="83"/>
      <c r="T1437" s="83"/>
      <c r="U1437" s="83"/>
      <c r="V1437" s="83"/>
      <c r="W1437" s="83"/>
      <c r="X1437" s="83"/>
      <c r="Y1437" s="83"/>
      <c r="Z1437" s="83"/>
      <c r="AA1437" s="83"/>
      <c r="AB1437" s="83"/>
      <c r="AC1437" s="83"/>
      <c r="AD1437" s="83"/>
      <c r="AE1437" s="83"/>
      <c r="AF1437" s="83"/>
      <c r="AG1437" s="83"/>
      <c r="AH1437" s="83"/>
      <c r="AI1437" s="83"/>
      <c r="AJ1437" s="83"/>
      <c r="AK1437" s="83"/>
      <c r="AL1437" s="83"/>
    </row>
    <row r="1438" spans="1:38" s="206" customFormat="1" ht="24.75" hidden="1" customHeight="1" x14ac:dyDescent="0.2">
      <c r="A1438" s="560"/>
      <c r="B1438" s="173" t="s">
        <v>429</v>
      </c>
      <c r="C1438" s="34" t="s">
        <v>426</v>
      </c>
      <c r="D1438" s="78">
        <v>0.15</v>
      </c>
      <c r="E1438" s="174">
        <v>1072</v>
      </c>
      <c r="F1438" s="174"/>
      <c r="G1438" s="78">
        <f t="shared" si="52"/>
        <v>0</v>
      </c>
      <c r="H1438" s="87" t="s">
        <v>576</v>
      </c>
      <c r="J1438" s="83"/>
      <c r="K1438" s="83"/>
      <c r="L1438" s="83"/>
      <c r="M1438" s="83"/>
      <c r="N1438" s="83"/>
      <c r="O1438" s="83"/>
      <c r="P1438" s="83"/>
      <c r="Q1438" s="83"/>
      <c r="R1438" s="83"/>
      <c r="S1438" s="83"/>
      <c r="T1438" s="83"/>
      <c r="U1438" s="83"/>
      <c r="V1438" s="83"/>
      <c r="W1438" s="83"/>
      <c r="X1438" s="83"/>
      <c r="Y1438" s="83"/>
      <c r="Z1438" s="83"/>
      <c r="AA1438" s="83"/>
      <c r="AB1438" s="83"/>
      <c r="AC1438" s="83"/>
      <c r="AD1438" s="83"/>
      <c r="AE1438" s="83"/>
      <c r="AF1438" s="83"/>
      <c r="AG1438" s="83"/>
      <c r="AH1438" s="83"/>
      <c r="AI1438" s="83"/>
      <c r="AJ1438" s="83"/>
      <c r="AK1438" s="83"/>
      <c r="AL1438" s="83"/>
    </row>
    <row r="1439" spans="1:38" s="206" customFormat="1" ht="24.75" hidden="1" customHeight="1" x14ac:dyDescent="0.2">
      <c r="A1439" s="560"/>
      <c r="B1439" s="173" t="s">
        <v>430</v>
      </c>
      <c r="C1439" s="34" t="s">
        <v>426</v>
      </c>
      <c r="D1439" s="78">
        <v>0.15</v>
      </c>
      <c r="E1439" s="89">
        <v>1</v>
      </c>
      <c r="F1439" s="89">
        <v>1</v>
      </c>
      <c r="G1439" s="78">
        <f t="shared" si="52"/>
        <v>1</v>
      </c>
      <c r="H1439" s="87" t="s">
        <v>578</v>
      </c>
      <c r="J1439" s="83"/>
      <c r="K1439" s="83"/>
      <c r="L1439" s="83"/>
      <c r="M1439" s="83"/>
      <c r="N1439" s="83"/>
      <c r="O1439" s="83"/>
      <c r="P1439" s="83"/>
      <c r="Q1439" s="83"/>
      <c r="R1439" s="83"/>
      <c r="S1439" s="83"/>
      <c r="T1439" s="83"/>
      <c r="U1439" s="83"/>
      <c r="V1439" s="83"/>
      <c r="W1439" s="83"/>
      <c r="X1439" s="83"/>
      <c r="Y1439" s="83"/>
      <c r="Z1439" s="83"/>
      <c r="AA1439" s="83"/>
      <c r="AB1439" s="83"/>
      <c r="AC1439" s="83"/>
      <c r="AD1439" s="83"/>
      <c r="AE1439" s="83"/>
      <c r="AF1439" s="83"/>
      <c r="AG1439" s="83"/>
      <c r="AH1439" s="83"/>
      <c r="AI1439" s="83"/>
      <c r="AJ1439" s="83"/>
      <c r="AK1439" s="83"/>
      <c r="AL1439" s="83"/>
    </row>
    <row r="1440" spans="1:38" s="206" customFormat="1" ht="24.75" hidden="1" customHeight="1" x14ac:dyDescent="0.2">
      <c r="A1440" s="560"/>
      <c r="B1440" s="173" t="s">
        <v>431</v>
      </c>
      <c r="C1440" s="34" t="s">
        <v>426</v>
      </c>
      <c r="D1440" s="78">
        <v>0.15</v>
      </c>
      <c r="E1440" s="89">
        <v>1097</v>
      </c>
      <c r="F1440" s="89"/>
      <c r="G1440" s="78">
        <f t="shared" si="52"/>
        <v>0</v>
      </c>
      <c r="H1440" s="87" t="s">
        <v>575</v>
      </c>
      <c r="J1440" s="83"/>
      <c r="K1440" s="83"/>
      <c r="L1440" s="83"/>
      <c r="M1440" s="83"/>
      <c r="N1440" s="83"/>
      <c r="O1440" s="83"/>
      <c r="P1440" s="83"/>
      <c r="Q1440" s="83"/>
      <c r="R1440" s="83"/>
      <c r="S1440" s="83"/>
      <c r="T1440" s="83"/>
      <c r="U1440" s="83"/>
      <c r="V1440" s="83"/>
      <c r="W1440" s="83"/>
      <c r="X1440" s="83"/>
      <c r="Y1440" s="83"/>
      <c r="Z1440" s="83"/>
      <c r="AA1440" s="83"/>
      <c r="AB1440" s="83"/>
      <c r="AC1440" s="83"/>
      <c r="AD1440" s="83"/>
      <c r="AE1440" s="83"/>
      <c r="AF1440" s="83"/>
      <c r="AG1440" s="83"/>
      <c r="AH1440" s="83"/>
      <c r="AI1440" s="83"/>
      <c r="AJ1440" s="83"/>
      <c r="AK1440" s="83"/>
      <c r="AL1440" s="83"/>
    </row>
    <row r="1441" spans="1:38" s="206" customFormat="1" ht="24.75" hidden="1" customHeight="1" x14ac:dyDescent="0.2">
      <c r="A1441" s="516"/>
      <c r="B1441" s="173" t="s">
        <v>432</v>
      </c>
      <c r="C1441" s="34" t="s">
        <v>426</v>
      </c>
      <c r="D1441" s="78">
        <v>0.1</v>
      </c>
      <c r="E1441" s="78">
        <v>1</v>
      </c>
      <c r="F1441" s="113">
        <v>1</v>
      </c>
      <c r="G1441" s="78">
        <f t="shared" si="52"/>
        <v>1</v>
      </c>
      <c r="H1441" s="87" t="s">
        <v>579</v>
      </c>
      <c r="J1441" s="83"/>
      <c r="K1441" s="83"/>
      <c r="L1441" s="83"/>
      <c r="M1441" s="83"/>
      <c r="N1441" s="83"/>
      <c r="O1441" s="83"/>
      <c r="P1441" s="83"/>
      <c r="Q1441" s="83"/>
      <c r="R1441" s="83"/>
      <c r="S1441" s="83"/>
      <c r="T1441" s="83"/>
      <c r="U1441" s="83"/>
      <c r="V1441" s="83"/>
      <c r="W1441" s="83"/>
      <c r="X1441" s="83"/>
      <c r="Y1441" s="83"/>
      <c r="Z1441" s="83"/>
      <c r="AA1441" s="83"/>
      <c r="AB1441" s="83"/>
      <c r="AC1441" s="83"/>
      <c r="AD1441" s="83"/>
      <c r="AE1441" s="83"/>
      <c r="AF1441" s="83"/>
      <c r="AG1441" s="83"/>
      <c r="AH1441" s="83"/>
      <c r="AI1441" s="83"/>
      <c r="AJ1441" s="83"/>
      <c r="AK1441" s="83"/>
      <c r="AL1441" s="83"/>
    </row>
    <row r="1442" spans="1:38" s="206" customFormat="1" ht="24.75" hidden="1" customHeight="1" x14ac:dyDescent="0.2">
      <c r="A1442" s="559" t="s">
        <v>130</v>
      </c>
      <c r="B1442" s="173" t="s">
        <v>425</v>
      </c>
      <c r="C1442" s="34" t="s">
        <v>426</v>
      </c>
      <c r="D1442" s="78">
        <v>0.15</v>
      </c>
      <c r="E1442" s="174">
        <v>20</v>
      </c>
      <c r="F1442" s="174">
        <v>20</v>
      </c>
      <c r="G1442" s="78">
        <f>F1442/E1442</f>
        <v>1</v>
      </c>
      <c r="H1442" s="87" t="s">
        <v>586</v>
      </c>
      <c r="J1442" s="83"/>
      <c r="K1442" s="83"/>
      <c r="L1442" s="83"/>
      <c r="M1442" s="83"/>
      <c r="N1442" s="83"/>
      <c r="O1442" s="83"/>
      <c r="P1442" s="83"/>
      <c r="Q1442" s="83"/>
      <c r="R1442" s="83"/>
      <c r="S1442" s="83"/>
      <c r="T1442" s="83"/>
      <c r="U1442" s="83"/>
      <c r="V1442" s="83"/>
      <c r="W1442" s="83"/>
      <c r="X1442" s="83"/>
      <c r="Y1442" s="83"/>
      <c r="Z1442" s="83"/>
      <c r="AA1442" s="83"/>
      <c r="AB1442" s="83"/>
      <c r="AC1442" s="83"/>
      <c r="AD1442" s="83"/>
      <c r="AE1442" s="83"/>
      <c r="AF1442" s="83"/>
      <c r="AG1442" s="83"/>
      <c r="AH1442" s="83"/>
      <c r="AI1442" s="83"/>
      <c r="AJ1442" s="83"/>
      <c r="AK1442" s="83"/>
      <c r="AL1442" s="83"/>
    </row>
    <row r="1443" spans="1:38" s="206" customFormat="1" ht="24.75" hidden="1" customHeight="1" x14ac:dyDescent="0.2">
      <c r="A1443" s="560"/>
      <c r="B1443" s="173" t="s">
        <v>427</v>
      </c>
      <c r="C1443" s="34" t="s">
        <v>426</v>
      </c>
      <c r="D1443" s="78">
        <v>0.15</v>
      </c>
      <c r="E1443" s="89">
        <v>6</v>
      </c>
      <c r="F1443" s="89">
        <v>4.0999999999999996</v>
      </c>
      <c r="G1443" s="78">
        <f t="shared" ref="G1443:G1448" si="53">F1443/E1443</f>
        <v>0.68333333333333324</v>
      </c>
      <c r="H1443" s="87" t="s">
        <v>585</v>
      </c>
      <c r="J1443" s="83"/>
      <c r="K1443" s="83"/>
      <c r="L1443" s="83"/>
      <c r="M1443" s="83"/>
      <c r="N1443" s="83"/>
      <c r="O1443" s="83"/>
      <c r="P1443" s="83"/>
      <c r="Q1443" s="83"/>
      <c r="R1443" s="83"/>
      <c r="S1443" s="83"/>
      <c r="T1443" s="83"/>
      <c r="U1443" s="83"/>
      <c r="V1443" s="83"/>
      <c r="W1443" s="83"/>
      <c r="X1443" s="83"/>
      <c r="Y1443" s="83"/>
      <c r="Z1443" s="83"/>
      <c r="AA1443" s="83"/>
      <c r="AB1443" s="83"/>
      <c r="AC1443" s="83"/>
      <c r="AD1443" s="83"/>
      <c r="AE1443" s="83"/>
      <c r="AF1443" s="83"/>
      <c r="AG1443" s="83"/>
      <c r="AH1443" s="83"/>
      <c r="AI1443" s="83"/>
      <c r="AJ1443" s="83"/>
      <c r="AK1443" s="83"/>
      <c r="AL1443" s="83"/>
    </row>
    <row r="1444" spans="1:38" s="206" customFormat="1" ht="24.75" hidden="1" customHeight="1" x14ac:dyDescent="0.2">
      <c r="A1444" s="560"/>
      <c r="B1444" s="173" t="s">
        <v>428</v>
      </c>
      <c r="C1444" s="34" t="s">
        <v>426</v>
      </c>
      <c r="D1444" s="78">
        <v>0.15</v>
      </c>
      <c r="E1444" s="89">
        <v>2</v>
      </c>
      <c r="F1444" s="89">
        <v>1.51</v>
      </c>
      <c r="G1444" s="78">
        <f t="shared" si="53"/>
        <v>0.755</v>
      </c>
      <c r="H1444" s="87" t="s">
        <v>587</v>
      </c>
      <c r="J1444" s="83"/>
      <c r="K1444" s="83"/>
      <c r="L1444" s="83"/>
      <c r="M1444" s="83"/>
      <c r="N1444" s="83"/>
      <c r="O1444" s="83"/>
      <c r="P1444" s="83"/>
      <c r="Q1444" s="83"/>
      <c r="R1444" s="83"/>
      <c r="S1444" s="83"/>
      <c r="T1444" s="83"/>
      <c r="U1444" s="83"/>
      <c r="V1444" s="83"/>
      <c r="W1444" s="83"/>
      <c r="X1444" s="83"/>
      <c r="Y1444" s="83"/>
      <c r="Z1444" s="83"/>
      <c r="AA1444" s="83"/>
      <c r="AB1444" s="83"/>
      <c r="AC1444" s="83"/>
      <c r="AD1444" s="83"/>
      <c r="AE1444" s="83"/>
      <c r="AF1444" s="83"/>
      <c r="AG1444" s="83"/>
      <c r="AH1444" s="83"/>
      <c r="AI1444" s="83"/>
      <c r="AJ1444" s="83"/>
      <c r="AK1444" s="83"/>
      <c r="AL1444" s="83"/>
    </row>
    <row r="1445" spans="1:38" s="206" customFormat="1" ht="24.75" hidden="1" customHeight="1" x14ac:dyDescent="0.2">
      <c r="A1445" s="560"/>
      <c r="B1445" s="173" t="s">
        <v>429</v>
      </c>
      <c r="C1445" s="34" t="s">
        <v>426</v>
      </c>
      <c r="D1445" s="78">
        <v>0.15</v>
      </c>
      <c r="E1445" s="174">
        <v>1072</v>
      </c>
      <c r="F1445" s="174">
        <v>1082</v>
      </c>
      <c r="G1445" s="78">
        <f t="shared" si="53"/>
        <v>1.0093283582089552</v>
      </c>
      <c r="H1445" s="87" t="s">
        <v>584</v>
      </c>
      <c r="J1445" s="83"/>
      <c r="K1445" s="83"/>
      <c r="L1445" s="83"/>
      <c r="M1445" s="83"/>
      <c r="N1445" s="83"/>
      <c r="O1445" s="83"/>
      <c r="P1445" s="83"/>
      <c r="Q1445" s="83"/>
      <c r="R1445" s="83"/>
      <c r="S1445" s="83"/>
      <c r="T1445" s="83"/>
      <c r="U1445" s="83"/>
      <c r="V1445" s="83"/>
      <c r="W1445" s="83"/>
      <c r="X1445" s="83"/>
      <c r="Y1445" s="83"/>
      <c r="Z1445" s="83"/>
      <c r="AA1445" s="83"/>
      <c r="AB1445" s="83"/>
      <c r="AC1445" s="83"/>
      <c r="AD1445" s="83"/>
      <c r="AE1445" s="83"/>
      <c r="AF1445" s="83"/>
      <c r="AG1445" s="83"/>
      <c r="AH1445" s="83"/>
      <c r="AI1445" s="83"/>
      <c r="AJ1445" s="83"/>
      <c r="AK1445" s="83"/>
      <c r="AL1445" s="83"/>
    </row>
    <row r="1446" spans="1:38" s="206" customFormat="1" ht="24.75" hidden="1" customHeight="1" x14ac:dyDescent="0.2">
      <c r="A1446" s="560"/>
      <c r="B1446" s="173" t="s">
        <v>430</v>
      </c>
      <c r="C1446" s="34" t="s">
        <v>426</v>
      </c>
      <c r="D1446" s="78">
        <v>0.15</v>
      </c>
      <c r="E1446" s="89">
        <v>1</v>
      </c>
      <c r="F1446" s="89">
        <v>1</v>
      </c>
      <c r="G1446" s="78">
        <f t="shared" si="53"/>
        <v>1</v>
      </c>
      <c r="H1446" s="87" t="s">
        <v>578</v>
      </c>
      <c r="J1446" s="83"/>
      <c r="K1446" s="83"/>
      <c r="L1446" s="83"/>
      <c r="M1446" s="83"/>
      <c r="N1446" s="83"/>
      <c r="O1446" s="83"/>
      <c r="P1446" s="83"/>
      <c r="Q1446" s="83"/>
      <c r="R1446" s="83"/>
      <c r="S1446" s="83"/>
      <c r="T1446" s="83"/>
      <c r="U1446" s="83"/>
      <c r="V1446" s="83"/>
      <c r="W1446" s="83"/>
      <c r="X1446" s="83"/>
      <c r="Y1446" s="83"/>
      <c r="Z1446" s="83"/>
      <c r="AA1446" s="83"/>
      <c r="AB1446" s="83"/>
      <c r="AC1446" s="83"/>
      <c r="AD1446" s="83"/>
      <c r="AE1446" s="83"/>
      <c r="AF1446" s="83"/>
      <c r="AG1446" s="83"/>
      <c r="AH1446" s="83"/>
      <c r="AI1446" s="83"/>
      <c r="AJ1446" s="83"/>
      <c r="AK1446" s="83"/>
      <c r="AL1446" s="83"/>
    </row>
    <row r="1447" spans="1:38" s="206" customFormat="1" ht="24.75" hidden="1" customHeight="1" x14ac:dyDescent="0.2">
      <c r="A1447" s="560"/>
      <c r="B1447" s="173" t="s">
        <v>431</v>
      </c>
      <c r="C1447" s="34" t="s">
        <v>426</v>
      </c>
      <c r="D1447" s="78">
        <v>0.15</v>
      </c>
      <c r="E1447" s="89">
        <v>1097</v>
      </c>
      <c r="F1447" s="89">
        <v>882</v>
      </c>
      <c r="G1447" s="78">
        <f t="shared" si="53"/>
        <v>0.80401093892433906</v>
      </c>
      <c r="H1447" s="87" t="s">
        <v>583</v>
      </c>
      <c r="J1447" s="83"/>
      <c r="K1447" s="83"/>
      <c r="L1447" s="83"/>
      <c r="M1447" s="83"/>
      <c r="N1447" s="83"/>
      <c r="O1447" s="83"/>
      <c r="P1447" s="83"/>
      <c r="Q1447" s="83"/>
      <c r="R1447" s="83"/>
      <c r="S1447" s="83"/>
      <c r="T1447" s="83"/>
      <c r="U1447" s="83"/>
      <c r="V1447" s="83"/>
      <c r="W1447" s="83"/>
      <c r="X1447" s="83"/>
      <c r="Y1447" s="83"/>
      <c r="Z1447" s="83"/>
      <c r="AA1447" s="83"/>
      <c r="AB1447" s="83"/>
      <c r="AC1447" s="83"/>
      <c r="AD1447" s="83"/>
      <c r="AE1447" s="83"/>
      <c r="AF1447" s="83"/>
      <c r="AG1447" s="83"/>
      <c r="AH1447" s="83"/>
      <c r="AI1447" s="83"/>
      <c r="AJ1447" s="83"/>
      <c r="AK1447" s="83"/>
      <c r="AL1447" s="83"/>
    </row>
    <row r="1448" spans="1:38" s="206" customFormat="1" ht="24.75" hidden="1" customHeight="1" x14ac:dyDescent="0.2">
      <c r="A1448" s="516"/>
      <c r="B1448" s="173" t="s">
        <v>432</v>
      </c>
      <c r="C1448" s="34" t="s">
        <v>426</v>
      </c>
      <c r="D1448" s="78">
        <v>0.1</v>
      </c>
      <c r="E1448" s="78">
        <v>1</v>
      </c>
      <c r="F1448" s="113">
        <v>1</v>
      </c>
      <c r="G1448" s="78">
        <f t="shared" si="53"/>
        <v>1</v>
      </c>
      <c r="H1448" s="87" t="s">
        <v>582</v>
      </c>
      <c r="J1448" s="83"/>
      <c r="K1448" s="83"/>
      <c r="L1448" s="83"/>
      <c r="M1448" s="83"/>
      <c r="N1448" s="83"/>
      <c r="O1448" s="83"/>
      <c r="P1448" s="83"/>
      <c r="Q1448" s="83"/>
      <c r="R1448" s="83"/>
      <c r="S1448" s="83"/>
      <c r="T1448" s="83"/>
      <c r="U1448" s="83"/>
      <c r="V1448" s="83"/>
      <c r="W1448" s="83"/>
      <c r="X1448" s="83"/>
      <c r="Y1448" s="83"/>
      <c r="Z1448" s="83"/>
      <c r="AA1448" s="83"/>
      <c r="AB1448" s="83"/>
      <c r="AC1448" s="83"/>
      <c r="AD1448" s="83"/>
      <c r="AE1448" s="83"/>
      <c r="AF1448" s="83"/>
      <c r="AG1448" s="83"/>
      <c r="AH1448" s="83"/>
      <c r="AI1448" s="83"/>
      <c r="AJ1448" s="83"/>
      <c r="AK1448" s="83"/>
      <c r="AL1448" s="83"/>
    </row>
    <row r="1449" spans="1:38" s="206" customFormat="1" ht="24.75" hidden="1" customHeight="1" x14ac:dyDescent="0.2">
      <c r="A1449" s="559" t="s">
        <v>131</v>
      </c>
      <c r="B1449" s="173" t="s">
        <v>425</v>
      </c>
      <c r="C1449" s="34" t="s">
        <v>426</v>
      </c>
      <c r="D1449" s="78">
        <v>0.15</v>
      </c>
      <c r="E1449" s="174">
        <v>20</v>
      </c>
      <c r="F1449" s="174">
        <v>20</v>
      </c>
      <c r="G1449" s="78">
        <f>F1449/E1449</f>
        <v>1</v>
      </c>
      <c r="H1449" s="87" t="s">
        <v>591</v>
      </c>
      <c r="J1449" s="83"/>
      <c r="K1449" s="83"/>
      <c r="L1449" s="83"/>
      <c r="M1449" s="83"/>
      <c r="N1449" s="83"/>
      <c r="O1449" s="83"/>
      <c r="P1449" s="83"/>
      <c r="Q1449" s="83"/>
      <c r="R1449" s="83"/>
      <c r="S1449" s="83"/>
      <c r="T1449" s="83"/>
      <c r="U1449" s="83"/>
      <c r="V1449" s="83"/>
      <c r="W1449" s="83"/>
      <c r="X1449" s="83"/>
      <c r="Y1449" s="83"/>
      <c r="Z1449" s="83"/>
      <c r="AA1449" s="83"/>
      <c r="AB1449" s="83"/>
      <c r="AC1449" s="83"/>
      <c r="AD1449" s="83"/>
      <c r="AE1449" s="83"/>
      <c r="AF1449" s="83"/>
      <c r="AG1449" s="83"/>
      <c r="AH1449" s="83"/>
      <c r="AI1449" s="83"/>
      <c r="AJ1449" s="83"/>
      <c r="AK1449" s="83"/>
      <c r="AL1449" s="83"/>
    </row>
    <row r="1450" spans="1:38" s="206" customFormat="1" ht="24.75" hidden="1" customHeight="1" x14ac:dyDescent="0.2">
      <c r="A1450" s="560"/>
      <c r="B1450" s="173" t="s">
        <v>427</v>
      </c>
      <c r="C1450" s="34" t="s">
        <v>426</v>
      </c>
      <c r="D1450" s="78">
        <v>0.15</v>
      </c>
      <c r="E1450" s="89">
        <v>6</v>
      </c>
      <c r="F1450" s="89">
        <v>4.7</v>
      </c>
      <c r="G1450" s="78">
        <f t="shared" ref="G1450:G1469" si="54">F1450/E1450</f>
        <v>0.78333333333333333</v>
      </c>
      <c r="H1450" s="87" t="s">
        <v>592</v>
      </c>
      <c r="J1450" s="83"/>
      <c r="K1450" s="83"/>
      <c r="L1450" s="83"/>
      <c r="M1450" s="83"/>
      <c r="N1450" s="83"/>
      <c r="O1450" s="83"/>
      <c r="P1450" s="83"/>
      <c r="Q1450" s="83"/>
      <c r="R1450" s="83"/>
      <c r="S1450" s="83"/>
      <c r="T1450" s="83"/>
      <c r="U1450" s="83"/>
      <c r="V1450" s="83"/>
      <c r="W1450" s="83"/>
      <c r="X1450" s="83"/>
      <c r="Y1450" s="83"/>
      <c r="Z1450" s="83"/>
      <c r="AA1450" s="83"/>
      <c r="AB1450" s="83"/>
      <c r="AC1450" s="83"/>
      <c r="AD1450" s="83"/>
      <c r="AE1450" s="83"/>
      <c r="AF1450" s="83"/>
      <c r="AG1450" s="83"/>
      <c r="AH1450" s="83"/>
      <c r="AI1450" s="83"/>
      <c r="AJ1450" s="83"/>
      <c r="AK1450" s="83"/>
      <c r="AL1450" s="83"/>
    </row>
    <row r="1451" spans="1:38" s="206" customFormat="1" ht="24.75" hidden="1" customHeight="1" x14ac:dyDescent="0.2">
      <c r="A1451" s="560"/>
      <c r="B1451" s="173" t="s">
        <v>428</v>
      </c>
      <c r="C1451" s="34" t="s">
        <v>426</v>
      </c>
      <c r="D1451" s="78">
        <v>0.15</v>
      </c>
      <c r="E1451" s="89">
        <v>2</v>
      </c>
      <c r="F1451" s="89">
        <v>1.68</v>
      </c>
      <c r="G1451" s="78">
        <f t="shared" si="54"/>
        <v>0.84</v>
      </c>
      <c r="H1451" s="87">
        <v>0</v>
      </c>
      <c r="J1451" s="83"/>
      <c r="K1451" s="83"/>
      <c r="L1451" s="83"/>
      <c r="M1451" s="83"/>
      <c r="N1451" s="83"/>
      <c r="O1451" s="83"/>
      <c r="P1451" s="83"/>
      <c r="Q1451" s="83"/>
      <c r="R1451" s="83"/>
      <c r="S1451" s="83"/>
      <c r="T1451" s="83"/>
      <c r="U1451" s="83"/>
      <c r="V1451" s="83"/>
      <c r="W1451" s="83"/>
      <c r="X1451" s="83"/>
      <c r="Y1451" s="83"/>
      <c r="Z1451" s="83"/>
      <c r="AA1451" s="83"/>
      <c r="AB1451" s="83"/>
      <c r="AC1451" s="83"/>
      <c r="AD1451" s="83"/>
      <c r="AE1451" s="83"/>
      <c r="AF1451" s="83"/>
      <c r="AG1451" s="83"/>
      <c r="AH1451" s="83"/>
      <c r="AI1451" s="83"/>
      <c r="AJ1451" s="83"/>
      <c r="AK1451" s="83"/>
      <c r="AL1451" s="83"/>
    </row>
    <row r="1452" spans="1:38" s="206" customFormat="1" ht="24.75" hidden="1" customHeight="1" x14ac:dyDescent="0.2">
      <c r="A1452" s="560"/>
      <c r="B1452" s="173" t="s">
        <v>429</v>
      </c>
      <c r="C1452" s="34" t="s">
        <v>426</v>
      </c>
      <c r="D1452" s="78">
        <v>0.15</v>
      </c>
      <c r="E1452" s="174">
        <v>1072</v>
      </c>
      <c r="F1452" s="174">
        <v>1022</v>
      </c>
      <c r="G1452" s="78">
        <f t="shared" si="54"/>
        <v>0.95335820895522383</v>
      </c>
      <c r="H1452" s="87" t="s">
        <v>589</v>
      </c>
      <c r="J1452" s="83"/>
      <c r="K1452" s="83"/>
      <c r="L1452" s="83"/>
      <c r="M1452" s="83"/>
      <c r="N1452" s="83"/>
      <c r="O1452" s="83"/>
      <c r="P1452" s="83"/>
      <c r="Q1452" s="83"/>
      <c r="R1452" s="83"/>
      <c r="S1452" s="83"/>
      <c r="T1452" s="83"/>
      <c r="U1452" s="83"/>
      <c r="V1452" s="83"/>
      <c r="W1452" s="83"/>
      <c r="X1452" s="83"/>
      <c r="Y1452" s="83"/>
      <c r="Z1452" s="83"/>
      <c r="AA1452" s="83"/>
      <c r="AB1452" s="83"/>
      <c r="AC1452" s="83"/>
      <c r="AD1452" s="83"/>
      <c r="AE1452" s="83"/>
      <c r="AF1452" s="83"/>
      <c r="AG1452" s="83"/>
      <c r="AH1452" s="83"/>
      <c r="AI1452" s="83"/>
      <c r="AJ1452" s="83"/>
      <c r="AK1452" s="83"/>
      <c r="AL1452" s="83"/>
    </row>
    <row r="1453" spans="1:38" s="206" customFormat="1" ht="24.75" hidden="1" customHeight="1" x14ac:dyDescent="0.2">
      <c r="A1453" s="560"/>
      <c r="B1453" s="173" t="s">
        <v>430</v>
      </c>
      <c r="C1453" s="34" t="s">
        <v>426</v>
      </c>
      <c r="D1453" s="78">
        <v>0.15</v>
      </c>
      <c r="E1453" s="89">
        <v>1</v>
      </c>
      <c r="F1453" s="89">
        <v>1</v>
      </c>
      <c r="G1453" s="78">
        <f t="shared" si="54"/>
        <v>1</v>
      </c>
      <c r="H1453" s="87" t="s">
        <v>590</v>
      </c>
      <c r="J1453" s="83"/>
      <c r="K1453" s="83"/>
      <c r="L1453" s="83"/>
      <c r="M1453" s="83"/>
      <c r="N1453" s="83"/>
      <c r="O1453" s="83"/>
      <c r="P1453" s="83"/>
      <c r="Q1453" s="83"/>
      <c r="R1453" s="83"/>
      <c r="S1453" s="83"/>
      <c r="T1453" s="83"/>
      <c r="U1453" s="83"/>
      <c r="V1453" s="83"/>
      <c r="W1453" s="83"/>
      <c r="X1453" s="83"/>
      <c r="Y1453" s="83"/>
      <c r="Z1453" s="83"/>
      <c r="AA1453" s="83"/>
      <c r="AB1453" s="83"/>
      <c r="AC1453" s="83"/>
      <c r="AD1453" s="83"/>
      <c r="AE1453" s="83"/>
      <c r="AF1453" s="83"/>
      <c r="AG1453" s="83"/>
      <c r="AH1453" s="83"/>
      <c r="AI1453" s="83"/>
      <c r="AJ1453" s="83"/>
      <c r="AK1453" s="83"/>
      <c r="AL1453" s="83"/>
    </row>
    <row r="1454" spans="1:38" s="206" customFormat="1" ht="24.75" hidden="1" customHeight="1" x14ac:dyDescent="0.2">
      <c r="A1454" s="560"/>
      <c r="B1454" s="173" t="s">
        <v>431</v>
      </c>
      <c r="C1454" s="34" t="s">
        <v>426</v>
      </c>
      <c r="D1454" s="78">
        <v>0.15</v>
      </c>
      <c r="E1454" s="89">
        <v>1097</v>
      </c>
      <c r="F1454" s="89">
        <v>985</v>
      </c>
      <c r="G1454" s="78">
        <f t="shared" si="54"/>
        <v>0.89790337283500454</v>
      </c>
      <c r="H1454" s="87" t="s">
        <v>588</v>
      </c>
      <c r="J1454" s="83"/>
      <c r="K1454" s="83"/>
      <c r="L1454" s="83"/>
      <c r="M1454" s="83"/>
      <c r="N1454" s="83"/>
      <c r="O1454" s="83"/>
      <c r="P1454" s="83"/>
      <c r="Q1454" s="83"/>
      <c r="R1454" s="83"/>
      <c r="S1454" s="83"/>
      <c r="T1454" s="83"/>
      <c r="U1454" s="83"/>
      <c r="V1454" s="83"/>
      <c r="W1454" s="83"/>
      <c r="X1454" s="83"/>
      <c r="Y1454" s="83"/>
      <c r="Z1454" s="83"/>
      <c r="AA1454" s="83"/>
      <c r="AB1454" s="83"/>
      <c r="AC1454" s="83"/>
      <c r="AD1454" s="83"/>
      <c r="AE1454" s="83"/>
      <c r="AF1454" s="83"/>
      <c r="AG1454" s="83"/>
      <c r="AH1454" s="83"/>
      <c r="AI1454" s="83"/>
      <c r="AJ1454" s="83"/>
      <c r="AK1454" s="83"/>
      <c r="AL1454" s="83"/>
    </row>
    <row r="1455" spans="1:38" s="206" customFormat="1" ht="24.75" hidden="1" customHeight="1" x14ac:dyDescent="0.2">
      <c r="A1455" s="516"/>
      <c r="B1455" s="173" t="s">
        <v>432</v>
      </c>
      <c r="C1455" s="34" t="s">
        <v>426</v>
      </c>
      <c r="D1455" s="78">
        <v>0.1</v>
      </c>
      <c r="E1455" s="78">
        <v>1</v>
      </c>
      <c r="F1455" s="113">
        <v>1</v>
      </c>
      <c r="G1455" s="78">
        <f t="shared" si="54"/>
        <v>1</v>
      </c>
      <c r="H1455" s="87" t="s">
        <v>593</v>
      </c>
      <c r="J1455" s="83"/>
      <c r="K1455" s="83"/>
      <c r="L1455" s="83"/>
      <c r="M1455" s="83"/>
      <c r="N1455" s="83"/>
      <c r="O1455" s="83"/>
      <c r="P1455" s="83"/>
      <c r="Q1455" s="83"/>
      <c r="R1455" s="83"/>
      <c r="S1455" s="83"/>
      <c r="T1455" s="83"/>
      <c r="U1455" s="83"/>
      <c r="V1455" s="83"/>
      <c r="W1455" s="83"/>
      <c r="X1455" s="83"/>
      <c r="Y1455" s="83"/>
      <c r="Z1455" s="83"/>
      <c r="AA1455" s="83"/>
      <c r="AB1455" s="83"/>
      <c r="AC1455" s="83"/>
      <c r="AD1455" s="83"/>
      <c r="AE1455" s="83"/>
      <c r="AF1455" s="83"/>
      <c r="AG1455" s="83"/>
      <c r="AH1455" s="83"/>
      <c r="AI1455" s="83"/>
      <c r="AJ1455" s="83"/>
      <c r="AK1455" s="83"/>
      <c r="AL1455" s="83"/>
    </row>
    <row r="1456" spans="1:38" s="206" customFormat="1" ht="24.75" hidden="1" customHeight="1" x14ac:dyDescent="0.2">
      <c r="A1456" s="559" t="s">
        <v>132</v>
      </c>
      <c r="B1456" s="173" t="s">
        <v>425</v>
      </c>
      <c r="C1456" s="34" t="s">
        <v>426</v>
      </c>
      <c r="D1456" s="78">
        <v>0.15</v>
      </c>
      <c r="E1456" s="174">
        <v>20</v>
      </c>
      <c r="F1456" s="174">
        <v>20</v>
      </c>
      <c r="G1456" s="78">
        <f t="shared" si="54"/>
        <v>1</v>
      </c>
      <c r="H1456" s="82" t="s">
        <v>599</v>
      </c>
      <c r="J1456" s="83"/>
      <c r="K1456" s="83"/>
      <c r="L1456" s="83"/>
      <c r="M1456" s="83"/>
      <c r="N1456" s="83"/>
      <c r="O1456" s="83"/>
      <c r="P1456" s="83"/>
      <c r="Q1456" s="83"/>
      <c r="R1456" s="83"/>
      <c r="S1456" s="83"/>
      <c r="T1456" s="83"/>
      <c r="U1456" s="83"/>
      <c r="V1456" s="83"/>
      <c r="W1456" s="83"/>
      <c r="X1456" s="83"/>
      <c r="Y1456" s="83"/>
      <c r="Z1456" s="83"/>
      <c r="AA1456" s="83"/>
      <c r="AB1456" s="83"/>
      <c r="AC1456" s="83"/>
      <c r="AD1456" s="83"/>
      <c r="AE1456" s="83"/>
      <c r="AF1456" s="83"/>
      <c r="AG1456" s="83"/>
      <c r="AH1456" s="83"/>
      <c r="AI1456" s="83"/>
      <c r="AJ1456" s="83"/>
      <c r="AK1456" s="83"/>
      <c r="AL1456" s="83"/>
    </row>
    <row r="1457" spans="1:38" s="206" customFormat="1" ht="24.75" hidden="1" customHeight="1" x14ac:dyDescent="0.2">
      <c r="A1457" s="560"/>
      <c r="B1457" s="173" t="s">
        <v>427</v>
      </c>
      <c r="C1457" s="34" t="s">
        <v>426</v>
      </c>
      <c r="D1457" s="78">
        <v>0.15</v>
      </c>
      <c r="E1457" s="89">
        <v>6</v>
      </c>
      <c r="F1457" s="89">
        <v>5.4</v>
      </c>
      <c r="G1457" s="78">
        <f t="shared" si="54"/>
        <v>0.9</v>
      </c>
      <c r="H1457" s="82" t="s">
        <v>601</v>
      </c>
      <c r="J1457" s="83"/>
      <c r="K1457" s="83"/>
      <c r="L1457" s="83"/>
      <c r="M1457" s="83"/>
      <c r="N1457" s="83"/>
      <c r="O1457" s="83"/>
      <c r="P1457" s="83"/>
      <c r="Q1457" s="83"/>
      <c r="R1457" s="83"/>
      <c r="S1457" s="83"/>
      <c r="T1457" s="83"/>
      <c r="U1457" s="83"/>
      <c r="V1457" s="83"/>
      <c r="W1457" s="83"/>
      <c r="X1457" s="83"/>
      <c r="Y1457" s="83"/>
      <c r="Z1457" s="83"/>
      <c r="AA1457" s="83"/>
      <c r="AB1457" s="83"/>
      <c r="AC1457" s="83"/>
      <c r="AD1457" s="83"/>
      <c r="AE1457" s="83"/>
      <c r="AF1457" s="83"/>
      <c r="AG1457" s="83"/>
      <c r="AH1457" s="83"/>
      <c r="AI1457" s="83"/>
      <c r="AJ1457" s="83"/>
      <c r="AK1457" s="83"/>
      <c r="AL1457" s="83"/>
    </row>
    <row r="1458" spans="1:38" s="206" customFormat="1" ht="24.75" hidden="1" customHeight="1" x14ac:dyDescent="0.2">
      <c r="A1458" s="560"/>
      <c r="B1458" s="173" t="s">
        <v>428</v>
      </c>
      <c r="C1458" s="34" t="s">
        <v>426</v>
      </c>
      <c r="D1458" s="78">
        <v>0.15</v>
      </c>
      <c r="E1458" s="89">
        <v>2</v>
      </c>
      <c r="F1458" s="89">
        <v>1.87</v>
      </c>
      <c r="G1458" s="78">
        <f t="shared" si="54"/>
        <v>0.93500000000000005</v>
      </c>
      <c r="H1458" s="82" t="s">
        <v>602</v>
      </c>
      <c r="J1458" s="83"/>
      <c r="K1458" s="83"/>
      <c r="L1458" s="83"/>
      <c r="M1458" s="83"/>
      <c r="N1458" s="83"/>
      <c r="O1458" s="83"/>
      <c r="P1458" s="83"/>
      <c r="Q1458" s="83"/>
      <c r="R1458" s="83"/>
      <c r="S1458" s="83"/>
      <c r="T1458" s="83"/>
      <c r="U1458" s="83"/>
      <c r="V1458" s="83"/>
      <c r="W1458" s="83"/>
      <c r="X1458" s="83"/>
      <c r="Y1458" s="83"/>
      <c r="Z1458" s="83"/>
      <c r="AA1458" s="83"/>
      <c r="AB1458" s="83"/>
      <c r="AC1458" s="83"/>
      <c r="AD1458" s="83"/>
      <c r="AE1458" s="83"/>
      <c r="AF1458" s="83"/>
      <c r="AG1458" s="83"/>
      <c r="AH1458" s="83"/>
      <c r="AI1458" s="83"/>
      <c r="AJ1458" s="83"/>
      <c r="AK1458" s="83"/>
      <c r="AL1458" s="83"/>
    </row>
    <row r="1459" spans="1:38" s="206" customFormat="1" ht="24.75" hidden="1" customHeight="1" x14ac:dyDescent="0.2">
      <c r="A1459" s="560"/>
      <c r="B1459" s="173" t="s">
        <v>429</v>
      </c>
      <c r="C1459" s="34" t="s">
        <v>426</v>
      </c>
      <c r="D1459" s="78">
        <v>0.15</v>
      </c>
      <c r="E1459" s="174">
        <v>1072</v>
      </c>
      <c r="F1459" s="89">
        <v>1139</v>
      </c>
      <c r="G1459" s="78">
        <f t="shared" si="54"/>
        <v>1.0625</v>
      </c>
      <c r="H1459" s="82" t="s">
        <v>595</v>
      </c>
      <c r="J1459" s="83"/>
      <c r="K1459" s="83"/>
      <c r="L1459" s="83"/>
      <c r="M1459" s="83"/>
      <c r="N1459" s="83"/>
      <c r="O1459" s="83"/>
      <c r="P1459" s="83"/>
      <c r="Q1459" s="83"/>
      <c r="R1459" s="83"/>
      <c r="S1459" s="83"/>
      <c r="T1459" s="83"/>
      <c r="U1459" s="83"/>
      <c r="V1459" s="83"/>
      <c r="W1459" s="83"/>
      <c r="X1459" s="83"/>
      <c r="Y1459" s="83"/>
      <c r="Z1459" s="83"/>
      <c r="AA1459" s="83"/>
      <c r="AB1459" s="83"/>
      <c r="AC1459" s="83"/>
      <c r="AD1459" s="83"/>
      <c r="AE1459" s="83"/>
      <c r="AF1459" s="83"/>
      <c r="AG1459" s="83"/>
      <c r="AH1459" s="83"/>
      <c r="AI1459" s="83"/>
      <c r="AJ1459" s="83"/>
      <c r="AK1459" s="83"/>
      <c r="AL1459" s="83"/>
    </row>
    <row r="1460" spans="1:38" s="206" customFormat="1" ht="24.75" hidden="1" customHeight="1" x14ac:dyDescent="0.2">
      <c r="A1460" s="560"/>
      <c r="B1460" s="173" t="s">
        <v>430</v>
      </c>
      <c r="C1460" s="34" t="s">
        <v>426</v>
      </c>
      <c r="D1460" s="78">
        <v>0.15</v>
      </c>
      <c r="E1460" s="89">
        <v>1</v>
      </c>
      <c r="F1460" s="89">
        <v>1</v>
      </c>
      <c r="G1460" s="78">
        <f t="shared" si="54"/>
        <v>1</v>
      </c>
      <c r="H1460" s="82" t="s">
        <v>597</v>
      </c>
      <c r="J1460" s="83"/>
      <c r="K1460" s="83"/>
      <c r="L1460" s="83"/>
      <c r="M1460" s="83"/>
      <c r="N1460" s="83"/>
      <c r="O1460" s="83"/>
      <c r="P1460" s="83"/>
      <c r="Q1460" s="83"/>
      <c r="R1460" s="83"/>
      <c r="S1460" s="83"/>
      <c r="T1460" s="83"/>
      <c r="U1460" s="83"/>
      <c r="V1460" s="83"/>
      <c r="W1460" s="83"/>
      <c r="X1460" s="83"/>
      <c r="Y1460" s="83"/>
      <c r="Z1460" s="83"/>
      <c r="AA1460" s="83"/>
      <c r="AB1460" s="83"/>
      <c r="AC1460" s="83"/>
      <c r="AD1460" s="83"/>
      <c r="AE1460" s="83"/>
      <c r="AF1460" s="83"/>
      <c r="AG1460" s="83"/>
      <c r="AH1460" s="83"/>
      <c r="AI1460" s="83"/>
      <c r="AJ1460" s="83"/>
      <c r="AK1460" s="83"/>
      <c r="AL1460" s="83"/>
    </row>
    <row r="1461" spans="1:38" s="206" customFormat="1" ht="24.75" hidden="1" customHeight="1" x14ac:dyDescent="0.2">
      <c r="A1461" s="560"/>
      <c r="B1461" s="173" t="s">
        <v>431</v>
      </c>
      <c r="C1461" s="34" t="s">
        <v>426</v>
      </c>
      <c r="D1461" s="78">
        <v>0.15</v>
      </c>
      <c r="E1461" s="89">
        <v>1097</v>
      </c>
      <c r="F1461" s="89">
        <v>1079</v>
      </c>
      <c r="G1461" s="78">
        <f t="shared" si="54"/>
        <v>0.98359161349134006</v>
      </c>
      <c r="H1461" s="82" t="s">
        <v>596</v>
      </c>
      <c r="J1461" s="83"/>
      <c r="K1461" s="83"/>
      <c r="L1461" s="83"/>
      <c r="M1461" s="83"/>
      <c r="N1461" s="83"/>
      <c r="O1461" s="83"/>
      <c r="P1461" s="83"/>
      <c r="Q1461" s="83"/>
      <c r="R1461" s="83"/>
      <c r="S1461" s="83"/>
      <c r="T1461" s="83"/>
      <c r="U1461" s="83"/>
      <c r="V1461" s="83"/>
      <c r="W1461" s="83"/>
      <c r="X1461" s="83"/>
      <c r="Y1461" s="83"/>
      <c r="Z1461" s="83"/>
      <c r="AA1461" s="83"/>
      <c r="AB1461" s="83"/>
      <c r="AC1461" s="83"/>
      <c r="AD1461" s="83"/>
      <c r="AE1461" s="83"/>
      <c r="AF1461" s="83"/>
      <c r="AG1461" s="83"/>
      <c r="AH1461" s="83"/>
      <c r="AI1461" s="83"/>
      <c r="AJ1461" s="83"/>
      <c r="AK1461" s="83"/>
      <c r="AL1461" s="83"/>
    </row>
    <row r="1462" spans="1:38" s="206" customFormat="1" ht="24.75" hidden="1" customHeight="1" x14ac:dyDescent="0.2">
      <c r="A1462" s="516"/>
      <c r="B1462" s="173" t="s">
        <v>432</v>
      </c>
      <c r="C1462" s="34" t="s">
        <v>426</v>
      </c>
      <c r="D1462" s="78">
        <v>0.1</v>
      </c>
      <c r="E1462" s="78">
        <v>1</v>
      </c>
      <c r="F1462" s="113">
        <v>1</v>
      </c>
      <c r="G1462" s="78">
        <f t="shared" si="54"/>
        <v>1</v>
      </c>
      <c r="H1462" s="82" t="s">
        <v>598</v>
      </c>
      <c r="J1462" s="83"/>
      <c r="K1462" s="83"/>
      <c r="L1462" s="83"/>
      <c r="M1462" s="83"/>
      <c r="N1462" s="83"/>
      <c r="O1462" s="83"/>
      <c r="P1462" s="83"/>
      <c r="Q1462" s="83"/>
      <c r="R1462" s="83"/>
      <c r="S1462" s="83"/>
      <c r="T1462" s="83"/>
      <c r="U1462" s="83"/>
      <c r="V1462" s="83"/>
      <c r="W1462" s="83"/>
      <c r="X1462" s="83"/>
      <c r="Y1462" s="83"/>
      <c r="Z1462" s="83"/>
      <c r="AA1462" s="83"/>
      <c r="AB1462" s="83"/>
      <c r="AC1462" s="83"/>
      <c r="AD1462" s="83"/>
      <c r="AE1462" s="83"/>
      <c r="AF1462" s="83"/>
      <c r="AG1462" s="83"/>
      <c r="AH1462" s="83"/>
      <c r="AI1462" s="83"/>
      <c r="AJ1462" s="83"/>
      <c r="AK1462" s="83"/>
      <c r="AL1462" s="83"/>
    </row>
    <row r="1463" spans="1:38" s="206" customFormat="1" ht="24.75" hidden="1" customHeight="1" x14ac:dyDescent="0.2">
      <c r="A1463" s="559" t="s">
        <v>133</v>
      </c>
      <c r="B1463" s="173" t="s">
        <v>425</v>
      </c>
      <c r="C1463" s="34" t="s">
        <v>426</v>
      </c>
      <c r="D1463" s="78">
        <v>0.15</v>
      </c>
      <c r="E1463" s="174">
        <v>20</v>
      </c>
      <c r="F1463" s="174">
        <v>20</v>
      </c>
      <c r="G1463" s="78">
        <f t="shared" si="54"/>
        <v>1</v>
      </c>
      <c r="H1463" s="82" t="s">
        <v>609</v>
      </c>
      <c r="J1463" s="83"/>
      <c r="K1463" s="83"/>
      <c r="L1463" s="83"/>
      <c r="M1463" s="83"/>
      <c r="N1463" s="83"/>
      <c r="O1463" s="83"/>
      <c r="P1463" s="83"/>
      <c r="Q1463" s="83"/>
      <c r="R1463" s="83"/>
      <c r="S1463" s="83"/>
      <c r="T1463" s="83"/>
      <c r="U1463" s="83"/>
      <c r="V1463" s="83"/>
      <c r="W1463" s="83"/>
      <c r="X1463" s="83"/>
      <c r="Y1463" s="83"/>
      <c r="Z1463" s="83"/>
      <c r="AA1463" s="83"/>
      <c r="AB1463" s="83"/>
      <c r="AC1463" s="83"/>
      <c r="AD1463" s="83"/>
      <c r="AE1463" s="83"/>
      <c r="AF1463" s="83"/>
      <c r="AG1463" s="83"/>
      <c r="AH1463" s="83"/>
      <c r="AI1463" s="83"/>
      <c r="AJ1463" s="83"/>
      <c r="AK1463" s="83"/>
      <c r="AL1463" s="83"/>
    </row>
    <row r="1464" spans="1:38" s="206" customFormat="1" ht="24.75" hidden="1" customHeight="1" x14ac:dyDescent="0.2">
      <c r="A1464" s="560"/>
      <c r="B1464" s="173" t="s">
        <v>427</v>
      </c>
      <c r="C1464" s="34" t="s">
        <v>426</v>
      </c>
      <c r="D1464" s="78">
        <v>0.15</v>
      </c>
      <c r="E1464" s="89">
        <v>6</v>
      </c>
      <c r="F1464" s="89">
        <v>6</v>
      </c>
      <c r="G1464" s="78">
        <f t="shared" si="54"/>
        <v>1</v>
      </c>
      <c r="H1464" s="82" t="s">
        <v>607</v>
      </c>
      <c r="J1464" s="83"/>
      <c r="K1464" s="83"/>
      <c r="L1464" s="83"/>
      <c r="M1464" s="83"/>
      <c r="N1464" s="83"/>
      <c r="O1464" s="83"/>
      <c r="P1464" s="83"/>
      <c r="Q1464" s="83"/>
      <c r="R1464" s="83"/>
      <c r="S1464" s="83"/>
      <c r="T1464" s="83"/>
      <c r="U1464" s="83"/>
      <c r="V1464" s="83"/>
      <c r="W1464" s="83"/>
      <c r="X1464" s="83"/>
      <c r="Y1464" s="83"/>
      <c r="Z1464" s="83"/>
      <c r="AA1464" s="83"/>
      <c r="AB1464" s="83"/>
      <c r="AC1464" s="83"/>
      <c r="AD1464" s="83"/>
      <c r="AE1464" s="83"/>
      <c r="AF1464" s="83"/>
      <c r="AG1464" s="83"/>
      <c r="AH1464" s="83"/>
      <c r="AI1464" s="83"/>
      <c r="AJ1464" s="83"/>
      <c r="AK1464" s="83"/>
      <c r="AL1464" s="83"/>
    </row>
    <row r="1465" spans="1:38" s="206" customFormat="1" ht="24.75" hidden="1" customHeight="1" x14ac:dyDescent="0.2">
      <c r="A1465" s="560"/>
      <c r="B1465" s="173" t="s">
        <v>428</v>
      </c>
      <c r="C1465" s="34" t="s">
        <v>426</v>
      </c>
      <c r="D1465" s="78">
        <v>0.15</v>
      </c>
      <c r="E1465" s="89">
        <v>2</v>
      </c>
      <c r="F1465" s="89">
        <v>2</v>
      </c>
      <c r="G1465" s="78">
        <f t="shared" si="54"/>
        <v>1</v>
      </c>
      <c r="H1465" s="82" t="s">
        <v>603</v>
      </c>
      <c r="J1465" s="83"/>
      <c r="K1465" s="83"/>
      <c r="L1465" s="83"/>
      <c r="M1465" s="83"/>
      <c r="N1465" s="83"/>
      <c r="O1465" s="83"/>
      <c r="P1465" s="83"/>
      <c r="Q1465" s="83"/>
      <c r="R1465" s="83"/>
      <c r="S1465" s="83"/>
      <c r="T1465" s="83"/>
      <c r="U1465" s="83"/>
      <c r="V1465" s="83"/>
      <c r="W1465" s="83"/>
      <c r="X1465" s="83"/>
      <c r="Y1465" s="83"/>
      <c r="Z1465" s="83"/>
      <c r="AA1465" s="83"/>
      <c r="AB1465" s="83"/>
      <c r="AC1465" s="83"/>
      <c r="AD1465" s="83"/>
      <c r="AE1465" s="83"/>
      <c r="AF1465" s="83"/>
      <c r="AG1465" s="83"/>
      <c r="AH1465" s="83"/>
      <c r="AI1465" s="83"/>
      <c r="AJ1465" s="83"/>
      <c r="AK1465" s="83"/>
      <c r="AL1465" s="83"/>
    </row>
    <row r="1466" spans="1:38" s="206" customFormat="1" ht="24.75" hidden="1" customHeight="1" x14ac:dyDescent="0.2">
      <c r="A1466" s="560"/>
      <c r="B1466" s="173" t="s">
        <v>429</v>
      </c>
      <c r="C1466" s="34" t="s">
        <v>426</v>
      </c>
      <c r="D1466" s="78">
        <v>0.15</v>
      </c>
      <c r="E1466" s="174">
        <v>1072</v>
      </c>
      <c r="F1466" s="89">
        <v>1202</v>
      </c>
      <c r="G1466" s="78">
        <f t="shared" si="54"/>
        <v>1.1212686567164178</v>
      </c>
      <c r="H1466" s="82" t="s">
        <v>604</v>
      </c>
      <c r="J1466" s="83"/>
      <c r="K1466" s="83"/>
      <c r="L1466" s="83"/>
      <c r="M1466" s="83"/>
      <c r="N1466" s="83"/>
      <c r="O1466" s="83"/>
      <c r="P1466" s="83"/>
      <c r="Q1466" s="83"/>
      <c r="R1466" s="83"/>
      <c r="S1466" s="83"/>
      <c r="T1466" s="83"/>
      <c r="U1466" s="83"/>
      <c r="V1466" s="83"/>
      <c r="W1466" s="83"/>
      <c r="X1466" s="83"/>
      <c r="Y1466" s="83"/>
      <c r="Z1466" s="83"/>
      <c r="AA1466" s="83"/>
      <c r="AB1466" s="83"/>
      <c r="AC1466" s="83"/>
      <c r="AD1466" s="83"/>
      <c r="AE1466" s="83"/>
      <c r="AF1466" s="83"/>
      <c r="AG1466" s="83"/>
      <c r="AH1466" s="83"/>
      <c r="AI1466" s="83"/>
      <c r="AJ1466" s="83"/>
      <c r="AK1466" s="83"/>
      <c r="AL1466" s="83"/>
    </row>
    <row r="1467" spans="1:38" s="206" customFormat="1" ht="24.75" hidden="1" customHeight="1" x14ac:dyDescent="0.2">
      <c r="A1467" s="560"/>
      <c r="B1467" s="173" t="s">
        <v>430</v>
      </c>
      <c r="C1467" s="34" t="s">
        <v>426</v>
      </c>
      <c r="D1467" s="78">
        <v>0.15</v>
      </c>
      <c r="E1467" s="89">
        <v>1</v>
      </c>
      <c r="F1467" s="89">
        <v>1</v>
      </c>
      <c r="G1467" s="78">
        <f t="shared" si="54"/>
        <v>1</v>
      </c>
      <c r="H1467" s="82" t="s">
        <v>606</v>
      </c>
      <c r="J1467" s="83"/>
      <c r="K1467" s="83"/>
      <c r="L1467" s="83"/>
      <c r="M1467" s="83"/>
      <c r="N1467" s="83"/>
      <c r="O1467" s="83"/>
      <c r="P1467" s="83"/>
      <c r="Q1467" s="83"/>
      <c r="R1467" s="83"/>
      <c r="S1467" s="83"/>
      <c r="T1467" s="83"/>
      <c r="U1467" s="83"/>
      <c r="V1467" s="83"/>
      <c r="W1467" s="83"/>
      <c r="X1467" s="83"/>
      <c r="Y1467" s="83"/>
      <c r="Z1467" s="83"/>
      <c r="AA1467" s="83"/>
      <c r="AB1467" s="83"/>
      <c r="AC1467" s="83"/>
      <c r="AD1467" s="83"/>
      <c r="AE1467" s="83"/>
      <c r="AF1467" s="83"/>
      <c r="AG1467" s="83"/>
      <c r="AH1467" s="83"/>
      <c r="AI1467" s="83"/>
      <c r="AJ1467" s="83"/>
      <c r="AK1467" s="83"/>
      <c r="AL1467" s="83"/>
    </row>
    <row r="1468" spans="1:38" s="206" customFormat="1" ht="24.75" hidden="1" customHeight="1" x14ac:dyDescent="0.2">
      <c r="A1468" s="560"/>
      <c r="B1468" s="173" t="s">
        <v>431</v>
      </c>
      <c r="C1468" s="34" t="s">
        <v>426</v>
      </c>
      <c r="D1468" s="78">
        <v>0.15</v>
      </c>
      <c r="E1468" s="89">
        <v>1097</v>
      </c>
      <c r="F1468" s="89">
        <v>1234</v>
      </c>
      <c r="G1468" s="78">
        <f t="shared" si="54"/>
        <v>1.1248860528714677</v>
      </c>
      <c r="H1468" s="82" t="s">
        <v>605</v>
      </c>
      <c r="J1468" s="83"/>
      <c r="K1468" s="83"/>
      <c r="L1468" s="83"/>
      <c r="M1468" s="83"/>
      <c r="N1468" s="83"/>
      <c r="O1468" s="83"/>
      <c r="P1468" s="83"/>
      <c r="Q1468" s="83"/>
      <c r="R1468" s="83"/>
      <c r="S1468" s="83"/>
      <c r="T1468" s="83"/>
      <c r="U1468" s="83"/>
      <c r="V1468" s="83"/>
      <c r="W1468" s="83"/>
      <c r="X1468" s="83"/>
      <c r="Y1468" s="83"/>
      <c r="Z1468" s="83"/>
      <c r="AA1468" s="83"/>
      <c r="AB1468" s="83"/>
      <c r="AC1468" s="83"/>
      <c r="AD1468" s="83"/>
      <c r="AE1468" s="83"/>
      <c r="AF1468" s="83"/>
      <c r="AG1468" s="83"/>
      <c r="AH1468" s="83"/>
      <c r="AI1468" s="83"/>
      <c r="AJ1468" s="83"/>
      <c r="AK1468" s="83"/>
      <c r="AL1468" s="83"/>
    </row>
    <row r="1469" spans="1:38" s="206" customFormat="1" ht="24.75" hidden="1" customHeight="1" x14ac:dyDescent="0.2">
      <c r="A1469" s="516"/>
      <c r="B1469" s="173" t="s">
        <v>432</v>
      </c>
      <c r="C1469" s="34" t="s">
        <v>426</v>
      </c>
      <c r="D1469" s="78">
        <v>0.1</v>
      </c>
      <c r="E1469" s="78">
        <v>1</v>
      </c>
      <c r="F1469" s="113">
        <v>1</v>
      </c>
      <c r="G1469" s="78">
        <f t="shared" si="54"/>
        <v>1</v>
      </c>
      <c r="H1469" s="82" t="s">
        <v>608</v>
      </c>
      <c r="J1469" s="83"/>
      <c r="K1469" s="83"/>
      <c r="L1469" s="83"/>
      <c r="M1469" s="83"/>
      <c r="N1469" s="83"/>
      <c r="O1469" s="83"/>
      <c r="P1469" s="83"/>
      <c r="Q1469" s="83"/>
      <c r="R1469" s="83"/>
      <c r="S1469" s="83"/>
      <c r="T1469" s="83"/>
      <c r="U1469" s="83"/>
      <c r="V1469" s="83"/>
      <c r="W1469" s="83"/>
      <c r="X1469" s="83"/>
      <c r="Y1469" s="83"/>
      <c r="Z1469" s="83"/>
      <c r="AA1469" s="83"/>
      <c r="AB1469" s="83"/>
      <c r="AC1469" s="83"/>
      <c r="AD1469" s="83"/>
      <c r="AE1469" s="83"/>
      <c r="AF1469" s="83"/>
      <c r="AG1469" s="83"/>
      <c r="AH1469" s="83"/>
      <c r="AI1469" s="83"/>
      <c r="AJ1469" s="83"/>
      <c r="AK1469" s="83"/>
      <c r="AL1469" s="83"/>
    </row>
    <row r="1471" spans="1:38" s="206" customFormat="1" ht="24.75" customHeight="1" x14ac:dyDescent="0.2">
      <c r="A1471" s="561" t="s">
        <v>183</v>
      </c>
      <c r="B1471" s="562"/>
      <c r="C1471" s="562"/>
      <c r="D1471" s="562"/>
      <c r="E1471" s="562"/>
      <c r="F1471" s="562"/>
      <c r="G1471" s="562"/>
      <c r="H1471" s="563"/>
      <c r="J1471" s="83"/>
      <c r="K1471" s="83"/>
      <c r="L1471" s="83"/>
      <c r="M1471" s="83"/>
      <c r="N1471" s="83"/>
      <c r="O1471" s="83"/>
      <c r="P1471" s="83"/>
      <c r="Q1471" s="83"/>
      <c r="R1471" s="83"/>
      <c r="S1471" s="83"/>
      <c r="T1471" s="83"/>
      <c r="U1471" s="83"/>
      <c r="V1471" s="83"/>
      <c r="W1471" s="83"/>
      <c r="X1471" s="83"/>
      <c r="Y1471" s="83"/>
      <c r="Z1471" s="83"/>
      <c r="AA1471" s="83"/>
      <c r="AB1471" s="83"/>
      <c r="AC1471" s="83"/>
      <c r="AD1471" s="83"/>
      <c r="AE1471" s="83"/>
      <c r="AF1471" s="83"/>
      <c r="AG1471" s="83"/>
      <c r="AH1471" s="83"/>
      <c r="AI1471" s="83"/>
      <c r="AJ1471" s="83"/>
      <c r="AK1471" s="83"/>
      <c r="AL1471" s="83"/>
    </row>
    <row r="1472" spans="1:38" s="206" customFormat="1" ht="24.75" customHeight="1" x14ac:dyDescent="0.2">
      <c r="A1472" s="74" t="s">
        <v>62</v>
      </c>
      <c r="B1472" s="29" t="s">
        <v>175</v>
      </c>
      <c r="C1472" s="205" t="s">
        <v>147</v>
      </c>
      <c r="D1472" s="205" t="s">
        <v>161</v>
      </c>
      <c r="E1472" s="205" t="s">
        <v>184</v>
      </c>
      <c r="F1472" s="205" t="s">
        <v>185</v>
      </c>
      <c r="G1472" s="205" t="s">
        <v>186</v>
      </c>
      <c r="H1472" s="29" t="s">
        <v>167</v>
      </c>
      <c r="J1472" s="83"/>
      <c r="K1472" s="83"/>
      <c r="L1472" s="83"/>
      <c r="M1472" s="83"/>
      <c r="N1472" s="83"/>
      <c r="O1472" s="83"/>
      <c r="P1472" s="83"/>
      <c r="Q1472" s="83"/>
      <c r="R1472" s="83"/>
      <c r="S1472" s="83"/>
      <c r="T1472" s="83"/>
      <c r="U1472" s="83"/>
      <c r="V1472" s="83"/>
      <c r="W1472" s="83"/>
      <c r="X1472" s="83"/>
      <c r="Y1472" s="83"/>
      <c r="Z1472" s="83"/>
      <c r="AA1472" s="83"/>
      <c r="AB1472" s="83"/>
      <c r="AC1472" s="83"/>
      <c r="AD1472" s="83"/>
      <c r="AE1472" s="83"/>
      <c r="AF1472" s="83"/>
      <c r="AG1472" s="83"/>
      <c r="AH1472" s="83"/>
      <c r="AI1472" s="83"/>
      <c r="AJ1472" s="83"/>
      <c r="AK1472" s="83"/>
      <c r="AL1472" s="83"/>
    </row>
    <row r="1473" spans="1:38" s="206" customFormat="1" ht="24.75" hidden="1" customHeight="1" x14ac:dyDescent="0.2">
      <c r="A1473" s="559" t="s">
        <v>135</v>
      </c>
      <c r="B1473" s="173" t="s">
        <v>425</v>
      </c>
      <c r="C1473" s="34" t="s">
        <v>426</v>
      </c>
      <c r="D1473" s="184">
        <v>0.15</v>
      </c>
      <c r="E1473" s="174">
        <v>20</v>
      </c>
      <c r="F1473" s="174">
        <v>20</v>
      </c>
      <c r="G1473" s="185">
        <f t="shared" ref="G1473:G1500" si="55">F1473/E1473</f>
        <v>1</v>
      </c>
      <c r="H1473" s="82" t="s">
        <v>609</v>
      </c>
      <c r="J1473" s="83"/>
      <c r="K1473" s="83"/>
      <c r="L1473" s="83"/>
      <c r="M1473" s="83"/>
      <c r="N1473" s="83"/>
      <c r="O1473" s="83"/>
      <c r="P1473" s="83"/>
      <c r="Q1473" s="83"/>
      <c r="R1473" s="83"/>
      <c r="S1473" s="83"/>
      <c r="T1473" s="83"/>
      <c r="U1473" s="83"/>
      <c r="V1473" s="83"/>
      <c r="W1473" s="83"/>
      <c r="X1473" s="83"/>
      <c r="Y1473" s="83"/>
      <c r="Z1473" s="83"/>
      <c r="AA1473" s="83"/>
      <c r="AB1473" s="83"/>
      <c r="AC1473" s="83"/>
      <c r="AD1473" s="83"/>
      <c r="AE1473" s="83"/>
      <c r="AF1473" s="83"/>
      <c r="AG1473" s="83"/>
      <c r="AH1473" s="83"/>
      <c r="AI1473" s="83"/>
      <c r="AJ1473" s="83"/>
      <c r="AK1473" s="83"/>
      <c r="AL1473" s="83"/>
    </row>
    <row r="1474" spans="1:38" s="206" customFormat="1" ht="24.75" hidden="1" customHeight="1" x14ac:dyDescent="0.2">
      <c r="A1474" s="560"/>
      <c r="B1474" s="173" t="s">
        <v>427</v>
      </c>
      <c r="C1474" s="34" t="s">
        <v>426</v>
      </c>
      <c r="D1474" s="184">
        <v>0.15</v>
      </c>
      <c r="E1474" s="89">
        <v>7</v>
      </c>
      <c r="F1474" s="89">
        <v>2.2999999999999998</v>
      </c>
      <c r="G1474" s="185">
        <f t="shared" si="55"/>
        <v>0.32857142857142857</v>
      </c>
      <c r="H1474" s="82" t="s">
        <v>607</v>
      </c>
      <c r="J1474" s="83"/>
      <c r="K1474" s="83"/>
      <c r="L1474" s="83"/>
      <c r="M1474" s="83"/>
      <c r="N1474" s="83"/>
      <c r="O1474" s="83"/>
      <c r="P1474" s="83"/>
      <c r="Q1474" s="83"/>
      <c r="R1474" s="83"/>
      <c r="S1474" s="83"/>
      <c r="T1474" s="83"/>
      <c r="U1474" s="83"/>
      <c r="V1474" s="83"/>
      <c r="W1474" s="83"/>
      <c r="X1474" s="83"/>
      <c r="Y1474" s="83"/>
      <c r="Z1474" s="83"/>
      <c r="AA1474" s="83"/>
      <c r="AB1474" s="83"/>
      <c r="AC1474" s="83"/>
      <c r="AD1474" s="83"/>
      <c r="AE1474" s="83"/>
      <c r="AF1474" s="83"/>
      <c r="AG1474" s="83"/>
      <c r="AH1474" s="83"/>
      <c r="AI1474" s="83"/>
      <c r="AJ1474" s="83"/>
      <c r="AK1474" s="83"/>
      <c r="AL1474" s="83"/>
    </row>
    <row r="1475" spans="1:38" s="206" customFormat="1" ht="24.75" hidden="1" customHeight="1" x14ac:dyDescent="0.2">
      <c r="A1475" s="560"/>
      <c r="B1475" s="173" t="s">
        <v>428</v>
      </c>
      <c r="C1475" s="34" t="s">
        <v>426</v>
      </c>
      <c r="D1475" s="184">
        <v>0.15</v>
      </c>
      <c r="E1475" s="89">
        <v>2</v>
      </c>
      <c r="F1475" s="89">
        <v>0.82000000000000006</v>
      </c>
      <c r="G1475" s="185">
        <f t="shared" si="55"/>
        <v>0.41000000000000003</v>
      </c>
      <c r="H1475" s="82" t="s">
        <v>603</v>
      </c>
      <c r="J1475" s="83"/>
      <c r="K1475" s="83"/>
      <c r="L1475" s="83"/>
      <c r="M1475" s="83"/>
      <c r="N1475" s="83"/>
      <c r="O1475" s="83"/>
      <c r="P1475" s="83"/>
      <c r="Q1475" s="83"/>
      <c r="R1475" s="83"/>
      <c r="S1475" s="83"/>
      <c r="T1475" s="83"/>
      <c r="U1475" s="83"/>
      <c r="V1475" s="83"/>
      <c r="W1475" s="83"/>
      <c r="X1475" s="83"/>
      <c r="Y1475" s="83"/>
      <c r="Z1475" s="83"/>
      <c r="AA1475" s="83"/>
      <c r="AB1475" s="83"/>
      <c r="AC1475" s="83"/>
      <c r="AD1475" s="83"/>
      <c r="AE1475" s="83"/>
      <c r="AF1475" s="83"/>
      <c r="AG1475" s="83"/>
      <c r="AH1475" s="83"/>
      <c r="AI1475" s="83"/>
      <c r="AJ1475" s="83"/>
      <c r="AK1475" s="83"/>
      <c r="AL1475" s="83"/>
    </row>
    <row r="1476" spans="1:38" s="206" customFormat="1" ht="24.75" hidden="1" customHeight="1" x14ac:dyDescent="0.2">
      <c r="A1476" s="560"/>
      <c r="B1476" s="173" t="s">
        <v>429</v>
      </c>
      <c r="C1476" s="34" t="s">
        <v>426</v>
      </c>
      <c r="D1476" s="184">
        <v>0.15</v>
      </c>
      <c r="E1476" s="90">
        <v>1385</v>
      </c>
      <c r="F1476" s="89">
        <v>48</v>
      </c>
      <c r="G1476" s="185">
        <f t="shared" si="55"/>
        <v>3.4657039711191336E-2</v>
      </c>
      <c r="H1476" s="82" t="s">
        <v>604</v>
      </c>
      <c r="J1476" s="83"/>
      <c r="K1476" s="83"/>
      <c r="L1476" s="83"/>
      <c r="M1476" s="83"/>
      <c r="N1476" s="83"/>
      <c r="O1476" s="83"/>
      <c r="P1476" s="83"/>
      <c r="Q1476" s="83"/>
      <c r="R1476" s="83"/>
      <c r="S1476" s="83"/>
      <c r="T1476" s="83"/>
      <c r="U1476" s="83"/>
      <c r="V1476" s="83"/>
      <c r="W1476" s="83"/>
      <c r="X1476" s="83"/>
      <c r="Y1476" s="83"/>
      <c r="Z1476" s="83"/>
      <c r="AA1476" s="83"/>
      <c r="AB1476" s="83"/>
      <c r="AC1476" s="83"/>
      <c r="AD1476" s="83"/>
      <c r="AE1476" s="83"/>
      <c r="AF1476" s="83"/>
      <c r="AG1476" s="83"/>
      <c r="AH1476" s="83"/>
      <c r="AI1476" s="83"/>
      <c r="AJ1476" s="83"/>
      <c r="AK1476" s="83"/>
      <c r="AL1476" s="83"/>
    </row>
    <row r="1477" spans="1:38" s="206" customFormat="1" ht="24.75" hidden="1" customHeight="1" x14ac:dyDescent="0.2">
      <c r="A1477" s="560"/>
      <c r="B1477" s="173" t="s">
        <v>430</v>
      </c>
      <c r="C1477" s="34" t="s">
        <v>426</v>
      </c>
      <c r="D1477" s="184">
        <v>0.15</v>
      </c>
      <c r="E1477" s="89">
        <v>1</v>
      </c>
      <c r="F1477" s="89">
        <v>1</v>
      </c>
      <c r="G1477" s="185">
        <f t="shared" si="55"/>
        <v>1</v>
      </c>
      <c r="H1477" s="82" t="s">
        <v>606</v>
      </c>
      <c r="J1477" s="83"/>
      <c r="K1477" s="83"/>
      <c r="L1477" s="83"/>
      <c r="M1477" s="83"/>
      <c r="N1477" s="83"/>
      <c r="O1477" s="83"/>
      <c r="P1477" s="83"/>
      <c r="Q1477" s="83"/>
      <c r="R1477" s="83"/>
      <c r="S1477" s="83"/>
      <c r="T1477" s="83"/>
      <c r="U1477" s="83"/>
      <c r="V1477" s="83"/>
      <c r="W1477" s="83"/>
      <c r="X1477" s="83"/>
      <c r="Y1477" s="83"/>
      <c r="Z1477" s="83"/>
      <c r="AA1477" s="83"/>
      <c r="AB1477" s="83"/>
      <c r="AC1477" s="83"/>
      <c r="AD1477" s="83"/>
      <c r="AE1477" s="83"/>
      <c r="AF1477" s="83"/>
      <c r="AG1477" s="83"/>
      <c r="AH1477" s="83"/>
      <c r="AI1477" s="83"/>
      <c r="AJ1477" s="83"/>
      <c r="AK1477" s="83"/>
      <c r="AL1477" s="83"/>
    </row>
    <row r="1478" spans="1:38" s="206" customFormat="1" ht="24.75" hidden="1" customHeight="1" x14ac:dyDescent="0.2">
      <c r="A1478" s="560"/>
      <c r="B1478" s="173" t="s">
        <v>431</v>
      </c>
      <c r="C1478" s="34" t="s">
        <v>426</v>
      </c>
      <c r="D1478" s="184">
        <v>0.15</v>
      </c>
      <c r="E1478" s="90">
        <v>370</v>
      </c>
      <c r="F1478" s="89">
        <v>179</v>
      </c>
      <c r="G1478" s="185">
        <f t="shared" si="55"/>
        <v>0.48378378378378378</v>
      </c>
      <c r="H1478" s="82" t="s">
        <v>605</v>
      </c>
      <c r="J1478" s="83"/>
      <c r="K1478" s="83"/>
      <c r="L1478" s="83"/>
      <c r="M1478" s="83"/>
      <c r="N1478" s="83"/>
      <c r="O1478" s="83"/>
      <c r="P1478" s="83"/>
      <c r="Q1478" s="83"/>
      <c r="R1478" s="83"/>
      <c r="S1478" s="83"/>
      <c r="T1478" s="83"/>
      <c r="U1478" s="83"/>
      <c r="V1478" s="83"/>
      <c r="W1478" s="83"/>
      <c r="X1478" s="83"/>
      <c r="Y1478" s="83"/>
      <c r="Z1478" s="83"/>
      <c r="AA1478" s="83"/>
      <c r="AB1478" s="83"/>
      <c r="AC1478" s="83"/>
      <c r="AD1478" s="83"/>
      <c r="AE1478" s="83"/>
      <c r="AF1478" s="83"/>
      <c r="AG1478" s="83"/>
      <c r="AH1478" s="83"/>
      <c r="AI1478" s="83"/>
      <c r="AJ1478" s="83"/>
      <c r="AK1478" s="83"/>
      <c r="AL1478" s="83"/>
    </row>
    <row r="1479" spans="1:38" s="206" customFormat="1" ht="24.75" hidden="1" customHeight="1" x14ac:dyDescent="0.2">
      <c r="A1479" s="516"/>
      <c r="B1479" s="173" t="s">
        <v>432</v>
      </c>
      <c r="C1479" s="34" t="s">
        <v>426</v>
      </c>
      <c r="D1479" s="184">
        <v>0.1</v>
      </c>
      <c r="E1479" s="184">
        <v>1</v>
      </c>
      <c r="F1479" s="185">
        <v>1</v>
      </c>
      <c r="G1479" s="185">
        <f t="shared" si="55"/>
        <v>1</v>
      </c>
      <c r="H1479" s="82" t="s">
        <v>608</v>
      </c>
      <c r="J1479" s="83"/>
      <c r="K1479" s="83"/>
      <c r="L1479" s="83"/>
      <c r="M1479" s="83"/>
      <c r="N1479" s="83"/>
      <c r="O1479" s="83"/>
      <c r="P1479" s="83"/>
      <c r="Q1479" s="83"/>
      <c r="R1479" s="83"/>
      <c r="S1479" s="83"/>
      <c r="T1479" s="83"/>
      <c r="U1479" s="83"/>
      <c r="V1479" s="83"/>
      <c r="W1479" s="83"/>
      <c r="X1479" s="83"/>
      <c r="Y1479" s="83"/>
      <c r="Z1479" s="83"/>
      <c r="AA1479" s="83"/>
      <c r="AB1479" s="83"/>
      <c r="AC1479" s="83"/>
      <c r="AD1479" s="83"/>
      <c r="AE1479" s="83"/>
      <c r="AF1479" s="83"/>
      <c r="AG1479" s="83"/>
      <c r="AH1479" s="83"/>
      <c r="AI1479" s="83"/>
      <c r="AJ1479" s="83"/>
      <c r="AK1479" s="83"/>
      <c r="AL1479" s="83"/>
    </row>
    <row r="1480" spans="1:38" s="206" customFormat="1" ht="24.75" hidden="1" customHeight="1" x14ac:dyDescent="0.2">
      <c r="A1480" s="559" t="s">
        <v>136</v>
      </c>
      <c r="B1480" s="173" t="s">
        <v>425</v>
      </c>
      <c r="C1480" s="34" t="s">
        <v>426</v>
      </c>
      <c r="D1480" s="184">
        <v>0.15</v>
      </c>
      <c r="E1480" s="174">
        <v>20</v>
      </c>
      <c r="F1480" s="174">
        <v>20</v>
      </c>
      <c r="G1480" s="185">
        <f t="shared" si="55"/>
        <v>1</v>
      </c>
      <c r="H1480" s="82" t="s">
        <v>632</v>
      </c>
      <c r="J1480" s="83"/>
      <c r="K1480" s="83"/>
      <c r="L1480" s="83"/>
      <c r="M1480" s="83"/>
      <c r="N1480" s="83"/>
      <c r="O1480" s="83"/>
      <c r="P1480" s="83"/>
      <c r="Q1480" s="83"/>
      <c r="R1480" s="83"/>
      <c r="S1480" s="83"/>
      <c r="T1480" s="83"/>
      <c r="U1480" s="83"/>
      <c r="V1480" s="83"/>
      <c r="W1480" s="83"/>
      <c r="X1480" s="83"/>
      <c r="Y1480" s="83"/>
      <c r="Z1480" s="83"/>
      <c r="AA1480" s="83"/>
      <c r="AB1480" s="83"/>
      <c r="AC1480" s="83"/>
      <c r="AD1480" s="83"/>
      <c r="AE1480" s="83"/>
      <c r="AF1480" s="83"/>
      <c r="AG1480" s="83"/>
      <c r="AH1480" s="83"/>
      <c r="AI1480" s="83"/>
      <c r="AJ1480" s="83"/>
      <c r="AK1480" s="83"/>
      <c r="AL1480" s="83"/>
    </row>
    <row r="1481" spans="1:38" s="206" customFormat="1" ht="24.75" hidden="1" customHeight="1" x14ac:dyDescent="0.2">
      <c r="A1481" s="560"/>
      <c r="B1481" s="173" t="s">
        <v>427</v>
      </c>
      <c r="C1481" s="34" t="s">
        <v>426</v>
      </c>
      <c r="D1481" s="184">
        <v>0.15</v>
      </c>
      <c r="E1481" s="89">
        <v>7</v>
      </c>
      <c r="F1481" s="89">
        <v>2.2999999999999998</v>
      </c>
      <c r="G1481" s="185">
        <f t="shared" si="55"/>
        <v>0.32857142857142857</v>
      </c>
      <c r="H1481" s="82" t="s">
        <v>638</v>
      </c>
      <c r="J1481" s="83"/>
      <c r="K1481" s="83"/>
      <c r="L1481" s="83"/>
      <c r="M1481" s="83"/>
      <c r="N1481" s="83"/>
      <c r="O1481" s="83"/>
      <c r="P1481" s="83"/>
      <c r="Q1481" s="83"/>
      <c r="R1481" s="83"/>
      <c r="S1481" s="83"/>
      <c r="T1481" s="83"/>
      <c r="U1481" s="83"/>
      <c r="V1481" s="83"/>
      <c r="W1481" s="83"/>
      <c r="X1481" s="83"/>
      <c r="Y1481" s="83"/>
      <c r="Z1481" s="83"/>
      <c r="AA1481" s="83"/>
      <c r="AB1481" s="83"/>
      <c r="AC1481" s="83"/>
      <c r="AD1481" s="83"/>
      <c r="AE1481" s="83"/>
      <c r="AF1481" s="83"/>
      <c r="AG1481" s="83"/>
      <c r="AH1481" s="83"/>
      <c r="AI1481" s="83"/>
      <c r="AJ1481" s="83"/>
      <c r="AK1481" s="83"/>
      <c r="AL1481" s="83"/>
    </row>
    <row r="1482" spans="1:38" s="206" customFormat="1" ht="24.75" hidden="1" customHeight="1" x14ac:dyDescent="0.2">
      <c r="A1482" s="560"/>
      <c r="B1482" s="173" t="s">
        <v>428</v>
      </c>
      <c r="C1482" s="34" t="s">
        <v>426</v>
      </c>
      <c r="D1482" s="184">
        <v>0.15</v>
      </c>
      <c r="E1482" s="89">
        <v>2</v>
      </c>
      <c r="F1482" s="89">
        <v>0.82000000000000006</v>
      </c>
      <c r="G1482" s="185">
        <f t="shared" si="55"/>
        <v>0.41000000000000003</v>
      </c>
      <c r="H1482" s="82" t="s">
        <v>633</v>
      </c>
      <c r="J1482" s="83"/>
      <c r="K1482" s="83"/>
      <c r="L1482" s="83"/>
      <c r="M1482" s="83"/>
      <c r="N1482" s="83"/>
      <c r="O1482" s="83"/>
      <c r="P1482" s="83"/>
      <c r="Q1482" s="83"/>
      <c r="R1482" s="83"/>
      <c r="S1482" s="83"/>
      <c r="T1482" s="83"/>
      <c r="U1482" s="83"/>
      <c r="V1482" s="83"/>
      <c r="W1482" s="83"/>
      <c r="X1482" s="83"/>
      <c r="Y1482" s="83"/>
      <c r="Z1482" s="83"/>
      <c r="AA1482" s="83"/>
      <c r="AB1482" s="83"/>
      <c r="AC1482" s="83"/>
      <c r="AD1482" s="83"/>
      <c r="AE1482" s="83"/>
      <c r="AF1482" s="83"/>
      <c r="AG1482" s="83"/>
      <c r="AH1482" s="83"/>
      <c r="AI1482" s="83"/>
      <c r="AJ1482" s="83"/>
      <c r="AK1482" s="83"/>
      <c r="AL1482" s="83"/>
    </row>
    <row r="1483" spans="1:38" s="206" customFormat="1" ht="24.75" hidden="1" customHeight="1" x14ac:dyDescent="0.2">
      <c r="A1483" s="560"/>
      <c r="B1483" s="173" t="s">
        <v>429</v>
      </c>
      <c r="C1483" s="34" t="s">
        <v>426</v>
      </c>
      <c r="D1483" s="184">
        <v>0.15</v>
      </c>
      <c r="E1483" s="90">
        <v>1385</v>
      </c>
      <c r="F1483" s="89">
        <v>115</v>
      </c>
      <c r="G1483" s="185">
        <f t="shared" si="55"/>
        <v>8.3032490974729242E-2</v>
      </c>
      <c r="H1483" s="82" t="s">
        <v>631</v>
      </c>
      <c r="J1483" s="83"/>
      <c r="K1483" s="83"/>
      <c r="L1483" s="83"/>
      <c r="M1483" s="83"/>
      <c r="N1483" s="83"/>
      <c r="O1483" s="83"/>
      <c r="P1483" s="83"/>
      <c r="Q1483" s="83"/>
      <c r="R1483" s="83"/>
      <c r="S1483" s="83"/>
      <c r="T1483" s="83"/>
      <c r="U1483" s="83"/>
      <c r="V1483" s="83"/>
      <c r="W1483" s="83"/>
      <c r="X1483" s="83"/>
      <c r="Y1483" s="83"/>
      <c r="Z1483" s="83"/>
      <c r="AA1483" s="83"/>
      <c r="AB1483" s="83"/>
      <c r="AC1483" s="83"/>
      <c r="AD1483" s="83"/>
      <c r="AE1483" s="83"/>
      <c r="AF1483" s="83"/>
      <c r="AG1483" s="83"/>
      <c r="AH1483" s="83"/>
      <c r="AI1483" s="83"/>
      <c r="AJ1483" s="83"/>
      <c r="AK1483" s="83"/>
      <c r="AL1483" s="83"/>
    </row>
    <row r="1484" spans="1:38" s="206" customFormat="1" ht="24.75" hidden="1" customHeight="1" x14ac:dyDescent="0.2">
      <c r="A1484" s="560"/>
      <c r="B1484" s="173" t="s">
        <v>430</v>
      </c>
      <c r="C1484" s="34" t="s">
        <v>426</v>
      </c>
      <c r="D1484" s="184">
        <v>0.15</v>
      </c>
      <c r="E1484" s="89">
        <v>1</v>
      </c>
      <c r="F1484" s="89">
        <v>1</v>
      </c>
      <c r="G1484" s="185">
        <f t="shared" si="55"/>
        <v>1</v>
      </c>
      <c r="H1484" s="82" t="s">
        <v>636</v>
      </c>
      <c r="J1484" s="83"/>
      <c r="K1484" s="83"/>
      <c r="L1484" s="83"/>
      <c r="M1484" s="83"/>
      <c r="N1484" s="83"/>
      <c r="O1484" s="83"/>
      <c r="P1484" s="83"/>
      <c r="Q1484" s="83"/>
      <c r="R1484" s="83"/>
      <c r="S1484" s="83"/>
      <c r="T1484" s="83"/>
      <c r="U1484" s="83"/>
      <c r="V1484" s="83"/>
      <c r="W1484" s="83"/>
      <c r="X1484" s="83"/>
      <c r="Y1484" s="83"/>
      <c r="Z1484" s="83"/>
      <c r="AA1484" s="83"/>
      <c r="AB1484" s="83"/>
      <c r="AC1484" s="83"/>
      <c r="AD1484" s="83"/>
      <c r="AE1484" s="83"/>
      <c r="AF1484" s="83"/>
      <c r="AG1484" s="83"/>
      <c r="AH1484" s="83"/>
      <c r="AI1484" s="83"/>
      <c r="AJ1484" s="83"/>
      <c r="AK1484" s="83"/>
      <c r="AL1484" s="83"/>
    </row>
    <row r="1485" spans="1:38" s="206" customFormat="1" ht="24.75" hidden="1" customHeight="1" x14ac:dyDescent="0.2">
      <c r="A1485" s="560"/>
      <c r="B1485" s="173" t="s">
        <v>431</v>
      </c>
      <c r="C1485" s="34" t="s">
        <v>426</v>
      </c>
      <c r="D1485" s="184">
        <v>0.15</v>
      </c>
      <c r="E1485" s="89">
        <v>370</v>
      </c>
      <c r="F1485" s="89">
        <v>179</v>
      </c>
      <c r="G1485" s="185">
        <f t="shared" si="55"/>
        <v>0.48378378378378378</v>
      </c>
      <c r="H1485" s="82" t="s">
        <v>635</v>
      </c>
      <c r="J1485" s="83"/>
      <c r="K1485" s="83"/>
      <c r="L1485" s="83"/>
      <c r="M1485" s="83"/>
      <c r="N1485" s="83"/>
      <c r="O1485" s="83"/>
      <c r="P1485" s="83"/>
      <c r="Q1485" s="83"/>
      <c r="R1485" s="83"/>
      <c r="S1485" s="83"/>
      <c r="T1485" s="83"/>
      <c r="U1485" s="83"/>
      <c r="V1485" s="83"/>
      <c r="W1485" s="83"/>
      <c r="X1485" s="83"/>
      <c r="Y1485" s="83"/>
      <c r="Z1485" s="83"/>
      <c r="AA1485" s="83"/>
      <c r="AB1485" s="83"/>
      <c r="AC1485" s="83"/>
      <c r="AD1485" s="83"/>
      <c r="AE1485" s="83"/>
      <c r="AF1485" s="83"/>
      <c r="AG1485" s="83"/>
      <c r="AH1485" s="83"/>
      <c r="AI1485" s="83"/>
      <c r="AJ1485" s="83"/>
      <c r="AK1485" s="83"/>
      <c r="AL1485" s="83"/>
    </row>
    <row r="1486" spans="1:38" s="206" customFormat="1" ht="24.75" hidden="1" customHeight="1" x14ac:dyDescent="0.2">
      <c r="A1486" s="516"/>
      <c r="B1486" s="173" t="s">
        <v>432</v>
      </c>
      <c r="C1486" s="34" t="s">
        <v>426</v>
      </c>
      <c r="D1486" s="184">
        <v>0.1</v>
      </c>
      <c r="E1486" s="184">
        <v>1</v>
      </c>
      <c r="F1486" s="185">
        <v>1</v>
      </c>
      <c r="G1486" s="185">
        <f t="shared" si="55"/>
        <v>1</v>
      </c>
      <c r="H1486" s="82" t="s">
        <v>637</v>
      </c>
      <c r="J1486" s="83"/>
      <c r="K1486" s="83"/>
      <c r="L1486" s="83"/>
      <c r="M1486" s="83"/>
      <c r="N1486" s="83"/>
      <c r="O1486" s="83"/>
      <c r="P1486" s="83"/>
      <c r="Q1486" s="83"/>
      <c r="R1486" s="83"/>
      <c r="S1486" s="83"/>
      <c r="T1486" s="83"/>
      <c r="U1486" s="83"/>
      <c r="V1486" s="83"/>
      <c r="W1486" s="83"/>
      <c r="X1486" s="83"/>
      <c r="Y1486" s="83"/>
      <c r="Z1486" s="83"/>
      <c r="AA1486" s="83"/>
      <c r="AB1486" s="83"/>
      <c r="AC1486" s="83"/>
      <c r="AD1486" s="83"/>
      <c r="AE1486" s="83"/>
      <c r="AF1486" s="83"/>
      <c r="AG1486" s="83"/>
      <c r="AH1486" s="83"/>
      <c r="AI1486" s="83"/>
      <c r="AJ1486" s="83"/>
      <c r="AK1486" s="83"/>
      <c r="AL1486" s="83"/>
    </row>
    <row r="1487" spans="1:38" s="206" customFormat="1" ht="24.75" hidden="1" customHeight="1" x14ac:dyDescent="0.2">
      <c r="A1487" s="559" t="s">
        <v>137</v>
      </c>
      <c r="B1487" s="173" t="s">
        <v>425</v>
      </c>
      <c r="C1487" s="34" t="s">
        <v>426</v>
      </c>
      <c r="D1487" s="184">
        <v>0.15</v>
      </c>
      <c r="E1487" s="174">
        <v>20</v>
      </c>
      <c r="F1487" s="174">
        <v>20</v>
      </c>
      <c r="G1487" s="185">
        <f t="shared" si="55"/>
        <v>1</v>
      </c>
      <c r="H1487" s="82" t="s">
        <v>642</v>
      </c>
      <c r="J1487" s="83"/>
      <c r="K1487" s="83"/>
      <c r="L1487" s="83"/>
      <c r="M1487" s="83"/>
      <c r="N1487" s="83"/>
      <c r="O1487" s="83"/>
      <c r="P1487" s="83"/>
      <c r="Q1487" s="83"/>
      <c r="R1487" s="83"/>
      <c r="S1487" s="83"/>
      <c r="T1487" s="83"/>
      <c r="U1487" s="83"/>
      <c r="V1487" s="83"/>
      <c r="W1487" s="83"/>
      <c r="X1487" s="83"/>
      <c r="Y1487" s="83"/>
      <c r="Z1487" s="83"/>
      <c r="AA1487" s="83"/>
      <c r="AB1487" s="83"/>
      <c r="AC1487" s="83"/>
      <c r="AD1487" s="83"/>
      <c r="AE1487" s="83"/>
      <c r="AF1487" s="83"/>
      <c r="AG1487" s="83"/>
      <c r="AH1487" s="83"/>
      <c r="AI1487" s="83"/>
      <c r="AJ1487" s="83"/>
      <c r="AK1487" s="83"/>
      <c r="AL1487" s="83"/>
    </row>
    <row r="1488" spans="1:38" s="206" customFormat="1" ht="24.75" hidden="1" customHeight="1" x14ac:dyDescent="0.2">
      <c r="A1488" s="560"/>
      <c r="B1488" s="173" t="s">
        <v>427</v>
      </c>
      <c r="C1488" s="34" t="s">
        <v>426</v>
      </c>
      <c r="D1488" s="184">
        <v>0.15</v>
      </c>
      <c r="E1488" s="89">
        <v>7</v>
      </c>
      <c r="F1488" s="89">
        <v>2.2999999999999998</v>
      </c>
      <c r="G1488" s="185">
        <f t="shared" si="55"/>
        <v>0.32857142857142857</v>
      </c>
      <c r="H1488" s="82" t="s">
        <v>643</v>
      </c>
      <c r="J1488" s="83"/>
      <c r="K1488" s="83"/>
      <c r="L1488" s="83"/>
      <c r="M1488" s="83"/>
      <c r="N1488" s="83"/>
      <c r="O1488" s="83"/>
      <c r="P1488" s="83"/>
      <c r="Q1488" s="83"/>
      <c r="R1488" s="83"/>
      <c r="S1488" s="83"/>
      <c r="T1488" s="83"/>
      <c r="U1488" s="83"/>
      <c r="V1488" s="83"/>
      <c r="W1488" s="83"/>
      <c r="X1488" s="83"/>
      <c r="Y1488" s="83"/>
      <c r="Z1488" s="83"/>
      <c r="AA1488" s="83"/>
      <c r="AB1488" s="83"/>
      <c r="AC1488" s="83"/>
      <c r="AD1488" s="83"/>
      <c r="AE1488" s="83"/>
      <c r="AF1488" s="83"/>
      <c r="AG1488" s="83"/>
      <c r="AH1488" s="83"/>
      <c r="AI1488" s="83"/>
      <c r="AJ1488" s="83"/>
      <c r="AK1488" s="83"/>
      <c r="AL1488" s="83"/>
    </row>
    <row r="1489" spans="1:38" s="206" customFormat="1" ht="24.75" hidden="1" customHeight="1" x14ac:dyDescent="0.2">
      <c r="A1489" s="560"/>
      <c r="B1489" s="173" t="s">
        <v>428</v>
      </c>
      <c r="C1489" s="34" t="s">
        <v>426</v>
      </c>
      <c r="D1489" s="184">
        <v>0.15</v>
      </c>
      <c r="E1489" s="89">
        <v>2</v>
      </c>
      <c r="F1489" s="89">
        <v>0.82000000000000006</v>
      </c>
      <c r="G1489" s="185">
        <f t="shared" si="55"/>
        <v>0.41000000000000003</v>
      </c>
      <c r="H1489" s="82" t="s">
        <v>644</v>
      </c>
      <c r="J1489" s="83"/>
      <c r="K1489" s="83"/>
      <c r="L1489" s="83"/>
      <c r="M1489" s="83"/>
      <c r="N1489" s="83"/>
      <c r="O1489" s="83"/>
      <c r="P1489" s="83"/>
      <c r="Q1489" s="83"/>
      <c r="R1489" s="83"/>
      <c r="S1489" s="83"/>
      <c r="T1489" s="83"/>
      <c r="U1489" s="83"/>
      <c r="V1489" s="83"/>
      <c r="W1489" s="83"/>
      <c r="X1489" s="83"/>
      <c r="Y1489" s="83"/>
      <c r="Z1489" s="83"/>
      <c r="AA1489" s="83"/>
      <c r="AB1489" s="83"/>
      <c r="AC1489" s="83"/>
      <c r="AD1489" s="83"/>
      <c r="AE1489" s="83"/>
      <c r="AF1489" s="83"/>
      <c r="AG1489" s="83"/>
      <c r="AH1489" s="83"/>
      <c r="AI1489" s="83"/>
      <c r="AJ1489" s="83"/>
      <c r="AK1489" s="83"/>
      <c r="AL1489" s="83"/>
    </row>
    <row r="1490" spans="1:38" s="206" customFormat="1" ht="24.75" hidden="1" customHeight="1" x14ac:dyDescent="0.2">
      <c r="A1490" s="560"/>
      <c r="B1490" s="173" t="s">
        <v>429</v>
      </c>
      <c r="C1490" s="34" t="s">
        <v>426</v>
      </c>
      <c r="D1490" s="184">
        <v>0.15</v>
      </c>
      <c r="E1490" s="90">
        <v>1385</v>
      </c>
      <c r="F1490" s="89">
        <v>115</v>
      </c>
      <c r="G1490" s="185">
        <f t="shared" si="55"/>
        <v>8.3032490974729242E-2</v>
      </c>
      <c r="H1490" s="82" t="s">
        <v>640</v>
      </c>
      <c r="J1490" s="83"/>
      <c r="K1490" s="83"/>
      <c r="L1490" s="83"/>
      <c r="M1490" s="83"/>
      <c r="N1490" s="83"/>
      <c r="O1490" s="83"/>
      <c r="P1490" s="83"/>
      <c r="Q1490" s="83"/>
      <c r="R1490" s="83"/>
      <c r="S1490" s="83"/>
      <c r="T1490" s="83"/>
      <c r="U1490" s="83"/>
      <c r="V1490" s="83"/>
      <c r="W1490" s="83"/>
      <c r="X1490" s="83"/>
      <c r="Y1490" s="83"/>
      <c r="Z1490" s="83"/>
      <c r="AA1490" s="83"/>
      <c r="AB1490" s="83"/>
      <c r="AC1490" s="83"/>
      <c r="AD1490" s="83"/>
      <c r="AE1490" s="83"/>
      <c r="AF1490" s="83"/>
      <c r="AG1490" s="83"/>
      <c r="AH1490" s="83"/>
      <c r="AI1490" s="83"/>
      <c r="AJ1490" s="83"/>
      <c r="AK1490" s="83"/>
      <c r="AL1490" s="83"/>
    </row>
    <row r="1491" spans="1:38" s="206" customFormat="1" ht="24.75" hidden="1" customHeight="1" x14ac:dyDescent="0.2">
      <c r="A1491" s="560"/>
      <c r="B1491" s="173" t="s">
        <v>430</v>
      </c>
      <c r="C1491" s="34" t="s">
        <v>426</v>
      </c>
      <c r="D1491" s="184">
        <v>0.15</v>
      </c>
      <c r="E1491" s="89">
        <v>1</v>
      </c>
      <c r="F1491" s="89">
        <v>1</v>
      </c>
      <c r="G1491" s="185">
        <f t="shared" si="55"/>
        <v>1</v>
      </c>
      <c r="H1491" s="82" t="s">
        <v>641</v>
      </c>
      <c r="J1491" s="83"/>
      <c r="K1491" s="83"/>
      <c r="L1491" s="83"/>
      <c r="M1491" s="83"/>
      <c r="N1491" s="83"/>
      <c r="O1491" s="83"/>
      <c r="P1491" s="83"/>
      <c r="Q1491" s="83"/>
      <c r="R1491" s="83"/>
      <c r="S1491" s="83"/>
      <c r="T1491" s="83"/>
      <c r="U1491" s="83"/>
      <c r="V1491" s="83"/>
      <c r="W1491" s="83"/>
      <c r="X1491" s="83"/>
      <c r="Y1491" s="83"/>
      <c r="Z1491" s="83"/>
      <c r="AA1491" s="83"/>
      <c r="AB1491" s="83"/>
      <c r="AC1491" s="83"/>
      <c r="AD1491" s="83"/>
      <c r="AE1491" s="83"/>
      <c r="AF1491" s="83"/>
      <c r="AG1491" s="83"/>
      <c r="AH1491" s="83"/>
      <c r="AI1491" s="83"/>
      <c r="AJ1491" s="83"/>
      <c r="AK1491" s="83"/>
      <c r="AL1491" s="83"/>
    </row>
    <row r="1492" spans="1:38" s="206" customFormat="1" ht="24.75" hidden="1" customHeight="1" x14ac:dyDescent="0.2">
      <c r="A1492" s="560"/>
      <c r="B1492" s="173" t="s">
        <v>431</v>
      </c>
      <c r="C1492" s="34" t="s">
        <v>426</v>
      </c>
      <c r="D1492" s="184">
        <v>0.15</v>
      </c>
      <c r="E1492" s="89">
        <v>370</v>
      </c>
      <c r="F1492" s="89">
        <v>179</v>
      </c>
      <c r="G1492" s="185">
        <f t="shared" si="55"/>
        <v>0.48378378378378378</v>
      </c>
      <c r="H1492" s="82" t="s">
        <v>639</v>
      </c>
      <c r="J1492" s="83"/>
      <c r="K1492" s="83"/>
      <c r="L1492" s="83"/>
      <c r="M1492" s="83"/>
      <c r="N1492" s="83"/>
      <c r="O1492" s="83"/>
      <c r="P1492" s="83"/>
      <c r="Q1492" s="83"/>
      <c r="R1492" s="83"/>
      <c r="S1492" s="83"/>
      <c r="T1492" s="83"/>
      <c r="U1492" s="83"/>
      <c r="V1492" s="83"/>
      <c r="W1492" s="83"/>
      <c r="X1492" s="83"/>
      <c r="Y1492" s="83"/>
      <c r="Z1492" s="83"/>
      <c r="AA1492" s="83"/>
      <c r="AB1492" s="83"/>
      <c r="AC1492" s="83"/>
      <c r="AD1492" s="83"/>
      <c r="AE1492" s="83"/>
      <c r="AF1492" s="83"/>
      <c r="AG1492" s="83"/>
      <c r="AH1492" s="83"/>
      <c r="AI1492" s="83"/>
      <c r="AJ1492" s="83"/>
      <c r="AK1492" s="83"/>
      <c r="AL1492" s="83"/>
    </row>
    <row r="1493" spans="1:38" s="206" customFormat="1" ht="24.75" hidden="1" customHeight="1" x14ac:dyDescent="0.2">
      <c r="A1493" s="516"/>
      <c r="B1493" s="173" t="s">
        <v>432</v>
      </c>
      <c r="C1493" s="34" t="s">
        <v>426</v>
      </c>
      <c r="D1493" s="184">
        <v>0.1</v>
      </c>
      <c r="E1493" s="184">
        <v>1</v>
      </c>
      <c r="F1493" s="185">
        <v>1</v>
      </c>
      <c r="G1493" s="185">
        <f t="shared" si="55"/>
        <v>1</v>
      </c>
      <c r="H1493" s="82" t="s">
        <v>645</v>
      </c>
      <c r="J1493" s="83"/>
      <c r="K1493" s="83"/>
      <c r="L1493" s="83"/>
      <c r="M1493" s="83"/>
      <c r="N1493" s="83"/>
      <c r="O1493" s="83"/>
      <c r="P1493" s="83"/>
      <c r="Q1493" s="83"/>
      <c r="R1493" s="83"/>
      <c r="S1493" s="83"/>
      <c r="T1493" s="83"/>
      <c r="U1493" s="83"/>
      <c r="V1493" s="83"/>
      <c r="W1493" s="83"/>
      <c r="X1493" s="83"/>
      <c r="Y1493" s="83"/>
      <c r="Z1493" s="83"/>
      <c r="AA1493" s="83"/>
      <c r="AB1493" s="83"/>
      <c r="AC1493" s="83"/>
      <c r="AD1493" s="83"/>
      <c r="AE1493" s="83"/>
      <c r="AF1493" s="83"/>
      <c r="AG1493" s="83"/>
      <c r="AH1493" s="83"/>
      <c r="AI1493" s="83"/>
      <c r="AJ1493" s="83"/>
      <c r="AK1493" s="83"/>
      <c r="AL1493" s="83"/>
    </row>
    <row r="1494" spans="1:38" s="206" customFormat="1" ht="24.75" hidden="1" customHeight="1" x14ac:dyDescent="0.2">
      <c r="A1494" s="559" t="s">
        <v>138</v>
      </c>
      <c r="B1494" s="173" t="s">
        <v>425</v>
      </c>
      <c r="C1494" s="34" t="s">
        <v>426</v>
      </c>
      <c r="D1494" s="184">
        <v>0.15</v>
      </c>
      <c r="E1494" s="174">
        <v>20</v>
      </c>
      <c r="F1494" s="174">
        <v>20</v>
      </c>
      <c r="G1494" s="185">
        <f t="shared" si="55"/>
        <v>1</v>
      </c>
      <c r="H1494" s="82" t="s">
        <v>649</v>
      </c>
      <c r="J1494" s="83"/>
      <c r="K1494" s="83"/>
      <c r="L1494" s="83"/>
      <c r="M1494" s="83"/>
      <c r="N1494" s="83"/>
      <c r="O1494" s="83"/>
      <c r="P1494" s="83"/>
      <c r="Q1494" s="83"/>
      <c r="R1494" s="83"/>
      <c r="S1494" s="83"/>
      <c r="T1494" s="83"/>
      <c r="U1494" s="83"/>
      <c r="V1494" s="83"/>
      <c r="W1494" s="83"/>
      <c r="X1494" s="83"/>
      <c r="Y1494" s="83"/>
      <c r="Z1494" s="83"/>
      <c r="AA1494" s="83"/>
      <c r="AB1494" s="83"/>
      <c r="AC1494" s="83"/>
      <c r="AD1494" s="83"/>
      <c r="AE1494" s="83"/>
      <c r="AF1494" s="83"/>
      <c r="AG1494" s="83"/>
      <c r="AH1494" s="83"/>
      <c r="AI1494" s="83"/>
      <c r="AJ1494" s="83"/>
      <c r="AK1494" s="83"/>
      <c r="AL1494" s="83"/>
    </row>
    <row r="1495" spans="1:38" s="206" customFormat="1" ht="24.75" hidden="1" customHeight="1" x14ac:dyDescent="0.2">
      <c r="A1495" s="560"/>
      <c r="B1495" s="173" t="s">
        <v>427</v>
      </c>
      <c r="C1495" s="34" t="s">
        <v>426</v>
      </c>
      <c r="D1495" s="184">
        <v>0.15</v>
      </c>
      <c r="E1495" s="89">
        <v>7</v>
      </c>
      <c r="F1495" s="89">
        <v>2.2999999999999998</v>
      </c>
      <c r="G1495" s="185">
        <f t="shared" si="55"/>
        <v>0.32857142857142857</v>
      </c>
      <c r="H1495" s="82" t="s">
        <v>650</v>
      </c>
      <c r="J1495" s="83"/>
      <c r="K1495" s="83"/>
      <c r="L1495" s="83"/>
      <c r="M1495" s="83"/>
      <c r="N1495" s="83"/>
      <c r="O1495" s="83"/>
      <c r="P1495" s="83"/>
      <c r="Q1495" s="83"/>
      <c r="R1495" s="83"/>
      <c r="S1495" s="83"/>
      <c r="T1495" s="83"/>
      <c r="U1495" s="83"/>
      <c r="V1495" s="83"/>
      <c r="W1495" s="83"/>
      <c r="X1495" s="83"/>
      <c r="Y1495" s="83"/>
      <c r="Z1495" s="83"/>
      <c r="AA1495" s="83"/>
      <c r="AB1495" s="83"/>
      <c r="AC1495" s="83"/>
      <c r="AD1495" s="83"/>
      <c r="AE1495" s="83"/>
      <c r="AF1495" s="83"/>
      <c r="AG1495" s="83"/>
      <c r="AH1495" s="83"/>
      <c r="AI1495" s="83"/>
      <c r="AJ1495" s="83"/>
      <c r="AK1495" s="83"/>
      <c r="AL1495" s="83"/>
    </row>
    <row r="1496" spans="1:38" s="206" customFormat="1" ht="24.75" hidden="1" customHeight="1" x14ac:dyDescent="0.2">
      <c r="A1496" s="560"/>
      <c r="B1496" s="173" t="s">
        <v>428</v>
      </c>
      <c r="C1496" s="34" t="s">
        <v>426</v>
      </c>
      <c r="D1496" s="184">
        <v>0.15</v>
      </c>
      <c r="E1496" s="89">
        <v>2</v>
      </c>
      <c r="F1496" s="89">
        <v>0.82000000000000006</v>
      </c>
      <c r="G1496" s="185">
        <f t="shared" si="55"/>
        <v>0.41000000000000003</v>
      </c>
      <c r="H1496" s="82" t="s">
        <v>651</v>
      </c>
      <c r="J1496" s="83"/>
      <c r="K1496" s="83"/>
      <c r="L1496" s="83"/>
      <c r="M1496" s="83"/>
      <c r="N1496" s="83"/>
      <c r="O1496" s="83"/>
      <c r="P1496" s="83"/>
      <c r="Q1496" s="83"/>
      <c r="R1496" s="83"/>
      <c r="S1496" s="83"/>
      <c r="T1496" s="83"/>
      <c r="U1496" s="83"/>
      <c r="V1496" s="83"/>
      <c r="W1496" s="83"/>
      <c r="X1496" s="83"/>
      <c r="Y1496" s="83"/>
      <c r="Z1496" s="83"/>
      <c r="AA1496" s="83"/>
      <c r="AB1496" s="83"/>
      <c r="AC1496" s="83"/>
      <c r="AD1496" s="83"/>
      <c r="AE1496" s="83"/>
      <c r="AF1496" s="83"/>
      <c r="AG1496" s="83"/>
      <c r="AH1496" s="83"/>
      <c r="AI1496" s="83"/>
      <c r="AJ1496" s="83"/>
      <c r="AK1496" s="83"/>
      <c r="AL1496" s="83"/>
    </row>
    <row r="1497" spans="1:38" s="206" customFormat="1" ht="24.75" hidden="1" customHeight="1" x14ac:dyDescent="0.2">
      <c r="A1497" s="560"/>
      <c r="B1497" s="173" t="s">
        <v>429</v>
      </c>
      <c r="C1497" s="34" t="s">
        <v>426</v>
      </c>
      <c r="D1497" s="184">
        <v>0.15</v>
      </c>
      <c r="E1497" s="90">
        <v>1385</v>
      </c>
      <c r="F1497" s="89">
        <v>135</v>
      </c>
      <c r="G1497" s="185">
        <f t="shared" si="55"/>
        <v>9.7472924187725629E-2</v>
      </c>
      <c r="H1497" s="82" t="s">
        <v>648</v>
      </c>
      <c r="J1497" s="83"/>
      <c r="K1497" s="83"/>
      <c r="L1497" s="83"/>
      <c r="M1497" s="83"/>
      <c r="N1497" s="83"/>
      <c r="O1497" s="83"/>
      <c r="P1497" s="83"/>
      <c r="Q1497" s="83"/>
      <c r="R1497" s="83"/>
      <c r="S1497" s="83"/>
      <c r="T1497" s="83"/>
      <c r="U1497" s="83"/>
      <c r="V1497" s="83"/>
      <c r="W1497" s="83"/>
      <c r="X1497" s="83"/>
      <c r="Y1497" s="83"/>
      <c r="Z1497" s="83"/>
      <c r="AA1497" s="83"/>
      <c r="AB1497" s="83"/>
      <c r="AC1497" s="83"/>
      <c r="AD1497" s="83"/>
      <c r="AE1497" s="83"/>
      <c r="AF1497" s="83"/>
      <c r="AG1497" s="83"/>
      <c r="AH1497" s="83"/>
      <c r="AI1497" s="83"/>
      <c r="AJ1497" s="83"/>
      <c r="AK1497" s="83"/>
      <c r="AL1497" s="83"/>
    </row>
    <row r="1498" spans="1:38" s="206" customFormat="1" ht="24.75" hidden="1" customHeight="1" x14ac:dyDescent="0.2">
      <c r="A1498" s="560"/>
      <c r="B1498" s="173" t="s">
        <v>430</v>
      </c>
      <c r="C1498" s="34" t="s">
        <v>426</v>
      </c>
      <c r="D1498" s="184">
        <v>0.15</v>
      </c>
      <c r="E1498" s="89">
        <v>1</v>
      </c>
      <c r="F1498" s="89">
        <v>1</v>
      </c>
      <c r="G1498" s="185">
        <f t="shared" si="55"/>
        <v>1</v>
      </c>
      <c r="H1498" s="82" t="s">
        <v>646</v>
      </c>
      <c r="J1498" s="83"/>
      <c r="K1498" s="83"/>
      <c r="L1498" s="83"/>
      <c r="M1498" s="83"/>
      <c r="N1498" s="83"/>
      <c r="O1498" s="83"/>
      <c r="P1498" s="83"/>
      <c r="Q1498" s="83"/>
      <c r="R1498" s="83"/>
      <c r="S1498" s="83"/>
      <c r="T1498" s="83"/>
      <c r="U1498" s="83"/>
      <c r="V1498" s="83"/>
      <c r="W1498" s="83"/>
      <c r="X1498" s="83"/>
      <c r="Y1498" s="83"/>
      <c r="Z1498" s="83"/>
      <c r="AA1498" s="83"/>
      <c r="AB1498" s="83"/>
      <c r="AC1498" s="83"/>
      <c r="AD1498" s="83"/>
      <c r="AE1498" s="83"/>
      <c r="AF1498" s="83"/>
      <c r="AG1498" s="83"/>
      <c r="AH1498" s="83"/>
      <c r="AI1498" s="83"/>
      <c r="AJ1498" s="83"/>
      <c r="AK1498" s="83"/>
      <c r="AL1498" s="83"/>
    </row>
    <row r="1499" spans="1:38" s="206" customFormat="1" ht="24.75" hidden="1" customHeight="1" x14ac:dyDescent="0.2">
      <c r="A1499" s="560"/>
      <c r="B1499" s="173" t="s">
        <v>431</v>
      </c>
      <c r="C1499" s="34" t="s">
        <v>426</v>
      </c>
      <c r="D1499" s="184">
        <v>0.15</v>
      </c>
      <c r="E1499" s="89">
        <v>370</v>
      </c>
      <c r="F1499" s="89">
        <v>179</v>
      </c>
      <c r="G1499" s="185">
        <f t="shared" si="55"/>
        <v>0.48378378378378378</v>
      </c>
      <c r="H1499" s="82" t="s">
        <v>647</v>
      </c>
      <c r="J1499" s="83"/>
      <c r="K1499" s="83"/>
      <c r="L1499" s="83"/>
      <c r="M1499" s="83"/>
      <c r="N1499" s="83"/>
      <c r="O1499" s="83"/>
      <c r="P1499" s="83"/>
      <c r="Q1499" s="83"/>
      <c r="R1499" s="83"/>
      <c r="S1499" s="83"/>
      <c r="T1499" s="83"/>
      <c r="U1499" s="83"/>
      <c r="V1499" s="83"/>
      <c r="W1499" s="83"/>
      <c r="X1499" s="83"/>
      <c r="Y1499" s="83"/>
      <c r="Z1499" s="83"/>
      <c r="AA1499" s="83"/>
      <c r="AB1499" s="83"/>
      <c r="AC1499" s="83"/>
      <c r="AD1499" s="83"/>
      <c r="AE1499" s="83"/>
      <c r="AF1499" s="83"/>
      <c r="AG1499" s="83"/>
      <c r="AH1499" s="83"/>
      <c r="AI1499" s="83"/>
      <c r="AJ1499" s="83"/>
      <c r="AK1499" s="83"/>
      <c r="AL1499" s="83"/>
    </row>
    <row r="1500" spans="1:38" s="206" customFormat="1" ht="24.75" hidden="1" customHeight="1" x14ac:dyDescent="0.2">
      <c r="A1500" s="516"/>
      <c r="B1500" s="173" t="s">
        <v>432</v>
      </c>
      <c r="C1500" s="34" t="s">
        <v>426</v>
      </c>
      <c r="D1500" s="184">
        <v>0.1</v>
      </c>
      <c r="E1500" s="184">
        <v>1</v>
      </c>
      <c r="F1500" s="185">
        <v>1</v>
      </c>
      <c r="G1500" s="185">
        <f t="shared" si="55"/>
        <v>1</v>
      </c>
      <c r="H1500" s="82" t="s">
        <v>652</v>
      </c>
      <c r="J1500" s="83"/>
      <c r="K1500" s="83"/>
      <c r="L1500" s="83"/>
      <c r="M1500" s="83"/>
      <c r="N1500" s="83"/>
      <c r="O1500" s="83"/>
      <c r="P1500" s="83"/>
      <c r="Q1500" s="83"/>
      <c r="R1500" s="83"/>
      <c r="S1500" s="83"/>
      <c r="T1500" s="83"/>
      <c r="U1500" s="83"/>
      <c r="V1500" s="83"/>
      <c r="W1500" s="83"/>
      <c r="X1500" s="83"/>
      <c r="Y1500" s="83"/>
      <c r="Z1500" s="83"/>
      <c r="AA1500" s="83"/>
      <c r="AB1500" s="83"/>
      <c r="AC1500" s="83"/>
      <c r="AD1500" s="83"/>
      <c r="AE1500" s="83"/>
      <c r="AF1500" s="83"/>
      <c r="AG1500" s="83"/>
      <c r="AH1500" s="83"/>
      <c r="AI1500" s="83"/>
      <c r="AJ1500" s="83"/>
      <c r="AK1500" s="83"/>
      <c r="AL1500" s="83"/>
    </row>
    <row r="1501" spans="1:38" s="206" customFormat="1" ht="24.75" hidden="1" customHeight="1" x14ac:dyDescent="0.2">
      <c r="A1501" s="559" t="s">
        <v>139</v>
      </c>
      <c r="B1501" s="173" t="s">
        <v>425</v>
      </c>
      <c r="C1501" s="34" t="s">
        <v>426</v>
      </c>
      <c r="D1501" s="185">
        <v>0.15</v>
      </c>
      <c r="E1501" s="174">
        <v>20</v>
      </c>
      <c r="F1501" s="174">
        <v>20</v>
      </c>
      <c r="G1501" s="185">
        <f>F1501/E1501</f>
        <v>1</v>
      </c>
      <c r="H1501" s="82" t="s">
        <v>653</v>
      </c>
      <c r="J1501" s="83"/>
      <c r="K1501" s="83"/>
      <c r="L1501" s="83"/>
      <c r="M1501" s="83"/>
      <c r="N1501" s="83"/>
      <c r="O1501" s="83"/>
      <c r="P1501" s="83"/>
      <c r="Q1501" s="83"/>
      <c r="R1501" s="83"/>
      <c r="S1501" s="83"/>
      <c r="T1501" s="83"/>
      <c r="U1501" s="83"/>
      <c r="V1501" s="83"/>
      <c r="W1501" s="83"/>
      <c r="X1501" s="83"/>
      <c r="Y1501" s="83"/>
      <c r="Z1501" s="83"/>
      <c r="AA1501" s="83"/>
      <c r="AB1501" s="83"/>
      <c r="AC1501" s="83"/>
      <c r="AD1501" s="83"/>
      <c r="AE1501" s="83"/>
      <c r="AF1501" s="83"/>
      <c r="AG1501" s="83"/>
      <c r="AH1501" s="83"/>
      <c r="AI1501" s="83"/>
      <c r="AJ1501" s="83"/>
      <c r="AK1501" s="83"/>
      <c r="AL1501" s="83"/>
    </row>
    <row r="1502" spans="1:38" s="206" customFormat="1" ht="24.75" hidden="1" customHeight="1" x14ac:dyDescent="0.2">
      <c r="A1502" s="560"/>
      <c r="B1502" s="173" t="s">
        <v>427</v>
      </c>
      <c r="C1502" s="34" t="s">
        <v>426</v>
      </c>
      <c r="D1502" s="185">
        <v>0.15</v>
      </c>
      <c r="E1502" s="89">
        <v>7</v>
      </c>
      <c r="F1502" s="89">
        <v>2.2999999999999998</v>
      </c>
      <c r="G1502" s="185">
        <f t="shared" ref="G1502:G1507" si="56">F1502/E1502</f>
        <v>0.32857142857142857</v>
      </c>
      <c r="H1502" s="82" t="s">
        <v>670</v>
      </c>
      <c r="J1502" s="83"/>
      <c r="K1502" s="83"/>
      <c r="L1502" s="83"/>
      <c r="M1502" s="83"/>
      <c r="N1502" s="83"/>
      <c r="O1502" s="83"/>
      <c r="P1502" s="83"/>
      <c r="Q1502" s="83"/>
      <c r="R1502" s="83"/>
      <c r="S1502" s="83"/>
      <c r="T1502" s="83"/>
      <c r="U1502" s="83"/>
      <c r="V1502" s="83"/>
      <c r="W1502" s="83"/>
      <c r="X1502" s="83"/>
      <c r="Y1502" s="83"/>
      <c r="Z1502" s="83"/>
      <c r="AA1502" s="83"/>
      <c r="AB1502" s="83"/>
      <c r="AC1502" s="83"/>
      <c r="AD1502" s="83"/>
      <c r="AE1502" s="83"/>
      <c r="AF1502" s="83"/>
      <c r="AG1502" s="83"/>
      <c r="AH1502" s="83"/>
      <c r="AI1502" s="83"/>
      <c r="AJ1502" s="83"/>
      <c r="AK1502" s="83"/>
      <c r="AL1502" s="83"/>
    </row>
    <row r="1503" spans="1:38" s="206" customFormat="1" ht="24.75" hidden="1" customHeight="1" x14ac:dyDescent="0.2">
      <c r="A1503" s="560"/>
      <c r="B1503" s="173" t="s">
        <v>428</v>
      </c>
      <c r="C1503" s="34" t="s">
        <v>426</v>
      </c>
      <c r="D1503" s="185">
        <v>0.15</v>
      </c>
      <c r="E1503" s="89">
        <v>2</v>
      </c>
      <c r="F1503" s="89">
        <v>0.82000000000000006</v>
      </c>
      <c r="G1503" s="185">
        <f t="shared" si="56"/>
        <v>0.41000000000000003</v>
      </c>
      <c r="H1503" s="82" t="s">
        <v>669</v>
      </c>
      <c r="J1503" s="83"/>
      <c r="K1503" s="83"/>
      <c r="L1503" s="83"/>
      <c r="M1503" s="83"/>
      <c r="N1503" s="83"/>
      <c r="O1503" s="83"/>
      <c r="P1503" s="83"/>
      <c r="Q1503" s="83"/>
      <c r="R1503" s="83"/>
      <c r="S1503" s="83"/>
      <c r="T1503" s="83"/>
      <c r="U1503" s="83"/>
      <c r="V1503" s="83"/>
      <c r="W1503" s="83"/>
      <c r="X1503" s="83"/>
      <c r="Y1503" s="83"/>
      <c r="Z1503" s="83"/>
      <c r="AA1503" s="83"/>
      <c r="AB1503" s="83"/>
      <c r="AC1503" s="83"/>
      <c r="AD1503" s="83"/>
      <c r="AE1503" s="83"/>
      <c r="AF1503" s="83"/>
      <c r="AG1503" s="83"/>
      <c r="AH1503" s="83"/>
      <c r="AI1503" s="83"/>
      <c r="AJ1503" s="83"/>
      <c r="AK1503" s="83"/>
      <c r="AL1503" s="83"/>
    </row>
    <row r="1504" spans="1:38" s="206" customFormat="1" ht="24.75" hidden="1" customHeight="1" x14ac:dyDescent="0.2">
      <c r="A1504" s="560"/>
      <c r="B1504" s="173" t="s">
        <v>429</v>
      </c>
      <c r="C1504" s="34" t="s">
        <v>426</v>
      </c>
      <c r="D1504" s="185">
        <v>0.15</v>
      </c>
      <c r="E1504" s="90">
        <v>1385</v>
      </c>
      <c r="F1504" s="89">
        <v>410</v>
      </c>
      <c r="G1504" s="185">
        <f t="shared" si="56"/>
        <v>0.29602888086642598</v>
      </c>
      <c r="H1504" s="82" t="s">
        <v>668</v>
      </c>
      <c r="J1504" s="83"/>
      <c r="K1504" s="83"/>
      <c r="L1504" s="83"/>
      <c r="M1504" s="83"/>
      <c r="N1504" s="83"/>
      <c r="O1504" s="83"/>
      <c r="P1504" s="83"/>
      <c r="Q1504" s="83"/>
      <c r="R1504" s="83"/>
      <c r="S1504" s="83"/>
      <c r="T1504" s="83"/>
      <c r="U1504" s="83"/>
      <c r="V1504" s="83"/>
      <c r="W1504" s="83"/>
      <c r="X1504" s="83"/>
      <c r="Y1504" s="83"/>
      <c r="Z1504" s="83"/>
      <c r="AA1504" s="83"/>
      <c r="AB1504" s="83"/>
      <c r="AC1504" s="83"/>
      <c r="AD1504" s="83"/>
      <c r="AE1504" s="83"/>
      <c r="AF1504" s="83"/>
      <c r="AG1504" s="83"/>
      <c r="AH1504" s="83"/>
      <c r="AI1504" s="83"/>
      <c r="AJ1504" s="83"/>
      <c r="AK1504" s="83"/>
      <c r="AL1504" s="83"/>
    </row>
    <row r="1505" spans="1:38" s="206" customFormat="1" ht="24.75" hidden="1" customHeight="1" x14ac:dyDescent="0.2">
      <c r="A1505" s="560"/>
      <c r="B1505" s="173" t="s">
        <v>430</v>
      </c>
      <c r="C1505" s="34" t="s">
        <v>426</v>
      </c>
      <c r="D1505" s="185">
        <v>0.15</v>
      </c>
      <c r="E1505" s="89">
        <v>1</v>
      </c>
      <c r="F1505" s="89">
        <v>1</v>
      </c>
      <c r="G1505" s="185">
        <f t="shared" si="56"/>
        <v>1</v>
      </c>
      <c r="H1505" s="82" t="s">
        <v>671</v>
      </c>
      <c r="J1505" s="83"/>
      <c r="K1505" s="83"/>
      <c r="L1505" s="83"/>
      <c r="M1505" s="83"/>
      <c r="N1505" s="83"/>
      <c r="O1505" s="83"/>
      <c r="P1505" s="83"/>
      <c r="Q1505" s="83"/>
      <c r="R1505" s="83"/>
      <c r="S1505" s="83"/>
      <c r="T1505" s="83"/>
      <c r="U1505" s="83"/>
      <c r="V1505" s="83"/>
      <c r="W1505" s="83"/>
      <c r="X1505" s="83"/>
      <c r="Y1505" s="83"/>
      <c r="Z1505" s="83"/>
      <c r="AA1505" s="83"/>
      <c r="AB1505" s="83"/>
      <c r="AC1505" s="83"/>
      <c r="AD1505" s="83"/>
      <c r="AE1505" s="83"/>
      <c r="AF1505" s="83"/>
      <c r="AG1505" s="83"/>
      <c r="AH1505" s="83"/>
      <c r="AI1505" s="83"/>
      <c r="AJ1505" s="83"/>
      <c r="AK1505" s="83"/>
      <c r="AL1505" s="83"/>
    </row>
    <row r="1506" spans="1:38" s="206" customFormat="1" ht="24.75" hidden="1" customHeight="1" x14ac:dyDescent="0.2">
      <c r="A1506" s="560"/>
      <c r="B1506" s="173" t="s">
        <v>431</v>
      </c>
      <c r="C1506" s="34" t="s">
        <v>426</v>
      </c>
      <c r="D1506" s="185">
        <v>0.15</v>
      </c>
      <c r="E1506" s="89">
        <v>370</v>
      </c>
      <c r="F1506" s="89">
        <v>179</v>
      </c>
      <c r="G1506" s="185">
        <f t="shared" si="56"/>
        <v>0.48378378378378378</v>
      </c>
      <c r="H1506" s="82" t="s">
        <v>667</v>
      </c>
      <c r="J1506" s="83"/>
      <c r="K1506" s="83"/>
      <c r="L1506" s="83"/>
      <c r="M1506" s="83"/>
      <c r="N1506" s="83"/>
      <c r="O1506" s="83"/>
      <c r="P1506" s="83"/>
      <c r="Q1506" s="83"/>
      <c r="R1506" s="83"/>
      <c r="S1506" s="83"/>
      <c r="T1506" s="83"/>
      <c r="U1506" s="83"/>
      <c r="V1506" s="83"/>
      <c r="W1506" s="83"/>
      <c r="X1506" s="83"/>
      <c r="Y1506" s="83"/>
      <c r="Z1506" s="83"/>
      <c r="AA1506" s="83"/>
      <c r="AB1506" s="83"/>
      <c r="AC1506" s="83"/>
      <c r="AD1506" s="83"/>
      <c r="AE1506" s="83"/>
      <c r="AF1506" s="83"/>
      <c r="AG1506" s="83"/>
      <c r="AH1506" s="83"/>
      <c r="AI1506" s="83"/>
      <c r="AJ1506" s="83"/>
      <c r="AK1506" s="83"/>
      <c r="AL1506" s="83"/>
    </row>
    <row r="1507" spans="1:38" s="206" customFormat="1" ht="24.75" hidden="1" customHeight="1" x14ac:dyDescent="0.2">
      <c r="A1507" s="516"/>
      <c r="B1507" s="173" t="s">
        <v>432</v>
      </c>
      <c r="C1507" s="34" t="s">
        <v>426</v>
      </c>
      <c r="D1507" s="185">
        <v>0.1</v>
      </c>
      <c r="E1507" s="185">
        <v>1</v>
      </c>
      <c r="F1507" s="185">
        <v>1</v>
      </c>
      <c r="G1507" s="185">
        <f t="shared" si="56"/>
        <v>1</v>
      </c>
      <c r="H1507" s="82" t="s">
        <v>672</v>
      </c>
      <c r="J1507" s="83"/>
      <c r="K1507" s="83"/>
      <c r="L1507" s="83"/>
      <c r="M1507" s="83"/>
      <c r="N1507" s="83"/>
      <c r="O1507" s="83"/>
      <c r="P1507" s="83"/>
      <c r="Q1507" s="83"/>
      <c r="R1507" s="83"/>
      <c r="S1507" s="83"/>
      <c r="T1507" s="83"/>
      <c r="U1507" s="83"/>
      <c r="V1507" s="83"/>
      <c r="W1507" s="83"/>
      <c r="X1507" s="83"/>
      <c r="Y1507" s="83"/>
      <c r="Z1507" s="83"/>
      <c r="AA1507" s="83"/>
      <c r="AB1507" s="83"/>
      <c r="AC1507" s="83"/>
      <c r="AD1507" s="83"/>
      <c r="AE1507" s="83"/>
      <c r="AF1507" s="83"/>
      <c r="AG1507" s="83"/>
      <c r="AH1507" s="83"/>
      <c r="AI1507" s="83"/>
      <c r="AJ1507" s="83"/>
      <c r="AK1507" s="83"/>
      <c r="AL1507" s="83"/>
    </row>
    <row r="1508" spans="1:38" s="206" customFormat="1" ht="24.75" hidden="1" customHeight="1" x14ac:dyDescent="0.2">
      <c r="A1508" s="564" t="s">
        <v>684</v>
      </c>
      <c r="B1508" s="190" t="s">
        <v>425</v>
      </c>
      <c r="C1508" s="191" t="s">
        <v>426</v>
      </c>
      <c r="D1508" s="192">
        <v>0.15</v>
      </c>
      <c r="E1508" s="193">
        <v>20</v>
      </c>
      <c r="F1508" s="193">
        <v>20</v>
      </c>
      <c r="G1508" s="192">
        <f>F1508/E1508</f>
        <v>1</v>
      </c>
      <c r="H1508" s="216" t="str">
        <f t="shared" ref="H1508:H1521" si="57">+L819</f>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c r="J1508" s="83"/>
      <c r="K1508" s="83"/>
      <c r="L1508" s="83"/>
      <c r="M1508" s="83"/>
      <c r="N1508" s="83"/>
      <c r="O1508" s="83"/>
      <c r="P1508" s="83"/>
      <c r="Q1508" s="83"/>
      <c r="R1508" s="83"/>
      <c r="S1508" s="83"/>
      <c r="T1508" s="83"/>
      <c r="U1508" s="83"/>
      <c r="V1508" s="83"/>
      <c r="W1508" s="83"/>
      <c r="X1508" s="83"/>
      <c r="Y1508" s="83"/>
      <c r="Z1508" s="83"/>
      <c r="AA1508" s="83"/>
      <c r="AB1508" s="83"/>
      <c r="AC1508" s="83"/>
      <c r="AD1508" s="83"/>
      <c r="AE1508" s="83"/>
      <c r="AF1508" s="83"/>
      <c r="AG1508" s="83"/>
      <c r="AH1508" s="83"/>
      <c r="AI1508" s="83"/>
      <c r="AJ1508" s="83"/>
      <c r="AK1508" s="83"/>
      <c r="AL1508" s="83"/>
    </row>
    <row r="1509" spans="1:38" s="206" customFormat="1" ht="24.75" hidden="1" customHeight="1" x14ac:dyDescent="0.2">
      <c r="A1509" s="565"/>
      <c r="B1509" s="190" t="s">
        <v>427</v>
      </c>
      <c r="C1509" s="191" t="s">
        <v>426</v>
      </c>
      <c r="D1509" s="192">
        <v>0.15</v>
      </c>
      <c r="E1509" s="194">
        <v>7</v>
      </c>
      <c r="F1509" s="194">
        <v>3</v>
      </c>
      <c r="G1509" s="192">
        <f t="shared" ref="G1509:G1514" si="58">F1509/E1509</f>
        <v>0.42857142857142855</v>
      </c>
      <c r="H1509" s="216" t="str">
        <f t="shared" si="57"/>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c r="J1509" s="83"/>
      <c r="K1509" s="83"/>
      <c r="L1509" s="83"/>
      <c r="M1509" s="83"/>
      <c r="N1509" s="83"/>
      <c r="O1509" s="83"/>
      <c r="P1509" s="83"/>
      <c r="Q1509" s="83"/>
      <c r="R1509" s="83"/>
      <c r="S1509" s="83"/>
      <c r="T1509" s="83"/>
      <c r="U1509" s="83"/>
      <c r="V1509" s="83"/>
      <c r="W1509" s="83"/>
      <c r="X1509" s="83"/>
      <c r="Y1509" s="83"/>
      <c r="Z1509" s="83"/>
      <c r="AA1509" s="83"/>
      <c r="AB1509" s="83"/>
      <c r="AC1509" s="83"/>
      <c r="AD1509" s="83"/>
      <c r="AE1509" s="83"/>
      <c r="AF1509" s="83"/>
      <c r="AG1509" s="83"/>
      <c r="AH1509" s="83"/>
      <c r="AI1509" s="83"/>
      <c r="AJ1509" s="83"/>
      <c r="AK1509" s="83"/>
      <c r="AL1509" s="83"/>
    </row>
    <row r="1510" spans="1:38" s="206" customFormat="1" ht="24.75" hidden="1" customHeight="1" x14ac:dyDescent="0.2">
      <c r="A1510" s="565"/>
      <c r="B1510" s="190" t="s">
        <v>428</v>
      </c>
      <c r="C1510" s="191" t="s">
        <v>426</v>
      </c>
      <c r="D1510" s="192">
        <v>0.15</v>
      </c>
      <c r="E1510" s="194">
        <v>2</v>
      </c>
      <c r="F1510" s="194">
        <v>1</v>
      </c>
      <c r="G1510" s="192">
        <f t="shared" si="58"/>
        <v>0.5</v>
      </c>
      <c r="H1510" s="216" t="str">
        <f t="shared" si="57"/>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c r="J1510" s="83"/>
      <c r="K1510" s="83"/>
      <c r="L1510" s="83"/>
      <c r="M1510" s="83"/>
      <c r="N1510" s="83"/>
      <c r="O1510" s="83"/>
      <c r="P1510" s="83"/>
      <c r="Q1510" s="83"/>
      <c r="R1510" s="83"/>
      <c r="S1510" s="83"/>
      <c r="T1510" s="83"/>
      <c r="U1510" s="83"/>
      <c r="V1510" s="83"/>
      <c r="W1510" s="83"/>
      <c r="X1510" s="83"/>
      <c r="Y1510" s="83"/>
      <c r="Z1510" s="83"/>
      <c r="AA1510" s="83"/>
      <c r="AB1510" s="83"/>
      <c r="AC1510" s="83"/>
      <c r="AD1510" s="83"/>
      <c r="AE1510" s="83"/>
      <c r="AF1510" s="83"/>
      <c r="AG1510" s="83"/>
      <c r="AH1510" s="83"/>
      <c r="AI1510" s="83"/>
      <c r="AJ1510" s="83"/>
      <c r="AK1510" s="83"/>
      <c r="AL1510" s="83"/>
    </row>
    <row r="1511" spans="1:38" s="206" customFormat="1" ht="24.75" hidden="1" customHeight="1" x14ac:dyDescent="0.2">
      <c r="A1511" s="565"/>
      <c r="B1511" s="190" t="s">
        <v>429</v>
      </c>
      <c r="C1511" s="191" t="s">
        <v>426</v>
      </c>
      <c r="D1511" s="192">
        <v>0.15</v>
      </c>
      <c r="E1511" s="195">
        <v>1385</v>
      </c>
      <c r="F1511" s="194">
        <v>521</v>
      </c>
      <c r="G1511" s="192">
        <f t="shared" si="58"/>
        <v>0.37617328519855597</v>
      </c>
      <c r="H1511" s="216">
        <f t="shared" si="57"/>
        <v>0</v>
      </c>
      <c r="J1511" s="83"/>
      <c r="K1511" s="83"/>
      <c r="L1511" s="83"/>
      <c r="M1511" s="83"/>
      <c r="N1511" s="83"/>
      <c r="O1511" s="83"/>
      <c r="P1511" s="83"/>
      <c r="Q1511" s="83"/>
      <c r="R1511" s="83"/>
      <c r="S1511" s="83"/>
      <c r="T1511" s="83"/>
      <c r="U1511" s="83"/>
      <c r="V1511" s="83"/>
      <c r="W1511" s="83"/>
      <c r="X1511" s="83"/>
      <c r="Y1511" s="83"/>
      <c r="Z1511" s="83"/>
      <c r="AA1511" s="83"/>
      <c r="AB1511" s="83"/>
      <c r="AC1511" s="83"/>
      <c r="AD1511" s="83"/>
      <c r="AE1511" s="83"/>
      <c r="AF1511" s="83"/>
      <c r="AG1511" s="83"/>
      <c r="AH1511" s="83"/>
      <c r="AI1511" s="83"/>
      <c r="AJ1511" s="83"/>
      <c r="AK1511" s="83"/>
      <c r="AL1511" s="83"/>
    </row>
    <row r="1512" spans="1:38" s="206" customFormat="1" ht="24.75" hidden="1" customHeight="1" x14ac:dyDescent="0.2">
      <c r="A1512" s="565"/>
      <c r="B1512" s="190" t="s">
        <v>430</v>
      </c>
      <c r="C1512" s="191" t="s">
        <v>426</v>
      </c>
      <c r="D1512" s="192">
        <v>0.15</v>
      </c>
      <c r="E1512" s="194">
        <v>1</v>
      </c>
      <c r="F1512" s="194">
        <v>1</v>
      </c>
      <c r="G1512" s="192">
        <f t="shared" si="58"/>
        <v>1</v>
      </c>
      <c r="H1512" s="216" t="str">
        <f t="shared" si="57"/>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c r="J1512" s="83"/>
      <c r="K1512" s="83"/>
      <c r="L1512" s="83"/>
      <c r="M1512" s="83"/>
      <c r="N1512" s="83"/>
      <c r="O1512" s="83"/>
      <c r="P1512" s="83"/>
      <c r="Q1512" s="83"/>
      <c r="R1512" s="83"/>
      <c r="S1512" s="83"/>
      <c r="T1512" s="83"/>
      <c r="U1512" s="83"/>
      <c r="V1512" s="83"/>
      <c r="W1512" s="83"/>
      <c r="X1512" s="83"/>
      <c r="Y1512" s="83"/>
      <c r="Z1512" s="83"/>
      <c r="AA1512" s="83"/>
      <c r="AB1512" s="83"/>
      <c r="AC1512" s="83"/>
      <c r="AD1512" s="83"/>
      <c r="AE1512" s="83"/>
      <c r="AF1512" s="83"/>
      <c r="AG1512" s="83"/>
      <c r="AH1512" s="83"/>
      <c r="AI1512" s="83"/>
      <c r="AJ1512" s="83"/>
      <c r="AK1512" s="83"/>
      <c r="AL1512" s="83"/>
    </row>
    <row r="1513" spans="1:38" s="206" customFormat="1" ht="24.75" hidden="1" customHeight="1" x14ac:dyDescent="0.2">
      <c r="A1513" s="565"/>
      <c r="B1513" s="190" t="s">
        <v>431</v>
      </c>
      <c r="C1513" s="191" t="s">
        <v>426</v>
      </c>
      <c r="D1513" s="192">
        <v>0.15</v>
      </c>
      <c r="E1513" s="194">
        <v>370</v>
      </c>
      <c r="F1513" s="194">
        <v>394</v>
      </c>
      <c r="G1513" s="192">
        <f>F1513/E1513</f>
        <v>1.0648648648648649</v>
      </c>
      <c r="H1513" s="216" t="str">
        <f t="shared" si="57"/>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c r="J1513" s="83"/>
      <c r="K1513" s="83"/>
      <c r="L1513" s="83"/>
      <c r="M1513" s="83"/>
      <c r="N1513" s="83"/>
      <c r="O1513" s="83"/>
      <c r="P1513" s="83"/>
      <c r="Q1513" s="83"/>
      <c r="R1513" s="83"/>
      <c r="S1513" s="83"/>
      <c r="T1513" s="83"/>
      <c r="U1513" s="83"/>
      <c r="V1513" s="83"/>
      <c r="W1513" s="83"/>
      <c r="X1513" s="83"/>
      <c r="Y1513" s="83"/>
      <c r="Z1513" s="83"/>
      <c r="AA1513" s="83"/>
      <c r="AB1513" s="83"/>
      <c r="AC1513" s="83"/>
      <c r="AD1513" s="83"/>
      <c r="AE1513" s="83"/>
      <c r="AF1513" s="83"/>
      <c r="AG1513" s="83"/>
      <c r="AH1513" s="83"/>
      <c r="AI1513" s="83"/>
      <c r="AJ1513" s="83"/>
      <c r="AK1513" s="83"/>
      <c r="AL1513" s="83"/>
    </row>
    <row r="1514" spans="1:38" s="206" customFormat="1" ht="24.75" hidden="1" customHeight="1" x14ac:dyDescent="0.2">
      <c r="A1514" s="566"/>
      <c r="B1514" s="190" t="s">
        <v>432</v>
      </c>
      <c r="C1514" s="191" t="s">
        <v>426</v>
      </c>
      <c r="D1514" s="192">
        <v>0.1</v>
      </c>
      <c r="E1514" s="192">
        <v>1</v>
      </c>
      <c r="F1514" s="192">
        <v>1</v>
      </c>
      <c r="G1514" s="192">
        <f t="shared" si="58"/>
        <v>1</v>
      </c>
      <c r="H1514" s="216" t="str">
        <f t="shared" si="57"/>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c r="J1514" s="83"/>
      <c r="K1514" s="83"/>
      <c r="L1514" s="83"/>
      <c r="M1514" s="83"/>
      <c r="N1514" s="83"/>
      <c r="O1514" s="83"/>
      <c r="P1514" s="83"/>
      <c r="Q1514" s="83"/>
      <c r="R1514" s="83"/>
      <c r="S1514" s="83"/>
      <c r="T1514" s="83"/>
      <c r="U1514" s="83"/>
      <c r="V1514" s="83"/>
      <c r="W1514" s="83"/>
      <c r="X1514" s="83"/>
      <c r="Y1514" s="83"/>
      <c r="Z1514" s="83"/>
      <c r="AA1514" s="83"/>
      <c r="AB1514" s="83"/>
      <c r="AC1514" s="83"/>
      <c r="AD1514" s="83"/>
      <c r="AE1514" s="83"/>
      <c r="AF1514" s="83"/>
      <c r="AG1514" s="83"/>
      <c r="AH1514" s="83"/>
      <c r="AI1514" s="83"/>
      <c r="AJ1514" s="83"/>
      <c r="AK1514" s="83"/>
      <c r="AL1514" s="83"/>
    </row>
    <row r="1515" spans="1:38" s="206" customFormat="1" ht="24.75" hidden="1" customHeight="1" x14ac:dyDescent="0.2">
      <c r="A1515" s="564" t="s">
        <v>686</v>
      </c>
      <c r="B1515" s="190" t="s">
        <v>425</v>
      </c>
      <c r="C1515" s="191" t="s">
        <v>426</v>
      </c>
      <c r="D1515" s="192">
        <v>0.15</v>
      </c>
      <c r="E1515" s="193">
        <v>20</v>
      </c>
      <c r="F1515" s="193">
        <v>20</v>
      </c>
      <c r="G1515" s="192">
        <f>F1515/E1515</f>
        <v>1</v>
      </c>
      <c r="H1515" s="235" t="str">
        <f t="shared" si="57"/>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c r="J1515" s="83"/>
      <c r="K1515" s="83"/>
      <c r="L1515" s="83"/>
      <c r="M1515" s="83"/>
      <c r="N1515" s="83"/>
      <c r="O1515" s="83"/>
      <c r="P1515" s="83"/>
      <c r="Q1515" s="83"/>
      <c r="R1515" s="83"/>
      <c r="S1515" s="83"/>
      <c r="T1515" s="83"/>
      <c r="U1515" s="83"/>
      <c r="V1515" s="83"/>
      <c r="W1515" s="83"/>
      <c r="X1515" s="83"/>
      <c r="Y1515" s="83"/>
      <c r="Z1515" s="83"/>
      <c r="AA1515" s="83"/>
      <c r="AB1515" s="83"/>
      <c r="AC1515" s="83"/>
      <c r="AD1515" s="83"/>
      <c r="AE1515" s="83"/>
      <c r="AF1515" s="83"/>
      <c r="AG1515" s="83"/>
      <c r="AH1515" s="83"/>
      <c r="AI1515" s="83"/>
      <c r="AJ1515" s="83"/>
      <c r="AK1515" s="83"/>
      <c r="AL1515" s="83"/>
    </row>
    <row r="1516" spans="1:38" s="206" customFormat="1" ht="24.75" hidden="1" customHeight="1" x14ac:dyDescent="0.2">
      <c r="A1516" s="565"/>
      <c r="B1516" s="190" t="s">
        <v>427</v>
      </c>
      <c r="C1516" s="191" t="s">
        <v>426</v>
      </c>
      <c r="D1516" s="192">
        <v>0.15</v>
      </c>
      <c r="E1516" s="194">
        <f>+INVERSIÓN!DL17</f>
        <v>7</v>
      </c>
      <c r="F1516" s="194">
        <f>+INVERSIÓN!DM17</f>
        <v>7</v>
      </c>
      <c r="G1516" s="192">
        <f t="shared" ref="G1516:G1521" si="59">F1516/E1516</f>
        <v>1</v>
      </c>
      <c r="H1516" s="235" t="str">
        <f t="shared" si="57"/>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c r="J1516" s="83"/>
      <c r="K1516" s="83"/>
      <c r="L1516" s="83"/>
      <c r="M1516" s="83"/>
      <c r="N1516" s="83"/>
      <c r="O1516" s="83"/>
      <c r="P1516" s="83"/>
      <c r="Q1516" s="83"/>
      <c r="R1516" s="83"/>
      <c r="S1516" s="83"/>
      <c r="T1516" s="83"/>
      <c r="U1516" s="83"/>
      <c r="V1516" s="83"/>
      <c r="W1516" s="83"/>
      <c r="X1516" s="83"/>
      <c r="Y1516" s="83"/>
      <c r="Z1516" s="83"/>
      <c r="AA1516" s="83"/>
      <c r="AB1516" s="83"/>
      <c r="AC1516" s="83"/>
      <c r="AD1516" s="83"/>
      <c r="AE1516" s="83"/>
      <c r="AF1516" s="83"/>
      <c r="AG1516" s="83"/>
      <c r="AH1516" s="83"/>
      <c r="AI1516" s="83"/>
      <c r="AJ1516" s="83"/>
      <c r="AK1516" s="83"/>
      <c r="AL1516" s="83"/>
    </row>
    <row r="1517" spans="1:38" s="206" customFormat="1" ht="24.75" hidden="1" customHeight="1" x14ac:dyDescent="0.2">
      <c r="A1517" s="565"/>
      <c r="B1517" s="190" t="s">
        <v>428</v>
      </c>
      <c r="C1517" s="191" t="s">
        <v>426</v>
      </c>
      <c r="D1517" s="192">
        <v>0.15</v>
      </c>
      <c r="E1517" s="194">
        <f>+INVERSIÓN!DL24</f>
        <v>1.9999999999999998</v>
      </c>
      <c r="F1517" s="194">
        <f>+INVERSIÓN!DM24</f>
        <v>1.9999999999999998</v>
      </c>
      <c r="G1517" s="192">
        <f t="shared" si="59"/>
        <v>1</v>
      </c>
      <c r="H1517" s="235" t="str">
        <f t="shared" si="57"/>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c r="J1517" s="83"/>
      <c r="K1517" s="83"/>
      <c r="L1517" s="83"/>
      <c r="M1517" s="83"/>
      <c r="N1517" s="83"/>
      <c r="O1517" s="83"/>
      <c r="P1517" s="83"/>
      <c r="Q1517" s="83"/>
      <c r="R1517" s="83"/>
      <c r="S1517" s="83"/>
      <c r="T1517" s="83"/>
      <c r="U1517" s="83"/>
      <c r="V1517" s="83"/>
      <c r="W1517" s="83"/>
      <c r="X1517" s="83"/>
      <c r="Y1517" s="83"/>
      <c r="Z1517" s="83"/>
      <c r="AA1517" s="83"/>
      <c r="AB1517" s="83"/>
      <c r="AC1517" s="83"/>
      <c r="AD1517" s="83"/>
      <c r="AE1517" s="83"/>
      <c r="AF1517" s="83"/>
      <c r="AG1517" s="83"/>
      <c r="AH1517" s="83"/>
      <c r="AI1517" s="83"/>
      <c r="AJ1517" s="83"/>
      <c r="AK1517" s="83"/>
      <c r="AL1517" s="83"/>
    </row>
    <row r="1518" spans="1:38" s="206" customFormat="1" ht="24.75" hidden="1" customHeight="1" x14ac:dyDescent="0.2">
      <c r="A1518" s="565"/>
      <c r="B1518" s="190" t="s">
        <v>429</v>
      </c>
      <c r="C1518" s="191" t="s">
        <v>426</v>
      </c>
      <c r="D1518" s="192">
        <v>0.15</v>
      </c>
      <c r="E1518" s="195">
        <v>1385</v>
      </c>
      <c r="F1518" s="194">
        <v>642</v>
      </c>
      <c r="G1518" s="192">
        <f t="shared" si="59"/>
        <v>0.4635379061371841</v>
      </c>
      <c r="H1518" s="235">
        <f t="shared" si="57"/>
        <v>0</v>
      </c>
      <c r="J1518" s="83"/>
      <c r="K1518" s="83"/>
      <c r="L1518" s="83"/>
      <c r="M1518" s="83"/>
      <c r="N1518" s="83"/>
      <c r="O1518" s="83"/>
      <c r="P1518" s="83"/>
      <c r="Q1518" s="83"/>
      <c r="R1518" s="83"/>
      <c r="S1518" s="83"/>
      <c r="T1518" s="83"/>
      <c r="U1518" s="83"/>
      <c r="V1518" s="83"/>
      <c r="W1518" s="83"/>
      <c r="X1518" s="83"/>
      <c r="Y1518" s="83"/>
      <c r="Z1518" s="83"/>
      <c r="AA1518" s="83"/>
      <c r="AB1518" s="83"/>
      <c r="AC1518" s="83"/>
      <c r="AD1518" s="83"/>
      <c r="AE1518" s="83"/>
      <c r="AF1518" s="83"/>
      <c r="AG1518" s="83"/>
      <c r="AH1518" s="83"/>
      <c r="AI1518" s="83"/>
      <c r="AJ1518" s="83"/>
      <c r="AK1518" s="83"/>
      <c r="AL1518" s="83"/>
    </row>
    <row r="1519" spans="1:38" s="206" customFormat="1" ht="24.75" hidden="1" customHeight="1" x14ac:dyDescent="0.2">
      <c r="A1519" s="565"/>
      <c r="B1519" s="190" t="s">
        <v>430</v>
      </c>
      <c r="C1519" s="191" t="s">
        <v>426</v>
      </c>
      <c r="D1519" s="192">
        <v>0.15</v>
      </c>
      <c r="E1519" s="194">
        <v>1</v>
      </c>
      <c r="F1519" s="194">
        <v>1</v>
      </c>
      <c r="G1519" s="192">
        <f t="shared" si="59"/>
        <v>1</v>
      </c>
      <c r="H1519" s="235" t="str">
        <f t="shared" si="57"/>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c r="J1519" s="83"/>
      <c r="K1519" s="83"/>
      <c r="L1519" s="83"/>
      <c r="M1519" s="83"/>
      <c r="N1519" s="83"/>
      <c r="O1519" s="83"/>
      <c r="P1519" s="83"/>
      <c r="Q1519" s="83"/>
      <c r="R1519" s="83"/>
      <c r="S1519" s="83"/>
      <c r="T1519" s="83"/>
      <c r="U1519" s="83"/>
      <c r="V1519" s="83"/>
      <c r="W1519" s="83"/>
      <c r="X1519" s="83"/>
      <c r="Y1519" s="83"/>
      <c r="Z1519" s="83"/>
      <c r="AA1519" s="83"/>
      <c r="AB1519" s="83"/>
      <c r="AC1519" s="83"/>
      <c r="AD1519" s="83"/>
      <c r="AE1519" s="83"/>
      <c r="AF1519" s="83"/>
      <c r="AG1519" s="83"/>
      <c r="AH1519" s="83"/>
      <c r="AI1519" s="83"/>
      <c r="AJ1519" s="83"/>
      <c r="AK1519" s="83"/>
      <c r="AL1519" s="83"/>
    </row>
    <row r="1520" spans="1:38" ht="24.75" hidden="1" customHeight="1" x14ac:dyDescent="0.2">
      <c r="A1520" s="565"/>
      <c r="B1520" s="190" t="s">
        <v>431</v>
      </c>
      <c r="C1520" s="191" t="s">
        <v>426</v>
      </c>
      <c r="D1520" s="192">
        <v>0.15</v>
      </c>
      <c r="E1520" s="194">
        <f>+INVERSIÓN!DL45</f>
        <v>1193</v>
      </c>
      <c r="F1520" s="194">
        <f>+INVERSIÓN!DM45</f>
        <v>1193</v>
      </c>
      <c r="G1520" s="192">
        <f t="shared" si="59"/>
        <v>1</v>
      </c>
      <c r="H1520" s="235" t="str">
        <f t="shared" si="57"/>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row>
    <row r="1521" spans="1:38" ht="24.75" hidden="1" customHeight="1" x14ac:dyDescent="0.2">
      <c r="A1521" s="566"/>
      <c r="B1521" s="190" t="s">
        <v>432</v>
      </c>
      <c r="C1521" s="191" t="s">
        <v>426</v>
      </c>
      <c r="D1521" s="192">
        <v>0.1</v>
      </c>
      <c r="E1521" s="192">
        <v>1</v>
      </c>
      <c r="F1521" s="192">
        <v>1</v>
      </c>
      <c r="G1521" s="192">
        <f t="shared" si="59"/>
        <v>1</v>
      </c>
      <c r="H1521" s="235" t="str">
        <f t="shared" si="57"/>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row>
    <row r="1522" spans="1:38" s="206" customFormat="1" ht="24.75" hidden="1" customHeight="1" x14ac:dyDescent="0.2">
      <c r="A1522" s="564" t="s">
        <v>688</v>
      </c>
      <c r="B1522" s="190" t="s">
        <v>425</v>
      </c>
      <c r="C1522" s="191" t="s">
        <v>426</v>
      </c>
      <c r="D1522" s="192">
        <v>0.15</v>
      </c>
      <c r="E1522" s="193">
        <v>20</v>
      </c>
      <c r="F1522" s="193">
        <v>20</v>
      </c>
      <c r="G1522" s="192">
        <v>1</v>
      </c>
      <c r="H1522" s="235" t="s">
        <v>693</v>
      </c>
      <c r="J1522" s="83"/>
      <c r="K1522" s="83"/>
      <c r="L1522" s="83"/>
      <c r="M1522" s="83"/>
      <c r="N1522" s="83"/>
      <c r="O1522" s="83"/>
      <c r="P1522" s="83"/>
      <c r="Q1522" s="83"/>
      <c r="R1522" s="83"/>
      <c r="S1522" s="83"/>
      <c r="T1522" s="83"/>
      <c r="U1522" s="83"/>
      <c r="V1522" s="83"/>
      <c r="W1522" s="83"/>
      <c r="X1522" s="83"/>
      <c r="Y1522" s="83"/>
      <c r="Z1522" s="83"/>
      <c r="AA1522" s="83"/>
      <c r="AB1522" s="83"/>
      <c r="AC1522" s="83"/>
      <c r="AD1522" s="83"/>
      <c r="AE1522" s="83"/>
      <c r="AF1522" s="83"/>
      <c r="AG1522" s="83"/>
      <c r="AH1522" s="83"/>
      <c r="AI1522" s="83"/>
      <c r="AJ1522" s="83"/>
      <c r="AK1522" s="83"/>
      <c r="AL1522" s="83"/>
    </row>
    <row r="1523" spans="1:38" s="206" customFormat="1" ht="24.75" hidden="1" customHeight="1" x14ac:dyDescent="0.2">
      <c r="A1523" s="565"/>
      <c r="B1523" s="190" t="s">
        <v>427</v>
      </c>
      <c r="C1523" s="191" t="s">
        <v>426</v>
      </c>
      <c r="D1523" s="192">
        <v>0.15</v>
      </c>
      <c r="E1523" s="194">
        <v>7</v>
      </c>
      <c r="F1523" s="194">
        <v>4</v>
      </c>
      <c r="G1523" s="192">
        <v>0.5714285714285714</v>
      </c>
      <c r="H1523" s="235" t="s">
        <v>694</v>
      </c>
      <c r="J1523" s="83"/>
      <c r="K1523" s="83"/>
      <c r="L1523" s="83"/>
      <c r="M1523" s="83"/>
      <c r="N1523" s="83"/>
      <c r="O1523" s="83"/>
      <c r="P1523" s="83"/>
      <c r="Q1523" s="83"/>
      <c r="R1523" s="83"/>
      <c r="S1523" s="83"/>
      <c r="T1523" s="83"/>
      <c r="U1523" s="83"/>
      <c r="V1523" s="83"/>
      <c r="W1523" s="83"/>
      <c r="X1523" s="83"/>
      <c r="Y1523" s="83"/>
      <c r="Z1523" s="83"/>
      <c r="AA1523" s="83"/>
      <c r="AB1523" s="83"/>
      <c r="AC1523" s="83"/>
      <c r="AD1523" s="83"/>
      <c r="AE1523" s="83"/>
      <c r="AF1523" s="83"/>
      <c r="AG1523" s="83"/>
      <c r="AH1523" s="83"/>
      <c r="AI1523" s="83"/>
      <c r="AJ1523" s="83"/>
      <c r="AK1523" s="83"/>
      <c r="AL1523" s="83"/>
    </row>
    <row r="1524" spans="1:38" s="206" customFormat="1" ht="24.75" hidden="1" customHeight="1" x14ac:dyDescent="0.2">
      <c r="A1524" s="565"/>
      <c r="B1524" s="190" t="s">
        <v>428</v>
      </c>
      <c r="C1524" s="191" t="s">
        <v>426</v>
      </c>
      <c r="D1524" s="192">
        <v>0.15</v>
      </c>
      <c r="E1524" s="194">
        <v>1.9999999999999998</v>
      </c>
      <c r="F1524" s="194">
        <v>1.5</v>
      </c>
      <c r="G1524" s="192">
        <v>0.75000000000000011</v>
      </c>
      <c r="H1524" s="235" t="s">
        <v>689</v>
      </c>
      <c r="J1524" s="83"/>
      <c r="K1524" s="83"/>
      <c r="L1524" s="83"/>
      <c r="M1524" s="83"/>
      <c r="N1524" s="83"/>
      <c r="O1524" s="83"/>
      <c r="P1524" s="83"/>
      <c r="Q1524" s="83"/>
      <c r="R1524" s="83"/>
      <c r="S1524" s="83"/>
      <c r="T1524" s="83"/>
      <c r="U1524" s="83"/>
      <c r="V1524" s="83"/>
      <c r="W1524" s="83"/>
      <c r="X1524" s="83"/>
      <c r="Y1524" s="83"/>
      <c r="Z1524" s="83"/>
      <c r="AA1524" s="83"/>
      <c r="AB1524" s="83"/>
      <c r="AC1524" s="83"/>
      <c r="AD1524" s="83"/>
      <c r="AE1524" s="83"/>
      <c r="AF1524" s="83"/>
      <c r="AG1524" s="83"/>
      <c r="AH1524" s="83"/>
      <c r="AI1524" s="83"/>
      <c r="AJ1524" s="83"/>
      <c r="AK1524" s="83"/>
      <c r="AL1524" s="83"/>
    </row>
    <row r="1525" spans="1:38" s="206" customFormat="1" ht="24.75" hidden="1" customHeight="1" x14ac:dyDescent="0.2">
      <c r="A1525" s="565"/>
      <c r="B1525" s="190" t="s">
        <v>429</v>
      </c>
      <c r="C1525" s="191" t="s">
        <v>426</v>
      </c>
      <c r="D1525" s="192">
        <v>0.15</v>
      </c>
      <c r="E1525" s="195">
        <v>1385</v>
      </c>
      <c r="F1525" s="194">
        <v>642</v>
      </c>
      <c r="G1525" s="192">
        <v>0.4635379061371841</v>
      </c>
      <c r="H1525" s="235" t="s">
        <v>690</v>
      </c>
      <c r="J1525" s="83"/>
      <c r="K1525" s="83"/>
      <c r="L1525" s="83"/>
      <c r="M1525" s="83"/>
      <c r="N1525" s="83"/>
      <c r="O1525" s="83"/>
      <c r="P1525" s="83"/>
      <c r="Q1525" s="83"/>
      <c r="R1525" s="83"/>
      <c r="S1525" s="83"/>
      <c r="T1525" s="83"/>
      <c r="U1525" s="83"/>
      <c r="V1525" s="83"/>
      <c r="W1525" s="83"/>
      <c r="X1525" s="83"/>
      <c r="Y1525" s="83"/>
      <c r="Z1525" s="83"/>
      <c r="AA1525" s="83"/>
      <c r="AB1525" s="83"/>
      <c r="AC1525" s="83"/>
      <c r="AD1525" s="83"/>
      <c r="AE1525" s="83"/>
      <c r="AF1525" s="83"/>
      <c r="AG1525" s="83"/>
      <c r="AH1525" s="83"/>
      <c r="AI1525" s="83"/>
      <c r="AJ1525" s="83"/>
      <c r="AK1525" s="83"/>
      <c r="AL1525" s="83"/>
    </row>
    <row r="1526" spans="1:38" s="206" customFormat="1" ht="24.75" hidden="1" customHeight="1" x14ac:dyDescent="0.2">
      <c r="A1526" s="565"/>
      <c r="B1526" s="190" t="s">
        <v>430</v>
      </c>
      <c r="C1526" s="191" t="s">
        <v>426</v>
      </c>
      <c r="D1526" s="192">
        <v>0.15</v>
      </c>
      <c r="E1526" s="194">
        <v>1</v>
      </c>
      <c r="F1526" s="194">
        <v>1</v>
      </c>
      <c r="G1526" s="192">
        <v>1</v>
      </c>
      <c r="H1526" s="235" t="s">
        <v>687</v>
      </c>
      <c r="J1526" s="83"/>
      <c r="K1526" s="83"/>
      <c r="L1526" s="83"/>
      <c r="M1526" s="83"/>
      <c r="N1526" s="83"/>
      <c r="O1526" s="83"/>
      <c r="P1526" s="83"/>
      <c r="Q1526" s="83"/>
      <c r="R1526" s="83"/>
      <c r="S1526" s="83"/>
      <c r="T1526" s="83"/>
      <c r="U1526" s="83"/>
      <c r="V1526" s="83"/>
      <c r="W1526" s="83"/>
      <c r="X1526" s="83"/>
      <c r="Y1526" s="83"/>
      <c r="Z1526" s="83"/>
      <c r="AA1526" s="83"/>
      <c r="AB1526" s="83"/>
      <c r="AC1526" s="83"/>
      <c r="AD1526" s="83"/>
      <c r="AE1526" s="83"/>
      <c r="AF1526" s="83"/>
      <c r="AG1526" s="83"/>
      <c r="AH1526" s="83"/>
      <c r="AI1526" s="83"/>
      <c r="AJ1526" s="83"/>
      <c r="AK1526" s="83"/>
      <c r="AL1526" s="83"/>
    </row>
    <row r="1527" spans="1:38" ht="24.75" hidden="1" customHeight="1" x14ac:dyDescent="0.2">
      <c r="A1527" s="565"/>
      <c r="B1527" s="190" t="s">
        <v>431</v>
      </c>
      <c r="C1527" s="191" t="s">
        <v>426</v>
      </c>
      <c r="D1527" s="192">
        <v>0.15</v>
      </c>
      <c r="E1527" s="194">
        <v>902</v>
      </c>
      <c r="F1527" s="194">
        <v>647</v>
      </c>
      <c r="G1527" s="192">
        <v>0.71729490022172948</v>
      </c>
      <c r="H1527" s="235" t="s">
        <v>692</v>
      </c>
    </row>
    <row r="1528" spans="1:38" ht="24.75" hidden="1" customHeight="1" x14ac:dyDescent="0.2">
      <c r="A1528" s="566"/>
      <c r="B1528" s="190" t="s">
        <v>432</v>
      </c>
      <c r="C1528" s="191" t="s">
        <v>426</v>
      </c>
      <c r="D1528" s="192">
        <v>0.1</v>
      </c>
      <c r="E1528" s="192">
        <v>1</v>
      </c>
      <c r="F1528" s="192">
        <v>1</v>
      </c>
      <c r="G1528" s="192">
        <v>1</v>
      </c>
      <c r="H1528" s="235" t="s">
        <v>691</v>
      </c>
    </row>
    <row r="1529" spans="1:38" s="206" customFormat="1" ht="24.75" hidden="1" customHeight="1" x14ac:dyDescent="0.2">
      <c r="A1529" s="564" t="s">
        <v>697</v>
      </c>
      <c r="B1529" s="190" t="s">
        <v>425</v>
      </c>
      <c r="C1529" s="191" t="s">
        <v>426</v>
      </c>
      <c r="D1529" s="192">
        <v>0.15</v>
      </c>
      <c r="E1529" s="193">
        <v>20</v>
      </c>
      <c r="F1529" s="193">
        <v>20</v>
      </c>
      <c r="G1529" s="192">
        <f>F1529/E1529</f>
        <v>1</v>
      </c>
      <c r="H1529" s="235" t="s">
        <v>698</v>
      </c>
      <c r="J1529" s="83"/>
      <c r="K1529" s="83"/>
      <c r="L1529" s="83"/>
      <c r="M1529" s="83"/>
      <c r="N1529" s="83"/>
      <c r="O1529" s="83"/>
      <c r="P1529" s="83"/>
      <c r="Q1529" s="83"/>
      <c r="R1529" s="83"/>
      <c r="S1529" s="83"/>
      <c r="T1529" s="83"/>
      <c r="U1529" s="83"/>
      <c r="V1529" s="83"/>
      <c r="W1529" s="83"/>
      <c r="X1529" s="83"/>
      <c r="Y1529" s="83"/>
      <c r="Z1529" s="83"/>
      <c r="AA1529" s="83"/>
      <c r="AB1529" s="83"/>
      <c r="AC1529" s="83"/>
      <c r="AD1529" s="83"/>
      <c r="AE1529" s="83"/>
      <c r="AF1529" s="83"/>
      <c r="AG1529" s="83"/>
      <c r="AH1529" s="83"/>
      <c r="AI1529" s="83"/>
      <c r="AJ1529" s="83"/>
      <c r="AK1529" s="83"/>
      <c r="AL1529" s="83"/>
    </row>
    <row r="1530" spans="1:38" s="206" customFormat="1" ht="24.75" hidden="1" customHeight="1" x14ac:dyDescent="0.2">
      <c r="A1530" s="565"/>
      <c r="B1530" s="190" t="s">
        <v>427</v>
      </c>
      <c r="C1530" s="191" t="s">
        <v>426</v>
      </c>
      <c r="D1530" s="192">
        <v>0.15</v>
      </c>
      <c r="E1530" s="194">
        <f>+INVERSIÓN!$DL$17</f>
        <v>7</v>
      </c>
      <c r="F1530" s="194">
        <f>+INVERSIÓN!$DM$17</f>
        <v>7</v>
      </c>
      <c r="G1530" s="192">
        <f t="shared" ref="G1530:G1535" si="60">F1530/E1530</f>
        <v>1</v>
      </c>
      <c r="H1530" s="235" t="s">
        <v>699</v>
      </c>
      <c r="J1530" s="83"/>
      <c r="K1530" s="83"/>
      <c r="L1530" s="83"/>
      <c r="M1530" s="83"/>
      <c r="N1530" s="83"/>
      <c r="O1530" s="83"/>
      <c r="P1530" s="83"/>
      <c r="Q1530" s="83"/>
      <c r="R1530" s="83"/>
      <c r="S1530" s="83"/>
      <c r="T1530" s="83"/>
      <c r="U1530" s="83"/>
      <c r="V1530" s="83"/>
      <c r="W1530" s="83"/>
      <c r="X1530" s="83"/>
      <c r="Y1530" s="83"/>
      <c r="Z1530" s="83"/>
      <c r="AA1530" s="83"/>
      <c r="AB1530" s="83"/>
      <c r="AC1530" s="83"/>
      <c r="AD1530" s="83"/>
      <c r="AE1530" s="83"/>
      <c r="AF1530" s="83"/>
      <c r="AG1530" s="83"/>
      <c r="AH1530" s="83"/>
      <c r="AI1530" s="83"/>
      <c r="AJ1530" s="83"/>
      <c r="AK1530" s="83"/>
      <c r="AL1530" s="83"/>
    </row>
    <row r="1531" spans="1:38" s="206" customFormat="1" ht="24.75" hidden="1" customHeight="1" x14ac:dyDescent="0.2">
      <c r="A1531" s="565"/>
      <c r="B1531" s="190" t="s">
        <v>428</v>
      </c>
      <c r="C1531" s="191" t="s">
        <v>426</v>
      </c>
      <c r="D1531" s="192">
        <v>0.15</v>
      </c>
      <c r="E1531" s="194">
        <f>+INVERSIÓN!$DL$24</f>
        <v>1.9999999999999998</v>
      </c>
      <c r="F1531" s="194">
        <f>+INVERSIÓN!$DM$24</f>
        <v>1.9999999999999998</v>
      </c>
      <c r="G1531" s="192">
        <f t="shared" si="60"/>
        <v>1</v>
      </c>
      <c r="H1531" s="235" t="s">
        <v>700</v>
      </c>
      <c r="J1531" s="83"/>
      <c r="K1531" s="83"/>
      <c r="L1531" s="83"/>
      <c r="M1531" s="83"/>
      <c r="N1531" s="83"/>
      <c r="O1531" s="83"/>
      <c r="P1531" s="83"/>
      <c r="Q1531" s="83"/>
      <c r="R1531" s="83"/>
      <c r="S1531" s="83"/>
      <c r="T1531" s="83"/>
      <c r="U1531" s="83"/>
      <c r="V1531" s="83"/>
      <c r="W1531" s="83"/>
      <c r="X1531" s="83"/>
      <c r="Y1531" s="83"/>
      <c r="Z1531" s="83"/>
      <c r="AA1531" s="83"/>
      <c r="AB1531" s="83"/>
      <c r="AC1531" s="83"/>
      <c r="AD1531" s="83"/>
      <c r="AE1531" s="83"/>
      <c r="AF1531" s="83"/>
      <c r="AG1531" s="83"/>
      <c r="AH1531" s="83"/>
      <c r="AI1531" s="83"/>
      <c r="AJ1531" s="83"/>
      <c r="AK1531" s="83"/>
      <c r="AL1531" s="83"/>
    </row>
    <row r="1532" spans="1:38" s="206" customFormat="1" ht="24.75" hidden="1" customHeight="1" x14ac:dyDescent="0.2">
      <c r="A1532" s="565"/>
      <c r="B1532" s="190" t="s">
        <v>429</v>
      </c>
      <c r="C1532" s="191" t="s">
        <v>426</v>
      </c>
      <c r="D1532" s="192">
        <v>0.15</v>
      </c>
      <c r="E1532" s="195">
        <v>1385</v>
      </c>
      <c r="F1532" s="194">
        <v>883</v>
      </c>
      <c r="G1532" s="192">
        <f t="shared" si="60"/>
        <v>0.63754512635379057</v>
      </c>
      <c r="H1532" s="235" t="s">
        <v>701</v>
      </c>
      <c r="J1532" s="83"/>
      <c r="K1532" s="83"/>
      <c r="L1532" s="83"/>
      <c r="M1532" s="83"/>
      <c r="N1532" s="83"/>
      <c r="O1532" s="83"/>
      <c r="P1532" s="83"/>
      <c r="Q1532" s="83"/>
      <c r="R1532" s="83"/>
      <c r="S1532" s="83"/>
      <c r="T1532" s="83"/>
      <c r="U1532" s="83"/>
      <c r="V1532" s="83"/>
      <c r="W1532" s="83"/>
      <c r="X1532" s="83"/>
      <c r="Y1532" s="83"/>
      <c r="Z1532" s="83"/>
      <c r="AA1532" s="83"/>
      <c r="AB1532" s="83"/>
      <c r="AC1532" s="83"/>
      <c r="AD1532" s="83"/>
      <c r="AE1532" s="83"/>
      <c r="AF1532" s="83"/>
      <c r="AG1532" s="83"/>
      <c r="AH1532" s="83"/>
      <c r="AI1532" s="83"/>
      <c r="AJ1532" s="83"/>
      <c r="AK1532" s="83"/>
      <c r="AL1532" s="83"/>
    </row>
    <row r="1533" spans="1:38" s="206" customFormat="1" ht="24.75" hidden="1" customHeight="1" x14ac:dyDescent="0.2">
      <c r="A1533" s="565"/>
      <c r="B1533" s="190" t="s">
        <v>430</v>
      </c>
      <c r="C1533" s="191" t="s">
        <v>426</v>
      </c>
      <c r="D1533" s="192">
        <v>0.15</v>
      </c>
      <c r="E1533" s="194">
        <v>1</v>
      </c>
      <c r="F1533" s="194">
        <v>1</v>
      </c>
      <c r="G1533" s="192">
        <f t="shared" si="60"/>
        <v>1</v>
      </c>
      <c r="H1533" s="235" t="s">
        <v>702</v>
      </c>
      <c r="J1533" s="83"/>
      <c r="K1533" s="83"/>
      <c r="L1533" s="83"/>
      <c r="M1533" s="83"/>
      <c r="N1533" s="83"/>
      <c r="O1533" s="83"/>
      <c r="P1533" s="83"/>
      <c r="Q1533" s="83"/>
      <c r="R1533" s="83"/>
      <c r="S1533" s="83"/>
      <c r="T1533" s="83"/>
      <c r="U1533" s="83"/>
      <c r="V1533" s="83"/>
      <c r="W1533" s="83"/>
      <c r="X1533" s="83"/>
      <c r="Y1533" s="83"/>
      <c r="Z1533" s="83"/>
      <c r="AA1533" s="83"/>
      <c r="AB1533" s="83"/>
      <c r="AC1533" s="83"/>
      <c r="AD1533" s="83"/>
      <c r="AE1533" s="83"/>
      <c r="AF1533" s="83"/>
      <c r="AG1533" s="83"/>
      <c r="AH1533" s="83"/>
      <c r="AI1533" s="83"/>
      <c r="AJ1533" s="83"/>
      <c r="AK1533" s="83"/>
      <c r="AL1533" s="83"/>
    </row>
    <row r="1534" spans="1:38" ht="24.75" hidden="1" customHeight="1" x14ac:dyDescent="0.2">
      <c r="A1534" s="565"/>
      <c r="B1534" s="190" t="s">
        <v>431</v>
      </c>
      <c r="C1534" s="191" t="s">
        <v>426</v>
      </c>
      <c r="D1534" s="192">
        <v>0.15</v>
      </c>
      <c r="E1534" s="194">
        <f>+INVERSIÓN!$DL$45</f>
        <v>1193</v>
      </c>
      <c r="F1534" s="194">
        <f>+INVERSIÓN!$DM$45</f>
        <v>1193</v>
      </c>
      <c r="G1534" s="192">
        <f t="shared" si="60"/>
        <v>1</v>
      </c>
      <c r="H1534" s="235" t="s">
        <v>703</v>
      </c>
    </row>
    <row r="1535" spans="1:38" ht="24.75" hidden="1" customHeight="1" x14ac:dyDescent="0.2">
      <c r="A1535" s="566"/>
      <c r="B1535" s="190" t="s">
        <v>432</v>
      </c>
      <c r="C1535" s="191" t="s">
        <v>426</v>
      </c>
      <c r="D1535" s="192">
        <v>0.1</v>
      </c>
      <c r="E1535" s="192">
        <v>1</v>
      </c>
      <c r="F1535" s="192">
        <v>1</v>
      </c>
      <c r="G1535" s="192">
        <f t="shared" si="60"/>
        <v>1</v>
      </c>
      <c r="H1535" s="235" t="s">
        <v>704</v>
      </c>
    </row>
    <row r="1536" spans="1:38" s="206" customFormat="1" ht="24.75" hidden="1" customHeight="1" x14ac:dyDescent="0.2">
      <c r="A1536" s="564" t="s">
        <v>713</v>
      </c>
      <c r="B1536" s="190" t="s">
        <v>425</v>
      </c>
      <c r="C1536" s="191" t="s">
        <v>426</v>
      </c>
      <c r="D1536" s="192">
        <v>0.15</v>
      </c>
      <c r="E1536" s="193">
        <v>20</v>
      </c>
      <c r="F1536" s="193">
        <v>19</v>
      </c>
      <c r="G1536" s="192">
        <f>F1536/E1536</f>
        <v>0.95</v>
      </c>
      <c r="H1536" s="235" t="s">
        <v>705</v>
      </c>
      <c r="J1536" s="83"/>
      <c r="K1536" s="83"/>
      <c r="L1536" s="83"/>
      <c r="M1536" s="83"/>
      <c r="N1536" s="83"/>
      <c r="O1536" s="83"/>
      <c r="P1536" s="83"/>
      <c r="Q1536" s="83"/>
      <c r="R1536" s="83"/>
      <c r="S1536" s="83"/>
      <c r="T1536" s="83"/>
      <c r="U1536" s="83"/>
      <c r="V1536" s="83"/>
      <c r="W1536" s="83"/>
      <c r="X1536" s="83"/>
      <c r="Y1536" s="83"/>
      <c r="Z1536" s="83"/>
      <c r="AA1536" s="83"/>
      <c r="AB1536" s="83"/>
      <c r="AC1536" s="83"/>
      <c r="AD1536" s="83"/>
      <c r="AE1536" s="83"/>
      <c r="AF1536" s="83"/>
      <c r="AG1536" s="83"/>
      <c r="AH1536" s="83"/>
      <c r="AI1536" s="83"/>
      <c r="AJ1536" s="83"/>
      <c r="AK1536" s="83"/>
      <c r="AL1536" s="83"/>
    </row>
    <row r="1537" spans="1:38" s="206" customFormat="1" ht="24.75" hidden="1" customHeight="1" x14ac:dyDescent="0.2">
      <c r="A1537" s="565"/>
      <c r="B1537" s="190" t="s">
        <v>427</v>
      </c>
      <c r="C1537" s="191" t="s">
        <v>426</v>
      </c>
      <c r="D1537" s="192">
        <v>0.15</v>
      </c>
      <c r="E1537" s="194">
        <v>7</v>
      </c>
      <c r="F1537" s="194">
        <v>5.3</v>
      </c>
      <c r="G1537" s="192">
        <f t="shared" ref="G1537:G1542" si="61">F1537/E1537</f>
        <v>0.75714285714285712</v>
      </c>
      <c r="H1537" s="235" t="s">
        <v>706</v>
      </c>
      <c r="J1537" s="83"/>
      <c r="K1537" s="83"/>
      <c r="L1537" s="83"/>
      <c r="M1537" s="83"/>
      <c r="N1537" s="83"/>
      <c r="O1537" s="83"/>
      <c r="P1537" s="83"/>
      <c r="Q1537" s="83"/>
      <c r="R1537" s="83"/>
      <c r="S1537" s="83"/>
      <c r="T1537" s="83"/>
      <c r="U1537" s="83"/>
      <c r="V1537" s="83"/>
      <c r="W1537" s="83"/>
      <c r="X1537" s="83"/>
      <c r="Y1537" s="83"/>
      <c r="Z1537" s="83"/>
      <c r="AA1537" s="83"/>
      <c r="AB1537" s="83"/>
      <c r="AC1537" s="83"/>
      <c r="AD1537" s="83"/>
      <c r="AE1537" s="83"/>
      <c r="AF1537" s="83"/>
      <c r="AG1537" s="83"/>
      <c r="AH1537" s="83"/>
      <c r="AI1537" s="83"/>
      <c r="AJ1537" s="83"/>
      <c r="AK1537" s="83"/>
      <c r="AL1537" s="83"/>
    </row>
    <row r="1538" spans="1:38" s="206" customFormat="1" ht="24.75" hidden="1" customHeight="1" x14ac:dyDescent="0.2">
      <c r="A1538" s="565"/>
      <c r="B1538" s="190" t="s">
        <v>428</v>
      </c>
      <c r="C1538" s="191" t="s">
        <v>426</v>
      </c>
      <c r="D1538" s="192">
        <v>0.15</v>
      </c>
      <c r="E1538" s="194">
        <v>1.9999999999999998</v>
      </c>
      <c r="F1538" s="194">
        <v>1.8399999999999999</v>
      </c>
      <c r="G1538" s="192">
        <f t="shared" si="61"/>
        <v>0.92</v>
      </c>
      <c r="H1538" s="235" t="s">
        <v>707</v>
      </c>
      <c r="J1538" s="83"/>
      <c r="K1538" s="83"/>
      <c r="L1538" s="83"/>
      <c r="M1538" s="83"/>
      <c r="N1538" s="83"/>
      <c r="O1538" s="83"/>
      <c r="P1538" s="83"/>
      <c r="Q1538" s="83"/>
      <c r="R1538" s="83"/>
      <c r="S1538" s="83"/>
      <c r="T1538" s="83"/>
      <c r="U1538" s="83"/>
      <c r="V1538" s="83"/>
      <c r="W1538" s="83"/>
      <c r="X1538" s="83"/>
      <c r="Y1538" s="83"/>
      <c r="Z1538" s="83"/>
      <c r="AA1538" s="83"/>
      <c r="AB1538" s="83"/>
      <c r="AC1538" s="83"/>
      <c r="AD1538" s="83"/>
      <c r="AE1538" s="83"/>
      <c r="AF1538" s="83"/>
      <c r="AG1538" s="83"/>
      <c r="AH1538" s="83"/>
      <c r="AI1538" s="83"/>
      <c r="AJ1538" s="83"/>
      <c r="AK1538" s="83"/>
      <c r="AL1538" s="83"/>
    </row>
    <row r="1539" spans="1:38" s="206" customFormat="1" ht="24.75" hidden="1" customHeight="1" x14ac:dyDescent="0.2">
      <c r="A1539" s="565"/>
      <c r="B1539" s="190" t="s">
        <v>429</v>
      </c>
      <c r="C1539" s="191" t="s">
        <v>426</v>
      </c>
      <c r="D1539" s="192">
        <v>0.15</v>
      </c>
      <c r="E1539" s="195">
        <v>1385</v>
      </c>
      <c r="F1539" s="194">
        <v>1028</v>
      </c>
      <c r="G1539" s="192">
        <f t="shared" si="61"/>
        <v>0.74223826714801444</v>
      </c>
      <c r="H1539" s="235" t="s">
        <v>708</v>
      </c>
      <c r="J1539" s="83"/>
      <c r="K1539" s="83"/>
      <c r="L1539" s="83"/>
      <c r="M1539" s="83"/>
      <c r="N1539" s="83"/>
      <c r="O1539" s="83"/>
      <c r="P1539" s="83"/>
      <c r="Q1539" s="83"/>
      <c r="R1539" s="83"/>
      <c r="S1539" s="83"/>
      <c r="T1539" s="83"/>
      <c r="U1539" s="83"/>
      <c r="V1539" s="83"/>
      <c r="W1539" s="83"/>
      <c r="X1539" s="83"/>
      <c r="Y1539" s="83"/>
      <c r="Z1539" s="83"/>
      <c r="AA1539" s="83"/>
      <c r="AB1539" s="83"/>
      <c r="AC1539" s="83"/>
      <c r="AD1539" s="83"/>
      <c r="AE1539" s="83"/>
      <c r="AF1539" s="83"/>
      <c r="AG1539" s="83"/>
      <c r="AH1539" s="83"/>
      <c r="AI1539" s="83"/>
      <c r="AJ1539" s="83"/>
      <c r="AK1539" s="83"/>
      <c r="AL1539" s="83"/>
    </row>
    <row r="1540" spans="1:38" s="206" customFormat="1" ht="24.75" hidden="1" customHeight="1" x14ac:dyDescent="0.2">
      <c r="A1540" s="565"/>
      <c r="B1540" s="190" t="s">
        <v>430</v>
      </c>
      <c r="C1540" s="191" t="s">
        <v>426</v>
      </c>
      <c r="D1540" s="192">
        <v>0.15</v>
      </c>
      <c r="E1540" s="194">
        <v>1</v>
      </c>
      <c r="F1540" s="194">
        <v>1</v>
      </c>
      <c r="G1540" s="192">
        <f t="shared" si="61"/>
        <v>1</v>
      </c>
      <c r="H1540" s="235" t="s">
        <v>709</v>
      </c>
      <c r="J1540" s="83"/>
      <c r="K1540" s="83"/>
      <c r="L1540" s="83"/>
      <c r="M1540" s="83"/>
      <c r="N1540" s="83"/>
      <c r="O1540" s="83"/>
      <c r="P1540" s="83"/>
      <c r="Q1540" s="83"/>
      <c r="R1540" s="83"/>
      <c r="S1540" s="83"/>
      <c r="T1540" s="83"/>
      <c r="U1540" s="83"/>
      <c r="V1540" s="83"/>
      <c r="W1540" s="83"/>
      <c r="X1540" s="83"/>
      <c r="Y1540" s="83"/>
      <c r="Z1540" s="83"/>
      <c r="AA1540" s="83"/>
      <c r="AB1540" s="83"/>
      <c r="AC1540" s="83"/>
      <c r="AD1540" s="83"/>
      <c r="AE1540" s="83"/>
      <c r="AF1540" s="83"/>
      <c r="AG1540" s="83"/>
      <c r="AH1540" s="83"/>
      <c r="AI1540" s="83"/>
      <c r="AJ1540" s="83"/>
      <c r="AK1540" s="83"/>
      <c r="AL1540" s="83"/>
    </row>
    <row r="1541" spans="1:38" ht="24.75" hidden="1" customHeight="1" x14ac:dyDescent="0.2">
      <c r="A1541" s="565"/>
      <c r="B1541" s="190" t="s">
        <v>431</v>
      </c>
      <c r="C1541" s="191" t="s">
        <v>426</v>
      </c>
      <c r="D1541" s="192">
        <v>0.15</v>
      </c>
      <c r="E1541" s="194">
        <v>902</v>
      </c>
      <c r="F1541" s="194">
        <v>843</v>
      </c>
      <c r="G1541" s="192">
        <f t="shared" si="61"/>
        <v>0.93458980044345896</v>
      </c>
      <c r="H1541" s="235" t="s">
        <v>710</v>
      </c>
    </row>
    <row r="1542" spans="1:38" ht="24.75" hidden="1" customHeight="1" x14ac:dyDescent="0.2">
      <c r="A1542" s="566"/>
      <c r="B1542" s="190" t="s">
        <v>432</v>
      </c>
      <c r="C1542" s="191" t="s">
        <v>426</v>
      </c>
      <c r="D1542" s="192">
        <v>0.1</v>
      </c>
      <c r="E1542" s="192">
        <v>1</v>
      </c>
      <c r="F1542" s="192">
        <v>1</v>
      </c>
      <c r="G1542" s="192">
        <f t="shared" si="61"/>
        <v>1</v>
      </c>
      <c r="H1542" s="235" t="s">
        <v>711</v>
      </c>
    </row>
    <row r="1543" spans="1:38" s="206" customFormat="1" ht="24.75" hidden="1" customHeight="1" x14ac:dyDescent="0.2">
      <c r="A1543" s="564" t="s">
        <v>714</v>
      </c>
      <c r="B1543" s="190" t="s">
        <v>425</v>
      </c>
      <c r="C1543" s="191" t="s">
        <v>426</v>
      </c>
      <c r="D1543" s="192">
        <v>0.15</v>
      </c>
      <c r="E1543" s="193">
        <v>20</v>
      </c>
      <c r="F1543" s="193">
        <v>19</v>
      </c>
      <c r="G1543" s="192">
        <f>F1543/E1543</f>
        <v>0.95</v>
      </c>
      <c r="H1543" s="235" t="s">
        <v>715</v>
      </c>
      <c r="J1543" s="83"/>
      <c r="K1543" s="83"/>
      <c r="L1543" s="83"/>
      <c r="M1543" s="83"/>
      <c r="N1543" s="83"/>
      <c r="O1543" s="83"/>
      <c r="P1543" s="83"/>
      <c r="Q1543" s="83"/>
      <c r="R1543" s="83"/>
      <c r="S1543" s="83"/>
      <c r="T1543" s="83"/>
      <c r="U1543" s="83"/>
      <c r="V1543" s="83"/>
      <c r="W1543" s="83"/>
      <c r="X1543" s="83"/>
      <c r="Y1543" s="83"/>
      <c r="Z1543" s="83"/>
      <c r="AA1543" s="83"/>
      <c r="AB1543" s="83"/>
      <c r="AC1543" s="83"/>
      <c r="AD1543" s="83"/>
      <c r="AE1543" s="83"/>
      <c r="AF1543" s="83"/>
      <c r="AG1543" s="83"/>
      <c r="AH1543" s="83"/>
      <c r="AI1543" s="83"/>
      <c r="AJ1543" s="83"/>
      <c r="AK1543" s="83"/>
      <c r="AL1543" s="83"/>
    </row>
    <row r="1544" spans="1:38" s="206" customFormat="1" ht="24.75" hidden="1" customHeight="1" x14ac:dyDescent="0.2">
      <c r="A1544" s="565"/>
      <c r="B1544" s="190" t="s">
        <v>427</v>
      </c>
      <c r="C1544" s="191" t="s">
        <v>426</v>
      </c>
      <c r="D1544" s="192">
        <v>0.15</v>
      </c>
      <c r="E1544" s="194">
        <v>7</v>
      </c>
      <c r="F1544" s="194">
        <v>7</v>
      </c>
      <c r="G1544" s="192">
        <f t="shared" ref="G1544:G1549" si="62">F1544/E1544</f>
        <v>1</v>
      </c>
      <c r="H1544" s="235" t="s">
        <v>716</v>
      </c>
      <c r="J1544" s="83"/>
      <c r="K1544" s="83"/>
      <c r="L1544" s="83"/>
      <c r="M1544" s="83"/>
      <c r="N1544" s="83"/>
      <c r="O1544" s="83"/>
      <c r="P1544" s="83"/>
      <c r="Q1544" s="83"/>
      <c r="R1544" s="83"/>
      <c r="S1544" s="83"/>
      <c r="T1544" s="83"/>
      <c r="U1544" s="83"/>
      <c r="V1544" s="83"/>
      <c r="W1544" s="83"/>
      <c r="X1544" s="83"/>
      <c r="Y1544" s="83"/>
      <c r="Z1544" s="83"/>
      <c r="AA1544" s="83"/>
      <c r="AB1544" s="83"/>
      <c r="AC1544" s="83"/>
      <c r="AD1544" s="83"/>
      <c r="AE1544" s="83"/>
      <c r="AF1544" s="83"/>
      <c r="AG1544" s="83"/>
      <c r="AH1544" s="83"/>
      <c r="AI1544" s="83"/>
      <c r="AJ1544" s="83"/>
      <c r="AK1544" s="83"/>
      <c r="AL1544" s="83"/>
    </row>
    <row r="1545" spans="1:38" s="206" customFormat="1" ht="24.75" hidden="1" customHeight="1" x14ac:dyDescent="0.2">
      <c r="A1545" s="565"/>
      <c r="B1545" s="190" t="s">
        <v>428</v>
      </c>
      <c r="C1545" s="191" t="s">
        <v>426</v>
      </c>
      <c r="D1545" s="192">
        <v>0.15</v>
      </c>
      <c r="E1545" s="194">
        <v>1.9999999999999998</v>
      </c>
      <c r="F1545" s="194">
        <v>1.9999999999999998</v>
      </c>
      <c r="G1545" s="192">
        <f t="shared" si="62"/>
        <v>1</v>
      </c>
      <c r="H1545" s="235" t="s">
        <v>717</v>
      </c>
      <c r="J1545" s="83"/>
      <c r="K1545" s="83"/>
      <c r="L1545" s="83"/>
      <c r="M1545" s="83"/>
      <c r="N1545" s="83"/>
      <c r="O1545" s="83"/>
      <c r="P1545" s="83"/>
      <c r="Q1545" s="83"/>
      <c r="R1545" s="83"/>
      <c r="S1545" s="83"/>
      <c r="T1545" s="83"/>
      <c r="U1545" s="83"/>
      <c r="V1545" s="83"/>
      <c r="W1545" s="83"/>
      <c r="X1545" s="83"/>
      <c r="Y1545" s="83"/>
      <c r="Z1545" s="83"/>
      <c r="AA1545" s="83"/>
      <c r="AB1545" s="83"/>
      <c r="AC1545" s="83"/>
      <c r="AD1545" s="83"/>
      <c r="AE1545" s="83"/>
      <c r="AF1545" s="83"/>
      <c r="AG1545" s="83"/>
      <c r="AH1545" s="83"/>
      <c r="AI1545" s="83"/>
      <c r="AJ1545" s="83"/>
      <c r="AK1545" s="83"/>
      <c r="AL1545" s="83"/>
    </row>
    <row r="1546" spans="1:38" s="206" customFormat="1" ht="24.75" hidden="1" customHeight="1" x14ac:dyDescent="0.2">
      <c r="A1546" s="565"/>
      <c r="B1546" s="190" t="s">
        <v>429</v>
      </c>
      <c r="C1546" s="191" t="s">
        <v>426</v>
      </c>
      <c r="D1546" s="192">
        <v>0.15</v>
      </c>
      <c r="E1546" s="195">
        <v>1385</v>
      </c>
      <c r="F1546" s="194">
        <v>1156</v>
      </c>
      <c r="G1546" s="192">
        <f t="shared" si="62"/>
        <v>0.83465703971119132</v>
      </c>
      <c r="H1546" s="235" t="s">
        <v>718</v>
      </c>
      <c r="J1546" s="83"/>
      <c r="K1546" s="83"/>
      <c r="L1546" s="83"/>
      <c r="M1546" s="83"/>
      <c r="N1546" s="83"/>
      <c r="O1546" s="83"/>
      <c r="P1546" s="83"/>
      <c r="Q1546" s="83"/>
      <c r="R1546" s="83"/>
      <c r="S1546" s="83"/>
      <c r="T1546" s="83"/>
      <c r="U1546" s="83"/>
      <c r="V1546" s="83"/>
      <c r="W1546" s="83"/>
      <c r="X1546" s="83"/>
      <c r="Y1546" s="83"/>
      <c r="Z1546" s="83"/>
      <c r="AA1546" s="83"/>
      <c r="AB1546" s="83"/>
      <c r="AC1546" s="83"/>
      <c r="AD1546" s="83"/>
      <c r="AE1546" s="83"/>
      <c r="AF1546" s="83"/>
      <c r="AG1546" s="83"/>
      <c r="AH1546" s="83"/>
      <c r="AI1546" s="83"/>
      <c r="AJ1546" s="83"/>
      <c r="AK1546" s="83"/>
      <c r="AL1546" s="83"/>
    </row>
    <row r="1547" spans="1:38" s="206" customFormat="1" ht="24.75" hidden="1" customHeight="1" x14ac:dyDescent="0.2">
      <c r="A1547" s="565"/>
      <c r="B1547" s="190" t="s">
        <v>430</v>
      </c>
      <c r="C1547" s="191" t="s">
        <v>426</v>
      </c>
      <c r="D1547" s="192">
        <v>0.15</v>
      </c>
      <c r="E1547" s="194">
        <v>1</v>
      </c>
      <c r="F1547" s="194">
        <v>1</v>
      </c>
      <c r="G1547" s="192">
        <f t="shared" si="62"/>
        <v>1</v>
      </c>
      <c r="H1547" s="235" t="s">
        <v>719</v>
      </c>
      <c r="J1547" s="83"/>
      <c r="K1547" s="83"/>
      <c r="L1547" s="83"/>
      <c r="M1547" s="83"/>
      <c r="N1547" s="83"/>
      <c r="O1547" s="83"/>
      <c r="P1547" s="83"/>
      <c r="Q1547" s="83"/>
      <c r="R1547" s="83"/>
      <c r="S1547" s="83"/>
      <c r="T1547" s="83"/>
      <c r="U1547" s="83"/>
      <c r="V1547" s="83"/>
      <c r="W1547" s="83"/>
      <c r="X1547" s="83"/>
      <c r="Y1547" s="83"/>
      <c r="Z1547" s="83"/>
      <c r="AA1547" s="83"/>
      <c r="AB1547" s="83"/>
      <c r="AC1547" s="83"/>
      <c r="AD1547" s="83"/>
      <c r="AE1547" s="83"/>
      <c r="AF1547" s="83"/>
      <c r="AG1547" s="83"/>
      <c r="AH1547" s="83"/>
      <c r="AI1547" s="83"/>
      <c r="AJ1547" s="83"/>
      <c r="AK1547" s="83"/>
      <c r="AL1547" s="83"/>
    </row>
    <row r="1548" spans="1:38" ht="24.75" hidden="1" customHeight="1" x14ac:dyDescent="0.2">
      <c r="A1548" s="565"/>
      <c r="B1548" s="190" t="s">
        <v>431</v>
      </c>
      <c r="C1548" s="191" t="s">
        <v>426</v>
      </c>
      <c r="D1548" s="192">
        <v>0.15</v>
      </c>
      <c r="E1548" s="194">
        <v>902</v>
      </c>
      <c r="F1548" s="194">
        <v>1193</v>
      </c>
      <c r="G1548" s="192">
        <f t="shared" si="62"/>
        <v>1.3226164079822615</v>
      </c>
      <c r="H1548" s="235" t="s">
        <v>720</v>
      </c>
    </row>
    <row r="1549" spans="1:38" ht="24.75" hidden="1" customHeight="1" x14ac:dyDescent="0.2">
      <c r="A1549" s="566"/>
      <c r="B1549" s="190" t="s">
        <v>432</v>
      </c>
      <c r="C1549" s="191" t="s">
        <v>426</v>
      </c>
      <c r="D1549" s="192">
        <v>0.1</v>
      </c>
      <c r="E1549" s="192">
        <v>1</v>
      </c>
      <c r="F1549" s="192">
        <v>1</v>
      </c>
      <c r="G1549" s="192">
        <f t="shared" si="62"/>
        <v>1</v>
      </c>
      <c r="H1549" s="235" t="s">
        <v>721</v>
      </c>
    </row>
    <row r="1550" spans="1:38" s="206" customFormat="1" ht="24.75" hidden="1" customHeight="1" x14ac:dyDescent="0.2">
      <c r="A1550" s="564" t="s">
        <v>723</v>
      </c>
      <c r="B1550" s="190" t="s">
        <v>425</v>
      </c>
      <c r="C1550" s="191" t="s">
        <v>426</v>
      </c>
      <c r="D1550" s="192">
        <v>0.15</v>
      </c>
      <c r="E1550" s="193">
        <v>20</v>
      </c>
      <c r="F1550" s="193">
        <v>19</v>
      </c>
      <c r="G1550" s="192">
        <f>F1550/E1550</f>
        <v>0.95</v>
      </c>
      <c r="H1550" s="235" t="str">
        <f t="shared" ref="H1550:H1556" si="63">+L861</f>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c r="J1550" s="83"/>
      <c r="K1550" s="83"/>
      <c r="L1550" s="83"/>
      <c r="M1550" s="83"/>
      <c r="N1550" s="83"/>
      <c r="O1550" s="83"/>
      <c r="P1550" s="83"/>
      <c r="Q1550" s="83"/>
      <c r="R1550" s="83"/>
      <c r="S1550" s="83"/>
      <c r="T1550" s="83"/>
      <c r="U1550" s="83"/>
      <c r="V1550" s="83"/>
      <c r="W1550" s="83"/>
      <c r="X1550" s="83"/>
      <c r="Y1550" s="83"/>
      <c r="Z1550" s="83"/>
      <c r="AA1550" s="83"/>
      <c r="AB1550" s="83"/>
      <c r="AC1550" s="83"/>
      <c r="AD1550" s="83"/>
      <c r="AE1550" s="83"/>
      <c r="AF1550" s="83"/>
      <c r="AG1550" s="83"/>
      <c r="AH1550" s="83"/>
      <c r="AI1550" s="83"/>
      <c r="AJ1550" s="83"/>
      <c r="AK1550" s="83"/>
      <c r="AL1550" s="83"/>
    </row>
    <row r="1551" spans="1:38" s="206" customFormat="1" ht="24.75" hidden="1" customHeight="1" x14ac:dyDescent="0.2">
      <c r="A1551" s="565"/>
      <c r="B1551" s="190" t="s">
        <v>427</v>
      </c>
      <c r="C1551" s="191" t="s">
        <v>426</v>
      </c>
      <c r="D1551" s="192">
        <v>0.15</v>
      </c>
      <c r="E1551" s="194">
        <f>+INVERSIÓN!$DL$17</f>
        <v>7</v>
      </c>
      <c r="F1551" s="194">
        <f>+INVERSIÓN!$DM$17</f>
        <v>7</v>
      </c>
      <c r="G1551" s="192">
        <f t="shared" ref="G1551:G1556" si="64">F1551/E1551</f>
        <v>1</v>
      </c>
      <c r="H1551" s="235" t="str">
        <f t="shared" si="63"/>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c r="J1551" s="83"/>
      <c r="K1551" s="83"/>
      <c r="L1551" s="83"/>
      <c r="M1551" s="83"/>
      <c r="N1551" s="83"/>
      <c r="O1551" s="83"/>
      <c r="P1551" s="83"/>
      <c r="Q1551" s="83"/>
      <c r="R1551" s="83"/>
      <c r="S1551" s="83"/>
      <c r="T1551" s="83"/>
      <c r="U1551" s="83"/>
      <c r="V1551" s="83"/>
      <c r="W1551" s="83"/>
      <c r="X1551" s="83"/>
      <c r="Y1551" s="83"/>
      <c r="Z1551" s="83"/>
      <c r="AA1551" s="83"/>
      <c r="AB1551" s="83"/>
      <c r="AC1551" s="83"/>
      <c r="AD1551" s="83"/>
      <c r="AE1551" s="83"/>
      <c r="AF1551" s="83"/>
      <c r="AG1551" s="83"/>
      <c r="AH1551" s="83"/>
      <c r="AI1551" s="83"/>
      <c r="AJ1551" s="83"/>
      <c r="AK1551" s="83"/>
      <c r="AL1551" s="83"/>
    </row>
    <row r="1552" spans="1:38" s="206" customFormat="1" ht="24.75" hidden="1" customHeight="1" x14ac:dyDescent="0.2">
      <c r="A1552" s="565"/>
      <c r="B1552" s="190" t="s">
        <v>428</v>
      </c>
      <c r="C1552" s="191" t="s">
        <v>426</v>
      </c>
      <c r="D1552" s="192">
        <v>0.15</v>
      </c>
      <c r="E1552" s="194">
        <f>+INVERSIÓN!$DL$24</f>
        <v>1.9999999999999998</v>
      </c>
      <c r="F1552" s="194">
        <f>+INVERSIÓN!$DM$24</f>
        <v>1.9999999999999998</v>
      </c>
      <c r="G1552" s="192">
        <f t="shared" si="64"/>
        <v>1</v>
      </c>
      <c r="H1552" s="235" t="str">
        <f t="shared" si="63"/>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c r="J1552" s="83"/>
      <c r="K1552" s="83"/>
      <c r="L1552" s="83"/>
      <c r="M1552" s="83"/>
      <c r="N1552" s="83"/>
      <c r="O1552" s="83"/>
      <c r="P1552" s="83"/>
      <c r="Q1552" s="83"/>
      <c r="R1552" s="83"/>
      <c r="S1552" s="83"/>
      <c r="T1552" s="83"/>
      <c r="U1552" s="83"/>
      <c r="V1552" s="83"/>
      <c r="W1552" s="83"/>
      <c r="X1552" s="83"/>
      <c r="Y1552" s="83"/>
      <c r="Z1552" s="83"/>
      <c r="AA1552" s="83"/>
      <c r="AB1552" s="83"/>
      <c r="AC1552" s="83"/>
      <c r="AD1552" s="83"/>
      <c r="AE1552" s="83"/>
      <c r="AF1552" s="83"/>
      <c r="AG1552" s="83"/>
      <c r="AH1552" s="83"/>
      <c r="AI1552" s="83"/>
      <c r="AJ1552" s="83"/>
      <c r="AK1552" s="83"/>
      <c r="AL1552" s="83"/>
    </row>
    <row r="1553" spans="1:38" s="206" customFormat="1" ht="24.75" hidden="1" customHeight="1" x14ac:dyDescent="0.2">
      <c r="A1553" s="565"/>
      <c r="B1553" s="190" t="s">
        <v>429</v>
      </c>
      <c r="C1553" s="191" t="s">
        <v>426</v>
      </c>
      <c r="D1553" s="192">
        <v>0.15</v>
      </c>
      <c r="E1553" s="195">
        <v>1385</v>
      </c>
      <c r="F1553" s="194">
        <v>1259</v>
      </c>
      <c r="G1553" s="192">
        <f t="shared" si="64"/>
        <v>0.90902527075812278</v>
      </c>
      <c r="H1553" s="235">
        <f t="shared" si="63"/>
        <v>0</v>
      </c>
      <c r="J1553" s="83"/>
      <c r="K1553" s="83"/>
      <c r="L1553" s="83"/>
      <c r="M1553" s="83"/>
      <c r="N1553" s="83"/>
      <c r="O1553" s="83"/>
      <c r="P1553" s="83"/>
      <c r="Q1553" s="83"/>
      <c r="R1553" s="83"/>
      <c r="S1553" s="83"/>
      <c r="T1553" s="83"/>
      <c r="U1553" s="83"/>
      <c r="V1553" s="83"/>
      <c r="W1553" s="83"/>
      <c r="X1553" s="83"/>
      <c r="Y1553" s="83"/>
      <c r="Z1553" s="83"/>
      <c r="AA1553" s="83"/>
      <c r="AB1553" s="83"/>
      <c r="AC1553" s="83"/>
      <c r="AD1553" s="83"/>
      <c r="AE1553" s="83"/>
      <c r="AF1553" s="83"/>
      <c r="AG1553" s="83"/>
      <c r="AH1553" s="83"/>
      <c r="AI1553" s="83"/>
      <c r="AJ1553" s="83"/>
      <c r="AK1553" s="83"/>
      <c r="AL1553" s="83"/>
    </row>
    <row r="1554" spans="1:38" s="206" customFormat="1" ht="24.75" hidden="1" customHeight="1" x14ac:dyDescent="0.2">
      <c r="A1554" s="565"/>
      <c r="B1554" s="190" t="s">
        <v>430</v>
      </c>
      <c r="C1554" s="191" t="s">
        <v>426</v>
      </c>
      <c r="D1554" s="192">
        <v>0.15</v>
      </c>
      <c r="E1554" s="194">
        <v>1</v>
      </c>
      <c r="F1554" s="194">
        <v>1</v>
      </c>
      <c r="G1554" s="192">
        <f t="shared" si="64"/>
        <v>1</v>
      </c>
      <c r="H1554" s="235" t="str">
        <f t="shared" si="63"/>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c r="J1554" s="83"/>
      <c r="K1554" s="83"/>
      <c r="L1554" s="83"/>
      <c r="M1554" s="83"/>
      <c r="N1554" s="83"/>
      <c r="O1554" s="83"/>
      <c r="P1554" s="83"/>
      <c r="Q1554" s="83"/>
      <c r="R1554" s="83"/>
      <c r="S1554" s="83"/>
      <c r="T1554" s="83"/>
      <c r="U1554" s="83"/>
      <c r="V1554" s="83"/>
      <c r="W1554" s="83"/>
      <c r="X1554" s="83"/>
      <c r="Y1554" s="83"/>
      <c r="Z1554" s="83"/>
      <c r="AA1554" s="83"/>
      <c r="AB1554" s="83"/>
      <c r="AC1554" s="83"/>
      <c r="AD1554" s="83"/>
      <c r="AE1554" s="83"/>
      <c r="AF1554" s="83"/>
      <c r="AG1554" s="83"/>
      <c r="AH1554" s="83"/>
      <c r="AI1554" s="83"/>
      <c r="AJ1554" s="83"/>
      <c r="AK1554" s="83"/>
      <c r="AL1554" s="83"/>
    </row>
    <row r="1555" spans="1:38" ht="24.75" hidden="1" customHeight="1" x14ac:dyDescent="0.2">
      <c r="A1555" s="565"/>
      <c r="B1555" s="190" t="s">
        <v>431</v>
      </c>
      <c r="C1555" s="191" t="s">
        <v>426</v>
      </c>
      <c r="D1555" s="192">
        <v>0.15</v>
      </c>
      <c r="E1555" s="194">
        <f>+INVERSIÓN!$DL$45</f>
        <v>1193</v>
      </c>
      <c r="F1555" s="194">
        <f>+INVERSIÓN!$DM$45</f>
        <v>1193</v>
      </c>
      <c r="G1555" s="192">
        <f t="shared" si="64"/>
        <v>1</v>
      </c>
      <c r="H1555" s="235" t="str">
        <f t="shared" si="63"/>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row>
    <row r="1556" spans="1:38" ht="24.75" hidden="1" customHeight="1" x14ac:dyDescent="0.2">
      <c r="A1556" s="566"/>
      <c r="B1556" s="190" t="s">
        <v>432</v>
      </c>
      <c r="C1556" s="191" t="s">
        <v>426</v>
      </c>
      <c r="D1556" s="192">
        <v>0.1</v>
      </c>
      <c r="E1556" s="192">
        <v>1</v>
      </c>
      <c r="F1556" s="192">
        <v>1</v>
      </c>
      <c r="G1556" s="192">
        <f t="shared" si="64"/>
        <v>1</v>
      </c>
      <c r="H1556" s="235" t="str">
        <f t="shared" si="63"/>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row>
    <row r="1557" spans="1:38" ht="24.75" customHeight="1" x14ac:dyDescent="0.2">
      <c r="A1557" s="304"/>
      <c r="B1557" s="311"/>
      <c r="C1557" s="312"/>
      <c r="D1557" s="313"/>
      <c r="E1557" s="313"/>
      <c r="F1557" s="313"/>
      <c r="G1557" s="313"/>
      <c r="H1557" s="314"/>
    </row>
    <row r="1558" spans="1:38" ht="24.75" customHeight="1" x14ac:dyDescent="0.2">
      <c r="A1558" s="561" t="s">
        <v>756</v>
      </c>
      <c r="B1558" s="562"/>
      <c r="C1558" s="562"/>
      <c r="D1558" s="562"/>
      <c r="E1558" s="562"/>
      <c r="F1558" s="562"/>
      <c r="G1558" s="562"/>
      <c r="H1558" s="563"/>
    </row>
    <row r="1559" spans="1:38" ht="24.75" customHeight="1" x14ac:dyDescent="0.2">
      <c r="A1559" s="74" t="s">
        <v>63</v>
      </c>
      <c r="B1559" s="29" t="s">
        <v>175</v>
      </c>
      <c r="C1559" s="205" t="s">
        <v>147</v>
      </c>
      <c r="D1559" s="205" t="s">
        <v>746</v>
      </c>
      <c r="E1559" s="205" t="s">
        <v>757</v>
      </c>
      <c r="F1559" s="205" t="s">
        <v>758</v>
      </c>
      <c r="G1559" s="205" t="s">
        <v>759</v>
      </c>
      <c r="H1559" s="29" t="s">
        <v>167</v>
      </c>
    </row>
    <row r="1560" spans="1:38" ht="24.75" customHeight="1" x14ac:dyDescent="0.2">
      <c r="A1560" s="559" t="s">
        <v>135</v>
      </c>
      <c r="B1560" s="173" t="s">
        <v>425</v>
      </c>
      <c r="C1560" s="34" t="s">
        <v>426</v>
      </c>
      <c r="D1560" s="185">
        <v>0.15</v>
      </c>
      <c r="E1560" s="174">
        <v>20</v>
      </c>
      <c r="F1560" s="174">
        <v>20</v>
      </c>
      <c r="G1560" s="185">
        <f t="shared" ref="G1560:G1566" si="65">F1560/E1560</f>
        <v>1</v>
      </c>
      <c r="H1560" s="234" t="s">
        <v>729</v>
      </c>
    </row>
    <row r="1561" spans="1:38" ht="24.75" customHeight="1" x14ac:dyDescent="0.2">
      <c r="A1561" s="560"/>
      <c r="B1561" s="173" t="s">
        <v>427</v>
      </c>
      <c r="C1561" s="34" t="s">
        <v>426</v>
      </c>
      <c r="D1561" s="185">
        <v>0.15</v>
      </c>
      <c r="E1561" s="89">
        <v>4</v>
      </c>
      <c r="F1561" s="89">
        <v>0.45</v>
      </c>
      <c r="G1561" s="185">
        <f t="shared" si="65"/>
        <v>0.1125</v>
      </c>
      <c r="H1561" s="234" t="s">
        <v>748</v>
      </c>
    </row>
    <row r="1562" spans="1:38" ht="24.75" customHeight="1" x14ac:dyDescent="0.2">
      <c r="A1562" s="560"/>
      <c r="B1562" s="173" t="s">
        <v>428</v>
      </c>
      <c r="C1562" s="34" t="s">
        <v>426</v>
      </c>
      <c r="D1562" s="185">
        <v>0.15</v>
      </c>
      <c r="E1562" s="89">
        <v>1</v>
      </c>
      <c r="F1562" s="89">
        <v>0.17</v>
      </c>
      <c r="G1562" s="185">
        <f t="shared" si="65"/>
        <v>0.17</v>
      </c>
      <c r="H1562" s="234" t="s">
        <v>749</v>
      </c>
    </row>
    <row r="1563" spans="1:38" ht="24.75" customHeight="1" x14ac:dyDescent="0.2">
      <c r="A1563" s="560"/>
      <c r="B1563" s="173" t="s">
        <v>429</v>
      </c>
      <c r="C1563" s="34" t="s">
        <v>426</v>
      </c>
      <c r="D1563" s="185">
        <v>0.15</v>
      </c>
      <c r="E1563" s="90">
        <v>318</v>
      </c>
      <c r="F1563" s="89">
        <v>18</v>
      </c>
      <c r="G1563" s="185">
        <f t="shared" si="65"/>
        <v>5.6603773584905662E-2</v>
      </c>
      <c r="H1563" s="234" t="s">
        <v>730</v>
      </c>
    </row>
    <row r="1564" spans="1:38" ht="24.75" customHeight="1" x14ac:dyDescent="0.2">
      <c r="A1564" s="560"/>
      <c r="B1564" s="173" t="s">
        <v>430</v>
      </c>
      <c r="C1564" s="34" t="s">
        <v>426</v>
      </c>
      <c r="D1564" s="185">
        <v>0.15</v>
      </c>
      <c r="E1564" s="89">
        <v>1</v>
      </c>
      <c r="F1564" s="89">
        <v>1</v>
      </c>
      <c r="G1564" s="185">
        <f t="shared" si="65"/>
        <v>1</v>
      </c>
      <c r="H1564" s="234" t="s">
        <v>728</v>
      </c>
    </row>
    <row r="1565" spans="1:38" ht="24.75" customHeight="1" x14ac:dyDescent="0.2">
      <c r="A1565" s="560"/>
      <c r="B1565" s="173" t="s">
        <v>431</v>
      </c>
      <c r="C1565" s="34" t="s">
        <v>426</v>
      </c>
      <c r="D1565" s="185">
        <v>0.15</v>
      </c>
      <c r="E1565" s="90">
        <v>153</v>
      </c>
      <c r="F1565" s="89">
        <v>56</v>
      </c>
      <c r="G1565" s="185">
        <f t="shared" si="65"/>
        <v>0.36601307189542481</v>
      </c>
      <c r="H1565" s="234" t="s">
        <v>751</v>
      </c>
    </row>
    <row r="1566" spans="1:38" ht="24.75" customHeight="1" x14ac:dyDescent="0.2">
      <c r="A1566" s="516"/>
      <c r="B1566" s="173" t="s">
        <v>432</v>
      </c>
      <c r="C1566" s="34" t="s">
        <v>426</v>
      </c>
      <c r="D1566" s="185">
        <v>0.1</v>
      </c>
      <c r="E1566" s="185">
        <v>1</v>
      </c>
      <c r="F1566" s="185">
        <v>1</v>
      </c>
      <c r="G1566" s="185">
        <f t="shared" si="65"/>
        <v>1</v>
      </c>
      <c r="H1566" s="234" t="s">
        <v>752</v>
      </c>
    </row>
    <row r="1567" spans="1:38" ht="24.75" customHeight="1" x14ac:dyDescent="0.2">
      <c r="A1567" s="559" t="s">
        <v>136</v>
      </c>
      <c r="B1567" s="173" t="s">
        <v>425</v>
      </c>
      <c r="C1567" s="34" t="s">
        <v>426</v>
      </c>
      <c r="D1567" s="185">
        <v>0.15</v>
      </c>
      <c r="E1567" s="174">
        <v>20</v>
      </c>
      <c r="F1567" s="174">
        <v>20</v>
      </c>
      <c r="G1567" s="185">
        <f t="shared" ref="G1567:G1573" si="66">F1567/E1567</f>
        <v>1</v>
      </c>
      <c r="H1567" s="234" t="s">
        <v>761</v>
      </c>
    </row>
    <row r="1568" spans="1:38" ht="24.75" customHeight="1" x14ac:dyDescent="0.2">
      <c r="A1568" s="560"/>
      <c r="B1568" s="173" t="s">
        <v>427</v>
      </c>
      <c r="C1568" s="34" t="s">
        <v>426</v>
      </c>
      <c r="D1568" s="185">
        <v>0.15</v>
      </c>
      <c r="E1568" s="89">
        <v>4</v>
      </c>
      <c r="F1568" s="89">
        <v>1.25</v>
      </c>
      <c r="G1568" s="185">
        <f t="shared" si="66"/>
        <v>0.3125</v>
      </c>
      <c r="H1568" s="234" t="s">
        <v>762</v>
      </c>
    </row>
    <row r="1569" spans="1:8" ht="24.75" customHeight="1" x14ac:dyDescent="0.2">
      <c r="A1569" s="560"/>
      <c r="B1569" s="173" t="s">
        <v>428</v>
      </c>
      <c r="C1569" s="34" t="s">
        <v>426</v>
      </c>
      <c r="D1569" s="185">
        <v>0.15</v>
      </c>
      <c r="E1569" s="89">
        <v>1</v>
      </c>
      <c r="F1569" s="89">
        <v>0.34</v>
      </c>
      <c r="G1569" s="185">
        <f t="shared" si="66"/>
        <v>0.34</v>
      </c>
      <c r="H1569" s="234" t="s">
        <v>763</v>
      </c>
    </row>
    <row r="1570" spans="1:8" ht="24.75" customHeight="1" x14ac:dyDescent="0.2">
      <c r="A1570" s="560"/>
      <c r="B1570" s="173" t="s">
        <v>429</v>
      </c>
      <c r="C1570" s="34" t="s">
        <v>426</v>
      </c>
      <c r="D1570" s="185">
        <v>0.15</v>
      </c>
      <c r="E1570" s="90">
        <v>404</v>
      </c>
      <c r="F1570" s="89">
        <v>28</v>
      </c>
      <c r="G1570" s="185">
        <f t="shared" si="66"/>
        <v>6.9306930693069313E-2</v>
      </c>
      <c r="H1570" s="234" t="s">
        <v>765</v>
      </c>
    </row>
    <row r="1571" spans="1:8" ht="24.75" customHeight="1" x14ac:dyDescent="0.2">
      <c r="A1571" s="560"/>
      <c r="B1571" s="173" t="s">
        <v>430</v>
      </c>
      <c r="C1571" s="34" t="s">
        <v>426</v>
      </c>
      <c r="D1571" s="185">
        <v>0.15</v>
      </c>
      <c r="E1571" s="89">
        <v>1</v>
      </c>
      <c r="F1571" s="89">
        <v>1</v>
      </c>
      <c r="G1571" s="185">
        <f t="shared" si="66"/>
        <v>1</v>
      </c>
      <c r="H1571" s="234" t="s">
        <v>764</v>
      </c>
    </row>
    <row r="1572" spans="1:8" ht="24.75" customHeight="1" x14ac:dyDescent="0.2">
      <c r="A1572" s="560"/>
      <c r="B1572" s="173" t="s">
        <v>431</v>
      </c>
      <c r="C1572" s="34" t="s">
        <v>426</v>
      </c>
      <c r="D1572" s="185">
        <v>0.15</v>
      </c>
      <c r="E1572" s="90">
        <v>153</v>
      </c>
      <c r="F1572" s="89">
        <v>87</v>
      </c>
      <c r="G1572" s="185">
        <f t="shared" si="66"/>
        <v>0.56862745098039214</v>
      </c>
      <c r="H1572" s="234" t="s">
        <v>742</v>
      </c>
    </row>
    <row r="1573" spans="1:8" ht="24.75" customHeight="1" x14ac:dyDescent="0.2">
      <c r="A1573" s="516"/>
      <c r="B1573" s="173" t="s">
        <v>432</v>
      </c>
      <c r="C1573" s="34" t="s">
        <v>426</v>
      </c>
      <c r="D1573" s="185">
        <v>0.1</v>
      </c>
      <c r="E1573" s="185">
        <v>1</v>
      </c>
      <c r="F1573" s="185">
        <v>1</v>
      </c>
      <c r="G1573" s="185">
        <f t="shared" si="66"/>
        <v>1</v>
      </c>
      <c r="H1573" s="234" t="s">
        <v>743</v>
      </c>
    </row>
    <row r="1574" spans="1:8" ht="24.75" customHeight="1" x14ac:dyDescent="0.2">
      <c r="A1574" s="559" t="s">
        <v>137</v>
      </c>
      <c r="B1574" s="173" t="s">
        <v>425</v>
      </c>
      <c r="C1574" s="34" t="s">
        <v>426</v>
      </c>
      <c r="D1574" s="185">
        <v>0.15</v>
      </c>
      <c r="E1574" s="174">
        <v>20</v>
      </c>
      <c r="F1574" s="174">
        <v>20</v>
      </c>
      <c r="G1574" s="185">
        <f t="shared" ref="G1574:G1580" si="67">F1574/E1574</f>
        <v>1</v>
      </c>
      <c r="H1574" s="234" t="s">
        <v>772</v>
      </c>
    </row>
    <row r="1575" spans="1:8" ht="24.75" customHeight="1" x14ac:dyDescent="0.2">
      <c r="A1575" s="560"/>
      <c r="B1575" s="173" t="s">
        <v>427</v>
      </c>
      <c r="C1575" s="34" t="s">
        <v>426</v>
      </c>
      <c r="D1575" s="185">
        <v>0.15</v>
      </c>
      <c r="E1575" s="89">
        <v>4</v>
      </c>
      <c r="F1575" s="89">
        <v>0.68</v>
      </c>
      <c r="G1575" s="185">
        <f t="shared" si="67"/>
        <v>0.17</v>
      </c>
      <c r="H1575" s="234" t="s">
        <v>773</v>
      </c>
    </row>
    <row r="1576" spans="1:8" ht="24.75" customHeight="1" x14ac:dyDescent="0.2">
      <c r="A1576" s="560"/>
      <c r="B1576" s="173" t="s">
        <v>428</v>
      </c>
      <c r="C1576" s="34" t="s">
        <v>426</v>
      </c>
      <c r="D1576" s="185">
        <v>0.15</v>
      </c>
      <c r="E1576" s="89">
        <v>1</v>
      </c>
      <c r="F1576" s="89">
        <v>122</v>
      </c>
      <c r="G1576" s="185">
        <f t="shared" si="67"/>
        <v>122</v>
      </c>
      <c r="H1576" s="234" t="s">
        <v>774</v>
      </c>
    </row>
    <row r="1577" spans="1:8" ht="24.75" customHeight="1" x14ac:dyDescent="0.2">
      <c r="A1577" s="560"/>
      <c r="B1577" s="173" t="s">
        <v>429</v>
      </c>
      <c r="C1577" s="34" t="s">
        <v>426</v>
      </c>
      <c r="D1577" s="185">
        <v>0.15</v>
      </c>
      <c r="E1577" s="90">
        <v>404</v>
      </c>
      <c r="F1577" s="89">
        <v>81</v>
      </c>
      <c r="G1577" s="185">
        <f t="shared" si="67"/>
        <v>0.20049504950495051</v>
      </c>
      <c r="H1577" s="234" t="s">
        <v>769</v>
      </c>
    </row>
    <row r="1578" spans="1:8" ht="24.75" customHeight="1" x14ac:dyDescent="0.2">
      <c r="A1578" s="560"/>
      <c r="B1578" s="173" t="s">
        <v>430</v>
      </c>
      <c r="C1578" s="34" t="s">
        <v>426</v>
      </c>
      <c r="D1578" s="185">
        <v>0.15</v>
      </c>
      <c r="E1578" s="89">
        <v>1</v>
      </c>
      <c r="F1578" s="89">
        <v>1</v>
      </c>
      <c r="G1578" s="185">
        <f t="shared" si="67"/>
        <v>1</v>
      </c>
      <c r="H1578" s="234" t="s">
        <v>776</v>
      </c>
    </row>
    <row r="1579" spans="1:8" ht="24.75" customHeight="1" x14ac:dyDescent="0.2">
      <c r="A1579" s="560"/>
      <c r="B1579" s="173" t="s">
        <v>431</v>
      </c>
      <c r="C1579" s="34" t="s">
        <v>426</v>
      </c>
      <c r="D1579" s="185">
        <v>0.15</v>
      </c>
      <c r="E1579" s="89">
        <v>153</v>
      </c>
      <c r="F1579" s="89">
        <v>142</v>
      </c>
      <c r="G1579" s="185">
        <f t="shared" si="67"/>
        <v>0.92810457516339873</v>
      </c>
      <c r="H1579" s="234" t="s">
        <v>771</v>
      </c>
    </row>
    <row r="1580" spans="1:8" ht="24.75" customHeight="1" x14ac:dyDescent="0.2">
      <c r="A1580" s="516"/>
      <c r="B1580" s="173" t="s">
        <v>432</v>
      </c>
      <c r="C1580" s="34" t="s">
        <v>426</v>
      </c>
      <c r="D1580" s="185">
        <v>0.1</v>
      </c>
      <c r="E1580" s="335">
        <v>1</v>
      </c>
      <c r="F1580" s="185">
        <v>1</v>
      </c>
      <c r="G1580" s="185">
        <f t="shared" si="67"/>
        <v>1</v>
      </c>
      <c r="H1580" s="234" t="s">
        <v>775</v>
      </c>
    </row>
    <row r="1581" spans="1:8" ht="24.75" customHeight="1" x14ac:dyDescent="0.2">
      <c r="A1581" s="559" t="s">
        <v>138</v>
      </c>
      <c r="B1581" s="173" t="s">
        <v>425</v>
      </c>
      <c r="C1581" s="34" t="s">
        <v>426</v>
      </c>
      <c r="D1581" s="185">
        <v>0.15</v>
      </c>
      <c r="E1581" s="174">
        <v>20</v>
      </c>
      <c r="F1581" s="174">
        <v>20</v>
      </c>
      <c r="G1581" s="185">
        <f t="shared" ref="G1581:G1594" si="68">F1581/E1581</f>
        <v>1</v>
      </c>
      <c r="H1581" s="87" t="str">
        <f>+L892</f>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1582" spans="1:8" ht="24.75" customHeight="1" x14ac:dyDescent="0.2">
      <c r="A1582" s="560"/>
      <c r="B1582" s="173" t="s">
        <v>427</v>
      </c>
      <c r="C1582" s="34" t="s">
        <v>426</v>
      </c>
      <c r="D1582" s="185">
        <v>0.15</v>
      </c>
      <c r="E1582" s="89">
        <f>+INVERSIÓN!$EP$17</f>
        <v>4</v>
      </c>
      <c r="F1582" s="89">
        <f>+INVERSIÓN!EQ31</f>
        <v>254</v>
      </c>
      <c r="G1582" s="185">
        <f t="shared" si="68"/>
        <v>63.5</v>
      </c>
      <c r="H1582" s="87" t="str">
        <f t="shared" ref="H1582:H1587" si="69">+L893</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row>
    <row r="1583" spans="1:8" ht="24.75" customHeight="1" x14ac:dyDescent="0.2">
      <c r="A1583" s="560"/>
      <c r="B1583" s="173" t="s">
        <v>428</v>
      </c>
      <c r="C1583" s="34" t="s">
        <v>426</v>
      </c>
      <c r="D1583" s="185">
        <v>0.15</v>
      </c>
      <c r="E1583" s="89">
        <f>+INVERSIÓN!$EP$24</f>
        <v>1</v>
      </c>
      <c r="F1583" s="89">
        <f>+INVERSIÓN!EQ38</f>
        <v>1</v>
      </c>
      <c r="G1583" s="185">
        <f t="shared" si="68"/>
        <v>1</v>
      </c>
      <c r="H1583" s="87" t="str">
        <f t="shared" si="69"/>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row>
    <row r="1584" spans="1:8" ht="24.75" customHeight="1" x14ac:dyDescent="0.2">
      <c r="A1584" s="560"/>
      <c r="B1584" s="173" t="s">
        <v>429</v>
      </c>
      <c r="C1584" s="34" t="s">
        <v>426</v>
      </c>
      <c r="D1584" s="185">
        <v>0.15</v>
      </c>
      <c r="E1584" s="90">
        <v>404</v>
      </c>
      <c r="F1584" s="89">
        <v>81</v>
      </c>
      <c r="G1584" s="185">
        <f t="shared" si="68"/>
        <v>0.20049504950495051</v>
      </c>
      <c r="H1584" s="87">
        <f t="shared" si="69"/>
        <v>0</v>
      </c>
    </row>
    <row r="1585" spans="1:38" ht="24.75" customHeight="1" x14ac:dyDescent="0.2">
      <c r="A1585" s="560"/>
      <c r="B1585" s="173" t="s">
        <v>430</v>
      </c>
      <c r="C1585" s="34" t="s">
        <v>426</v>
      </c>
      <c r="D1585" s="185">
        <v>0.15</v>
      </c>
      <c r="E1585" s="89">
        <v>1</v>
      </c>
      <c r="F1585" s="89">
        <v>1</v>
      </c>
      <c r="G1585" s="185">
        <f t="shared" si="68"/>
        <v>1</v>
      </c>
      <c r="H1585" s="87" t="str">
        <f t="shared" si="69"/>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row>
    <row r="1586" spans="1:38" ht="24.75" customHeight="1" x14ac:dyDescent="0.2">
      <c r="A1586" s="560"/>
      <c r="B1586" s="173" t="s">
        <v>431</v>
      </c>
      <c r="C1586" s="34" t="s">
        <v>426</v>
      </c>
      <c r="D1586" s="185">
        <v>0.15</v>
      </c>
      <c r="E1586" s="89">
        <f>+INVERSIÓN!$EP$45</f>
        <v>432</v>
      </c>
      <c r="F1586" s="89">
        <v>142</v>
      </c>
      <c r="G1586" s="185">
        <f t="shared" si="68"/>
        <v>0.32870370370370372</v>
      </c>
      <c r="H1586" s="87" t="str">
        <f t="shared" si="69"/>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row>
    <row r="1587" spans="1:38" ht="24.75" customHeight="1" x14ac:dyDescent="0.2">
      <c r="A1587" s="516"/>
      <c r="B1587" s="173" t="s">
        <v>432</v>
      </c>
      <c r="C1587" s="34" t="s">
        <v>426</v>
      </c>
      <c r="D1587" s="185">
        <v>0.1</v>
      </c>
      <c r="E1587" s="372">
        <f>+INVERSIÓN!$EP$52</f>
        <v>1</v>
      </c>
      <c r="F1587" s="185">
        <v>1</v>
      </c>
      <c r="G1587" s="185">
        <f t="shared" si="68"/>
        <v>1</v>
      </c>
      <c r="H1587" s="87" t="str">
        <f t="shared" si="69"/>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row>
    <row r="1588" spans="1:38" ht="24.75" customHeight="1" x14ac:dyDescent="0.2">
      <c r="A1588" s="678" t="s">
        <v>139</v>
      </c>
      <c r="B1588" s="664" t="s">
        <v>425</v>
      </c>
      <c r="C1588" s="663" t="s">
        <v>426</v>
      </c>
      <c r="D1588" s="902">
        <v>0.15</v>
      </c>
      <c r="E1588" s="765">
        <v>20</v>
      </c>
      <c r="F1588" s="765">
        <v>19</v>
      </c>
      <c r="G1588" s="902">
        <f t="shared" si="68"/>
        <v>0.95</v>
      </c>
      <c r="H1588" s="812" t="str">
        <f>+L899</f>
        <v>Para el acumulado al mes de MAyo de la vigencia 2024, el avance corresponde al 100%.
 Se han reportado los mantenimientos preventivos y correctivos realizados. De igual manera se realizó la validación diaria de los datos de concentraciones de contaminantes criterio y parámetros meteorológicos monitoreados por la Red de Monitoreo y Calidad de Aire de Bogotá - RMCAB. 
El indicador acumulado para el plan de desarrollo corresponde al 100% de cumplimiento.</v>
      </c>
    </row>
    <row r="1589" spans="1:38" ht="24.75" customHeight="1" x14ac:dyDescent="0.2">
      <c r="A1589" s="668"/>
      <c r="B1589" s="664" t="s">
        <v>427</v>
      </c>
      <c r="C1589" s="663" t="s">
        <v>426</v>
      </c>
      <c r="D1589" s="902">
        <v>0.15</v>
      </c>
      <c r="E1589" s="662">
        <f>+INVERSIÓN!$EP$17</f>
        <v>4</v>
      </c>
      <c r="F1589" s="662">
        <f>+INVERSIÓN!$EQ$17</f>
        <v>3.25</v>
      </c>
      <c r="G1589" s="902">
        <f t="shared" si="68"/>
        <v>0.8125</v>
      </c>
      <c r="H1589" s="812" t="str">
        <f t="shared" ref="H1589:H1594" si="70">+L900</f>
        <v>En el marco de la Gestión Integral de la Calidad del Aire de Bogotá, para la vigencia 2024 se realizará la entrega de cuatro (4) documentos técnicos, así:
1. Plan Aire
Aporte Vigencia 2024: 2 Documentos
Informes semestrales de Seguimiento al Plan Estratégico para la Gestión Integral de la Calidad del Aire – Plan Aire 2030. 
Avance acumulado a Mayo: 1,6.
2. Alertas
Aporte Vigencia 2024: 1 Documento
(1) documento Avance Informe de gestión del Sistema de Alertas Tempranas Ambientales en su componente aire 2024. 
Avance acumulado a Mayo: 0,9.
3. Modelo
Aporte Vigencia 2024: 1 Documento
(1)	Inventario de Emisiones Atmosféricas de Bogotá correspondiente al 2023.
Avance acumulado a Mayo: 0,75.
Con lo anterior se alcanza un acumulado al PDD de 29,25 documentos técnicos, correspondientes al 97,5% de avance acumulado.</v>
      </c>
    </row>
    <row r="1590" spans="1:38" ht="24.75" customHeight="1" x14ac:dyDescent="0.2">
      <c r="A1590" s="668"/>
      <c r="B1590" s="664" t="s">
        <v>428</v>
      </c>
      <c r="C1590" s="663" t="s">
        <v>426</v>
      </c>
      <c r="D1590" s="902">
        <v>0.15</v>
      </c>
      <c r="E1590" s="662">
        <f>+INVERSIÓN!$EP$24</f>
        <v>1</v>
      </c>
      <c r="F1590" s="662">
        <f>+INVERSIÓN!$EQ$24</f>
        <v>0.83000000000000007</v>
      </c>
      <c r="G1590" s="902">
        <f t="shared" si="68"/>
        <v>0.83000000000000007</v>
      </c>
      <c r="H1590" s="812" t="str">
        <f t="shared" si="70"/>
        <v>Acumulado en la vigencia 2024, se reporta un avance del 98%, así;
•	Primer Informe Semestral de Seguimiento 2024 - I, en construcción a Mayo 30 de 2024, 83% de avance acumulado.
Lo anterior con base en las actividades de recolección de información de las acciones de evaluación, control y seguimiento de los grupos de fuentes fijas y fuentes móviles.
También se tienen en cuenta la intervención mediante actuaciones técnicas, visitas de control y seguimiento, acompañamientos, monitoreos, pruebas de emisión a vehículos que transitan en el Distrito Capital y que se requieren en el Centro de Revisión Vehicular - CRV, vinculaciones al PAA y concesionarios, así como visitas técnicas de auditoría a los equipos de medición en los Centros de Diagnóstico Automotor CDA'S, con esta información se construyó el informe de acciones de evaluación, control y seguimiento a las fuentes de emisión.
El avance acumulado del Cuatrienio son 7,83 informes (98%) de los 8 informes programados para el cuatrienio.</v>
      </c>
    </row>
    <row r="1591" spans="1:38" ht="24.75" customHeight="1" x14ac:dyDescent="0.2">
      <c r="A1591" s="668"/>
      <c r="B1591" s="664" t="s">
        <v>429</v>
      </c>
      <c r="C1591" s="663" t="s">
        <v>426</v>
      </c>
      <c r="D1591" s="902">
        <v>0.15</v>
      </c>
      <c r="E1591" s="661">
        <v>404</v>
      </c>
      <c r="F1591" s="662">
        <v>246</v>
      </c>
      <c r="G1591" s="902">
        <f t="shared" si="68"/>
        <v>0.6089108910891089</v>
      </c>
      <c r="H1591" s="812" t="str">
        <f t="shared" si="70"/>
        <v>Vigencia 2024: 254 acciones, 246 visitas y 8 otras acciones de gestión:
Avance acumulado para el cuatrienio 4.541 acciones correspondientes al 97% de ejecución. Distribuidas por vigencia de la siguiente manera: 
Vigencia 2020: 491 Acciones.
Vigencia 2021: 897 Acciones.
Vigencia 2022: 1.418 Acciones.
Vigencia 2023: 1.481 Acciones.
Vigencia 2024: 254 acciones.</v>
      </c>
    </row>
    <row r="1592" spans="1:38" ht="24.75" customHeight="1" x14ac:dyDescent="0.2">
      <c r="A1592" s="668"/>
      <c r="B1592" s="664" t="s">
        <v>430</v>
      </c>
      <c r="C1592" s="663" t="s">
        <v>426</v>
      </c>
      <c r="D1592" s="902">
        <v>0.15</v>
      </c>
      <c r="E1592" s="662">
        <v>1</v>
      </c>
      <c r="F1592" s="662">
        <v>1</v>
      </c>
      <c r="G1592" s="902">
        <f t="shared" si="68"/>
        <v>1</v>
      </c>
      <c r="H1592" s="812" t="str">
        <f t="shared" si="70"/>
        <v>Con la finalidad de realizar el 100% de las actividades para gestionar, estructurar y ampliar la red de monitoreo de ruido ambiental se realizaron actividades de mantenimiento, actualización de cartas control, análisis de los datos obtenidos de la red, avance del informe semestral e informe de laboratorio, medición del festival estéreo picnic y primera reunión para la estructuración del Plan de Acción de Descontaminación del Distrito.
Con lo cual continuamos con el reporte del 100% de cumplimiento de la meta para la vigencia, además se gestionó con la Secretaria de Salud una campaña de salud auditiva en colegios del Distrito.</v>
      </c>
    </row>
    <row r="1593" spans="1:38" ht="24.75" customHeight="1" x14ac:dyDescent="0.2">
      <c r="A1593" s="668"/>
      <c r="B1593" s="664" t="s">
        <v>431</v>
      </c>
      <c r="C1593" s="663" t="s">
        <v>426</v>
      </c>
      <c r="D1593" s="902">
        <v>0.15</v>
      </c>
      <c r="E1593" s="662">
        <f>+INVERSIÓN!$EP$45</f>
        <v>432</v>
      </c>
      <c r="F1593" s="662">
        <f>+INVERSIÓN!$EQ$45</f>
        <v>356</v>
      </c>
      <c r="G1593" s="902">
        <f t="shared" si="68"/>
        <v>0.82407407407407407</v>
      </c>
      <c r="H1593" s="812" t="str">
        <f t="shared" si="70"/>
        <v>Durante el mes de Mayo se realizaron (107) acciones en cumplimiento de la meta
- (25) visitas de Evaluación a los elementos tipo valla tubular.
- (25) documentos técnicos firmados para el resto del Distrito.
- (1) cargue de información a la plataforma SIIPEV.
- (56) evaluaciones a solicitudes de elementos de publicidad exterior visual.
Así en la vigencia 2024 se han realizado (356) acciones de evaluación, control y seguimiento con lo cual se da cumplimiento de la programación en la vigencia así:
- (2) operativos de control y seguimiento en el resto del distrito.
- (75) visitas de Evaluación a los elementos tipo valla tubular.
- (120) documentos técnicos firmados para el resto del Distrito.
- (4) cargue de información a la plataforma SIIPEV.
- (155) evaluaciones a solicitudes de elementos de publicidad exterior visual.
Con lo anterior, se tiene un avance para el cuatrienio de 8.974 acciones de evaluación, control y seguimiento.</v>
      </c>
    </row>
    <row r="1594" spans="1:38" ht="24.75" customHeight="1" x14ac:dyDescent="0.2">
      <c r="A1594" s="666"/>
      <c r="B1594" s="664" t="s">
        <v>432</v>
      </c>
      <c r="C1594" s="663" t="s">
        <v>426</v>
      </c>
      <c r="D1594" s="902">
        <v>0.1</v>
      </c>
      <c r="E1594" s="660">
        <f>+INVERSIÓN!$EP$52</f>
        <v>1</v>
      </c>
      <c r="F1594" s="660">
        <f>+INVERSIÓN!$EQ$52</f>
        <v>1</v>
      </c>
      <c r="G1594" s="902">
        <f t="shared" si="68"/>
        <v>1</v>
      </c>
      <c r="H1594" s="812" t="str">
        <f t="shared" si="70"/>
        <v>En el marco de las acciones de evaluación, control y seguimiento a los factores de deterioro ambiental como los son los Aire, Ruido y PEV, la Secretaría Distrital de Ambiente durante el periodo comprendido entre el 01 enero al 30 de Mayo del año 2024, atendió el 100% de los conceptos técnicos que recomiendan una actuación administrativa sancionatoria.</v>
      </c>
    </row>
    <row r="1595" spans="1:38" ht="24.75" customHeight="1" x14ac:dyDescent="0.2">
      <c r="A1595" s="304"/>
      <c r="B1595" s="311"/>
      <c r="C1595" s="312"/>
      <c r="D1595" s="313"/>
      <c r="E1595" s="313"/>
      <c r="F1595" s="313"/>
      <c r="G1595" s="313"/>
      <c r="H1595" s="314"/>
    </row>
    <row r="1596" spans="1:38" ht="24.75" customHeight="1" x14ac:dyDescent="0.2">
      <c r="A1596" s="219" t="s">
        <v>34</v>
      </c>
      <c r="B1596" s="220"/>
      <c r="C1596" s="220"/>
      <c r="D1596" s="221"/>
      <c r="E1596" s="222"/>
      <c r="F1596" s="221"/>
      <c r="G1596" s="221"/>
      <c r="H1596" s="221"/>
      <c r="I1596" s="221"/>
      <c r="J1596" s="221"/>
      <c r="K1596" s="221"/>
      <c r="L1596" s="221"/>
      <c r="M1596" s="221"/>
      <c r="N1596" s="221"/>
      <c r="O1596" s="221"/>
      <c r="P1596" s="220"/>
      <c r="Q1596" s="220"/>
      <c r="R1596" s="220"/>
      <c r="S1596" s="220"/>
      <c r="T1596" s="220"/>
      <c r="U1596" s="220"/>
      <c r="V1596" s="220"/>
      <c r="W1596" s="220"/>
      <c r="X1596" s="223"/>
      <c r="Y1596" s="223"/>
      <c r="Z1596" s="223"/>
      <c r="AA1596" s="223"/>
      <c r="AB1596" s="223"/>
      <c r="AC1596" s="223"/>
      <c r="AD1596" s="224"/>
      <c r="AE1596" s="224"/>
      <c r="AF1596" s="223"/>
      <c r="AG1596" s="223"/>
      <c r="AH1596" s="223"/>
      <c r="AI1596" s="223"/>
      <c r="AJ1596" s="223"/>
      <c r="AK1596" s="223"/>
      <c r="AL1596" s="224"/>
    </row>
    <row r="1597" spans="1:38" ht="24.75" customHeight="1" x14ac:dyDescent="0.2">
      <c r="A1597" s="225" t="s">
        <v>35</v>
      </c>
      <c r="B1597" s="600" t="s">
        <v>36</v>
      </c>
      <c r="C1597" s="601"/>
      <c r="D1597" s="601"/>
      <c r="E1597" s="601"/>
      <c r="F1597" s="601"/>
      <c r="G1597" s="601"/>
      <c r="H1597" s="602"/>
      <c r="I1597" s="603" t="s">
        <v>37</v>
      </c>
      <c r="J1597" s="604"/>
      <c r="K1597" s="604"/>
      <c r="L1597" s="604"/>
      <c r="M1597" s="604"/>
      <c r="N1597" s="604"/>
      <c r="O1597" s="605"/>
      <c r="P1597" s="220"/>
      <c r="Q1597" s="220"/>
      <c r="R1597" s="220"/>
      <c r="S1597" s="220"/>
      <c r="T1597" s="220"/>
      <c r="U1597" s="220"/>
      <c r="V1597" s="220"/>
      <c r="W1597" s="220"/>
      <c r="X1597" s="220"/>
      <c r="Y1597" s="220"/>
      <c r="Z1597" s="220"/>
      <c r="AA1597" s="220"/>
      <c r="AB1597" s="220"/>
      <c r="AC1597" s="220"/>
      <c r="AD1597" s="226"/>
      <c r="AE1597" s="226"/>
      <c r="AF1597" s="220"/>
      <c r="AG1597" s="220"/>
      <c r="AH1597" s="220"/>
      <c r="AI1597" s="220"/>
      <c r="AJ1597" s="220"/>
      <c r="AK1597" s="220"/>
      <c r="AL1597" s="226"/>
    </row>
    <row r="1598" spans="1:38" ht="24.75" customHeight="1" x14ac:dyDescent="0.2">
      <c r="A1598" s="174">
        <v>13</v>
      </c>
      <c r="B1598" s="596" t="s">
        <v>89</v>
      </c>
      <c r="C1598" s="596"/>
      <c r="D1598" s="596"/>
      <c r="E1598" s="596"/>
      <c r="F1598" s="596"/>
      <c r="G1598" s="596"/>
      <c r="H1598" s="596"/>
      <c r="I1598" s="606" t="s">
        <v>80</v>
      </c>
      <c r="J1598" s="607"/>
      <c r="K1598" s="607"/>
      <c r="L1598" s="607"/>
      <c r="M1598" s="607"/>
      <c r="N1598" s="607"/>
      <c r="O1598" s="608"/>
    </row>
    <row r="1599" spans="1:38" ht="24.75" customHeight="1" x14ac:dyDescent="0.2">
      <c r="A1599" s="174">
        <v>14</v>
      </c>
      <c r="B1599" s="596" t="s">
        <v>247</v>
      </c>
      <c r="C1599" s="596"/>
      <c r="D1599" s="596"/>
      <c r="E1599" s="596"/>
      <c r="F1599" s="596"/>
      <c r="G1599" s="596"/>
      <c r="H1599" s="596"/>
      <c r="I1599" s="597" t="s">
        <v>508</v>
      </c>
      <c r="J1599" s="598"/>
      <c r="K1599" s="598"/>
      <c r="L1599" s="598"/>
      <c r="M1599" s="598"/>
      <c r="N1599" s="598"/>
      <c r="O1599" s="599"/>
    </row>
  </sheetData>
  <sheetProtection formatCells="0" formatColumns="0" formatRows="0" sort="0" autoFilter="0" pivotTables="0"/>
  <mergeCells count="988">
    <mergeCell ref="A1084:A1090"/>
    <mergeCell ref="B1084:B1086"/>
    <mergeCell ref="C1084:C1086"/>
    <mergeCell ref="B1089:B1090"/>
    <mergeCell ref="C1089:C1090"/>
    <mergeCell ref="C983:C985"/>
    <mergeCell ref="B988:B989"/>
    <mergeCell ref="C988:C989"/>
    <mergeCell ref="A990:A996"/>
    <mergeCell ref="B990:B992"/>
    <mergeCell ref="C990:C992"/>
    <mergeCell ref="B995:B996"/>
    <mergeCell ref="C995:C996"/>
    <mergeCell ref="A833:A839"/>
    <mergeCell ref="B833:B835"/>
    <mergeCell ref="C833:C835"/>
    <mergeCell ref="C1011:C1013"/>
    <mergeCell ref="B1016:B1017"/>
    <mergeCell ref="C1016:C1017"/>
    <mergeCell ref="A1018:A1024"/>
    <mergeCell ref="A541:A550"/>
    <mergeCell ref="B542:B544"/>
    <mergeCell ref="B549:B550"/>
    <mergeCell ref="A892:A898"/>
    <mergeCell ref="B892:B894"/>
    <mergeCell ref="C892:C894"/>
    <mergeCell ref="C854:C856"/>
    <mergeCell ref="B859:B860"/>
    <mergeCell ref="C859:C860"/>
    <mergeCell ref="B1018:B1020"/>
    <mergeCell ref="C1018:C1020"/>
    <mergeCell ref="B1023:B1024"/>
    <mergeCell ref="C1023:C1024"/>
    <mergeCell ref="C1002:C1003"/>
    <mergeCell ref="A1004:A1010"/>
    <mergeCell ref="A983:A989"/>
    <mergeCell ref="B983:B985"/>
    <mergeCell ref="F897:F898"/>
    <mergeCell ref="B1211:B1212"/>
    <mergeCell ref="C1211:C1212"/>
    <mergeCell ref="C1063:C1065"/>
    <mergeCell ref="B1068:B1069"/>
    <mergeCell ref="C1068:C1069"/>
    <mergeCell ref="B1070:B1072"/>
    <mergeCell ref="C1070:C1072"/>
    <mergeCell ref="B1124:B1125"/>
    <mergeCell ref="C1124:C1125"/>
    <mergeCell ref="A1127:G1127"/>
    <mergeCell ref="A1105:A1111"/>
    <mergeCell ref="B1105:B1107"/>
    <mergeCell ref="C1105:C1107"/>
    <mergeCell ref="B1110:B1111"/>
    <mergeCell ref="C1110:C1111"/>
    <mergeCell ref="A1112:A1118"/>
    <mergeCell ref="B1112:B1114"/>
    <mergeCell ref="A1070:A1076"/>
    <mergeCell ref="A1077:A1083"/>
    <mergeCell ref="B1077:B1079"/>
    <mergeCell ref="C1077:C1079"/>
    <mergeCell ref="B1082:B1083"/>
    <mergeCell ref="C1082:C1083"/>
    <mergeCell ref="A861:A867"/>
    <mergeCell ref="B861:B863"/>
    <mergeCell ref="C861:C863"/>
    <mergeCell ref="A1543:A1549"/>
    <mergeCell ref="C1061:C1062"/>
    <mergeCell ref="A1040:G1040"/>
    <mergeCell ref="A1042:A1048"/>
    <mergeCell ref="B1042:B1044"/>
    <mergeCell ref="C1042:C1044"/>
    <mergeCell ref="B1047:B1048"/>
    <mergeCell ref="C1047:C1048"/>
    <mergeCell ref="A1025:A1031"/>
    <mergeCell ref="B1025:B1027"/>
    <mergeCell ref="C1025:C1027"/>
    <mergeCell ref="B1030:B1031"/>
    <mergeCell ref="C1030:C1031"/>
    <mergeCell ref="A1032:A1038"/>
    <mergeCell ref="D861:D863"/>
    <mergeCell ref="E861:E863"/>
    <mergeCell ref="F861:F863"/>
    <mergeCell ref="B866:B867"/>
    <mergeCell ref="C866:C867"/>
    <mergeCell ref="D892:D894"/>
    <mergeCell ref="E892:E894"/>
    <mergeCell ref="D866:D867"/>
    <mergeCell ref="E866:E867"/>
    <mergeCell ref="F866:F867"/>
    <mergeCell ref="A1199:A1205"/>
    <mergeCell ref="B1199:B1201"/>
    <mergeCell ref="C1199:C1201"/>
    <mergeCell ref="B1204:B1205"/>
    <mergeCell ref="C1204:C1205"/>
    <mergeCell ref="B1075:B1076"/>
    <mergeCell ref="C1075:C1076"/>
    <mergeCell ref="A1049:A1055"/>
    <mergeCell ref="B1049:B1051"/>
    <mergeCell ref="C1049:C1051"/>
    <mergeCell ref="B1054:B1055"/>
    <mergeCell ref="C1054:C1055"/>
    <mergeCell ref="A1056:A1062"/>
    <mergeCell ref="B1056:B1058"/>
    <mergeCell ref="C1056:C1058"/>
    <mergeCell ref="B1061:B1062"/>
    <mergeCell ref="B1032:B1034"/>
    <mergeCell ref="C1032:C1034"/>
    <mergeCell ref="B1037:B1038"/>
    <mergeCell ref="A1063:A1069"/>
    <mergeCell ref="B1063:B1065"/>
    <mergeCell ref="A1421:A1427"/>
    <mergeCell ref="A1428:A1434"/>
    <mergeCell ref="A1435:A1441"/>
    <mergeCell ref="A1442:A1448"/>
    <mergeCell ref="A1449:A1455"/>
    <mergeCell ref="C1141:C1142"/>
    <mergeCell ref="A1119:A1125"/>
    <mergeCell ref="B1119:B1121"/>
    <mergeCell ref="C1119:C1121"/>
    <mergeCell ref="A1237:A1243"/>
    <mergeCell ref="B1237:B1239"/>
    <mergeCell ref="C1237:C1239"/>
    <mergeCell ref="B1242:B1243"/>
    <mergeCell ref="C1242:C1243"/>
    <mergeCell ref="A1192:A1198"/>
    <mergeCell ref="B1192:B1194"/>
    <mergeCell ref="C1192:C1194"/>
    <mergeCell ref="B1197:B1198"/>
    <mergeCell ref="C1197:C1198"/>
    <mergeCell ref="A1414:A1420"/>
    <mergeCell ref="A1376:A1382"/>
    <mergeCell ref="A1384:H1384"/>
    <mergeCell ref="A1386:A1392"/>
    <mergeCell ref="A1393:A1399"/>
    <mergeCell ref="D859:D860"/>
    <mergeCell ref="E859:E860"/>
    <mergeCell ref="F859:F860"/>
    <mergeCell ref="B1004:B1006"/>
    <mergeCell ref="C1004:C1006"/>
    <mergeCell ref="B1009:B1010"/>
    <mergeCell ref="C1009:C1010"/>
    <mergeCell ref="C950:C951"/>
    <mergeCell ref="A953:G953"/>
    <mergeCell ref="A931:A937"/>
    <mergeCell ref="B931:B933"/>
    <mergeCell ref="C931:C933"/>
    <mergeCell ref="B936:B937"/>
    <mergeCell ref="C936:C937"/>
    <mergeCell ref="A938:A944"/>
    <mergeCell ref="B938:B940"/>
    <mergeCell ref="C938:C940"/>
    <mergeCell ref="B943:B944"/>
    <mergeCell ref="A854:A860"/>
    <mergeCell ref="B854:B856"/>
    <mergeCell ref="A997:A1003"/>
    <mergeCell ref="B997:B999"/>
    <mergeCell ref="C997:C999"/>
    <mergeCell ref="B1002:B1003"/>
    <mergeCell ref="B1117:B1118"/>
    <mergeCell ref="C1117:C1118"/>
    <mergeCell ref="A1091:A1097"/>
    <mergeCell ref="B1091:B1093"/>
    <mergeCell ref="C1091:C1093"/>
    <mergeCell ref="B1096:B1097"/>
    <mergeCell ref="C1096:C1097"/>
    <mergeCell ref="A1098:A1104"/>
    <mergeCell ref="B1098:B1100"/>
    <mergeCell ref="C1098:C1100"/>
    <mergeCell ref="B1103:B1104"/>
    <mergeCell ref="C1112:C1114"/>
    <mergeCell ref="C1103:C1104"/>
    <mergeCell ref="D847:D849"/>
    <mergeCell ref="E847:E849"/>
    <mergeCell ref="F847:F849"/>
    <mergeCell ref="B852:B853"/>
    <mergeCell ref="C852:C853"/>
    <mergeCell ref="D852:D853"/>
    <mergeCell ref="D854:D856"/>
    <mergeCell ref="E854:E856"/>
    <mergeCell ref="E852:E853"/>
    <mergeCell ref="F852:F853"/>
    <mergeCell ref="F854:F856"/>
    <mergeCell ref="B847:B849"/>
    <mergeCell ref="C847:C849"/>
    <mergeCell ref="A1400:A1406"/>
    <mergeCell ref="A1407:A1413"/>
    <mergeCell ref="A1129:A1135"/>
    <mergeCell ref="B1129:B1131"/>
    <mergeCell ref="C1129:C1131"/>
    <mergeCell ref="B1134:B1135"/>
    <mergeCell ref="C1134:C1135"/>
    <mergeCell ref="A1136:A1142"/>
    <mergeCell ref="B1136:B1138"/>
    <mergeCell ref="C1136:C1138"/>
    <mergeCell ref="B1141:B1142"/>
    <mergeCell ref="A1230:A1236"/>
    <mergeCell ref="B1230:B1232"/>
    <mergeCell ref="C1230:C1232"/>
    <mergeCell ref="B1235:B1236"/>
    <mergeCell ref="C1235:C1236"/>
    <mergeCell ref="A1206:A1212"/>
    <mergeCell ref="B1206:B1208"/>
    <mergeCell ref="C1206:C1208"/>
    <mergeCell ref="A1216:A1222"/>
    <mergeCell ref="B1216:B1218"/>
    <mergeCell ref="C1216:C1218"/>
    <mergeCell ref="B1221:B1222"/>
    <mergeCell ref="C1221:C1222"/>
    <mergeCell ref="D833:D835"/>
    <mergeCell ref="A1348:A1354"/>
    <mergeCell ref="A1355:A1361"/>
    <mergeCell ref="A1362:A1368"/>
    <mergeCell ref="A1369:A1375"/>
    <mergeCell ref="A826:A832"/>
    <mergeCell ref="B826:B828"/>
    <mergeCell ref="C826:C828"/>
    <mergeCell ref="D826:D828"/>
    <mergeCell ref="A1268:A1274"/>
    <mergeCell ref="A1275:A1281"/>
    <mergeCell ref="A1282:A1288"/>
    <mergeCell ref="A1289:A1295"/>
    <mergeCell ref="B1150:B1152"/>
    <mergeCell ref="C1150:C1152"/>
    <mergeCell ref="B1155:B1156"/>
    <mergeCell ref="C1155:C1156"/>
    <mergeCell ref="C1178:C1180"/>
    <mergeCell ref="B1183:B1184"/>
    <mergeCell ref="C1183:C1184"/>
    <mergeCell ref="A847:A853"/>
    <mergeCell ref="C1037:C1038"/>
    <mergeCell ref="A1011:A1017"/>
    <mergeCell ref="B1011:B1013"/>
    <mergeCell ref="E833:E835"/>
    <mergeCell ref="F833:F835"/>
    <mergeCell ref="B838:B839"/>
    <mergeCell ref="C838:C839"/>
    <mergeCell ref="D838:D839"/>
    <mergeCell ref="E838:E839"/>
    <mergeCell ref="F838:F839"/>
    <mergeCell ref="A1334:A1340"/>
    <mergeCell ref="A1341:A1347"/>
    <mergeCell ref="A1297:H1297"/>
    <mergeCell ref="A1299:A1305"/>
    <mergeCell ref="A1306:A1312"/>
    <mergeCell ref="A1313:A1319"/>
    <mergeCell ref="A1320:A1326"/>
    <mergeCell ref="A1327:A1333"/>
    <mergeCell ref="A1164:A1170"/>
    <mergeCell ref="A1171:A1177"/>
    <mergeCell ref="B1171:B1173"/>
    <mergeCell ref="C1171:C1173"/>
    <mergeCell ref="B1176:B1177"/>
    <mergeCell ref="C1176:C1177"/>
    <mergeCell ref="B1164:B1166"/>
    <mergeCell ref="C1164:C1166"/>
    <mergeCell ref="B1169:B1170"/>
    <mergeCell ref="E826:E828"/>
    <mergeCell ref="F826:F828"/>
    <mergeCell ref="B831:B832"/>
    <mergeCell ref="C831:C832"/>
    <mergeCell ref="D831:D832"/>
    <mergeCell ref="E831:E832"/>
    <mergeCell ref="F831:F832"/>
    <mergeCell ref="A1254:A1260"/>
    <mergeCell ref="A1261:A1267"/>
    <mergeCell ref="A1157:A1163"/>
    <mergeCell ref="B1157:B1159"/>
    <mergeCell ref="C1157:C1159"/>
    <mergeCell ref="B1162:B1163"/>
    <mergeCell ref="C1162:C1163"/>
    <mergeCell ref="A1252:H1252"/>
    <mergeCell ref="C1169:C1170"/>
    <mergeCell ref="A1178:A1184"/>
    <mergeCell ref="B1178:B1180"/>
    <mergeCell ref="A1143:A1149"/>
    <mergeCell ref="B1143:B1145"/>
    <mergeCell ref="C1143:C1145"/>
    <mergeCell ref="B1148:B1149"/>
    <mergeCell ref="C1148:C1149"/>
    <mergeCell ref="A1150:A1156"/>
    <mergeCell ref="A434:A442"/>
    <mergeCell ref="B819:B821"/>
    <mergeCell ref="C819:C821"/>
    <mergeCell ref="D819:D821"/>
    <mergeCell ref="E819:E821"/>
    <mergeCell ref="F819:F821"/>
    <mergeCell ref="B824:B825"/>
    <mergeCell ref="C824:C825"/>
    <mergeCell ref="D824:D825"/>
    <mergeCell ref="E824:E825"/>
    <mergeCell ref="F824:F825"/>
    <mergeCell ref="D817:D818"/>
    <mergeCell ref="E817:E818"/>
    <mergeCell ref="F817:F818"/>
    <mergeCell ref="F803:F804"/>
    <mergeCell ref="C810:C811"/>
    <mergeCell ref="D810:D811"/>
    <mergeCell ref="A798:A804"/>
    <mergeCell ref="B798:B800"/>
    <mergeCell ref="C798:C800"/>
    <mergeCell ref="D798:D800"/>
    <mergeCell ref="E798:E800"/>
    <mergeCell ref="F798:F800"/>
    <mergeCell ref="B803:B804"/>
    <mergeCell ref="B1599:H1599"/>
    <mergeCell ref="I1599:O1599"/>
    <mergeCell ref="A1494:A1500"/>
    <mergeCell ref="A1501:A1507"/>
    <mergeCell ref="B1597:H1597"/>
    <mergeCell ref="I1597:O1597"/>
    <mergeCell ref="B1598:H1598"/>
    <mergeCell ref="I1598:O1598"/>
    <mergeCell ref="A1456:A1462"/>
    <mergeCell ref="A1463:A1469"/>
    <mergeCell ref="A1471:H1471"/>
    <mergeCell ref="A1473:A1479"/>
    <mergeCell ref="A1480:A1486"/>
    <mergeCell ref="A1487:A1493"/>
    <mergeCell ref="A1515:A1521"/>
    <mergeCell ref="A1508:A1514"/>
    <mergeCell ref="A1522:A1528"/>
    <mergeCell ref="A1574:A1580"/>
    <mergeCell ref="A1581:A1587"/>
    <mergeCell ref="A1536:A1542"/>
    <mergeCell ref="A1550:A1556"/>
    <mergeCell ref="B974:B975"/>
    <mergeCell ref="C974:C975"/>
    <mergeCell ref="A976:A982"/>
    <mergeCell ref="B976:B978"/>
    <mergeCell ref="C976:C978"/>
    <mergeCell ref="B981:B982"/>
    <mergeCell ref="C981:C982"/>
    <mergeCell ref="B955:B957"/>
    <mergeCell ref="C955:C957"/>
    <mergeCell ref="B960:B961"/>
    <mergeCell ref="C960:C961"/>
    <mergeCell ref="A962:A968"/>
    <mergeCell ref="B962:B964"/>
    <mergeCell ref="C962:C964"/>
    <mergeCell ref="B967:B968"/>
    <mergeCell ref="C967:C968"/>
    <mergeCell ref="A969:A975"/>
    <mergeCell ref="B969:B971"/>
    <mergeCell ref="C969:C971"/>
    <mergeCell ref="A955:A961"/>
    <mergeCell ref="A819:A825"/>
    <mergeCell ref="E810:E811"/>
    <mergeCell ref="F810:F811"/>
    <mergeCell ref="A812:A818"/>
    <mergeCell ref="B812:B814"/>
    <mergeCell ref="C812:C814"/>
    <mergeCell ref="D812:D814"/>
    <mergeCell ref="E812:E814"/>
    <mergeCell ref="F812:F814"/>
    <mergeCell ref="B817:B818"/>
    <mergeCell ref="C817:C818"/>
    <mergeCell ref="A805:A811"/>
    <mergeCell ref="B805:B807"/>
    <mergeCell ref="C805:C807"/>
    <mergeCell ref="D805:D807"/>
    <mergeCell ref="E805:E807"/>
    <mergeCell ref="F805:F807"/>
    <mergeCell ref="B810:B811"/>
    <mergeCell ref="A791:A797"/>
    <mergeCell ref="B791:B793"/>
    <mergeCell ref="C791:C793"/>
    <mergeCell ref="D791:D793"/>
    <mergeCell ref="E791:E793"/>
    <mergeCell ref="C803:C804"/>
    <mergeCell ref="D803:D804"/>
    <mergeCell ref="E803:E804"/>
    <mergeCell ref="F791:F793"/>
    <mergeCell ref="B796:B797"/>
    <mergeCell ref="C796:C797"/>
    <mergeCell ref="D796:D797"/>
    <mergeCell ref="E796:E797"/>
    <mergeCell ref="F796:F797"/>
    <mergeCell ref="A782:L782"/>
    <mergeCell ref="A784:A790"/>
    <mergeCell ref="B784:B786"/>
    <mergeCell ref="C784:C786"/>
    <mergeCell ref="D784:D786"/>
    <mergeCell ref="E784:E786"/>
    <mergeCell ref="F784:F786"/>
    <mergeCell ref="B789:B790"/>
    <mergeCell ref="C789:C790"/>
    <mergeCell ref="D789:D790"/>
    <mergeCell ref="E789:E790"/>
    <mergeCell ref="F789:F790"/>
    <mergeCell ref="A774:A780"/>
    <mergeCell ref="B774:B776"/>
    <mergeCell ref="C774:C776"/>
    <mergeCell ref="D774:D776"/>
    <mergeCell ref="E774:E776"/>
    <mergeCell ref="F774:F776"/>
    <mergeCell ref="B779:B780"/>
    <mergeCell ref="C779:C780"/>
    <mergeCell ref="D779:D780"/>
    <mergeCell ref="E779:E780"/>
    <mergeCell ref="F779:F780"/>
    <mergeCell ref="F765:F766"/>
    <mergeCell ref="A767:A773"/>
    <mergeCell ref="B767:B769"/>
    <mergeCell ref="C767:C769"/>
    <mergeCell ref="D767:D769"/>
    <mergeCell ref="E767:E769"/>
    <mergeCell ref="F767:F769"/>
    <mergeCell ref="B772:B773"/>
    <mergeCell ref="C772:C773"/>
    <mergeCell ref="D772:D773"/>
    <mergeCell ref="A760:A766"/>
    <mergeCell ref="B760:B762"/>
    <mergeCell ref="C760:C762"/>
    <mergeCell ref="D760:D762"/>
    <mergeCell ref="E760:E762"/>
    <mergeCell ref="F760:F762"/>
    <mergeCell ref="B765:B766"/>
    <mergeCell ref="C765:C766"/>
    <mergeCell ref="D765:D766"/>
    <mergeCell ref="E765:E766"/>
    <mergeCell ref="E772:E773"/>
    <mergeCell ref="F772:F773"/>
    <mergeCell ref="C758:C759"/>
    <mergeCell ref="D758:D759"/>
    <mergeCell ref="E758:E759"/>
    <mergeCell ref="F758:F759"/>
    <mergeCell ref="B751:B752"/>
    <mergeCell ref="C751:C752"/>
    <mergeCell ref="D751:D752"/>
    <mergeCell ref="E751:E752"/>
    <mergeCell ref="F751:F752"/>
    <mergeCell ref="A739:A745"/>
    <mergeCell ref="B739:B741"/>
    <mergeCell ref="C739:C741"/>
    <mergeCell ref="D739:D741"/>
    <mergeCell ref="E739:E741"/>
    <mergeCell ref="F739:F741"/>
    <mergeCell ref="B744:B745"/>
    <mergeCell ref="A753:A759"/>
    <mergeCell ref="B753:B755"/>
    <mergeCell ref="C753:C755"/>
    <mergeCell ref="D753:D755"/>
    <mergeCell ref="E753:E755"/>
    <mergeCell ref="C744:C745"/>
    <mergeCell ref="D744:D745"/>
    <mergeCell ref="E744:E745"/>
    <mergeCell ref="F744:F745"/>
    <mergeCell ref="A746:A752"/>
    <mergeCell ref="B746:B748"/>
    <mergeCell ref="C746:C748"/>
    <mergeCell ref="D746:D748"/>
    <mergeCell ref="E746:E748"/>
    <mergeCell ref="F746:F748"/>
    <mergeCell ref="F753:F755"/>
    <mergeCell ref="B758:B759"/>
    <mergeCell ref="A732:A738"/>
    <mergeCell ref="B732:B734"/>
    <mergeCell ref="C732:C734"/>
    <mergeCell ref="D732:D734"/>
    <mergeCell ref="E732:E734"/>
    <mergeCell ref="F732:F734"/>
    <mergeCell ref="B737:B738"/>
    <mergeCell ref="C737:C738"/>
    <mergeCell ref="D737:D738"/>
    <mergeCell ref="E737:E738"/>
    <mergeCell ref="F737:F738"/>
    <mergeCell ref="F723:F724"/>
    <mergeCell ref="A725:A731"/>
    <mergeCell ref="B725:B727"/>
    <mergeCell ref="C725:C727"/>
    <mergeCell ref="D725:D727"/>
    <mergeCell ref="E725:E727"/>
    <mergeCell ref="F725:F727"/>
    <mergeCell ref="B730:B731"/>
    <mergeCell ref="C730:C731"/>
    <mergeCell ref="D730:D731"/>
    <mergeCell ref="A718:A724"/>
    <mergeCell ref="B718:B720"/>
    <mergeCell ref="C718:C720"/>
    <mergeCell ref="D718:D720"/>
    <mergeCell ref="E718:E720"/>
    <mergeCell ref="F718:F720"/>
    <mergeCell ref="B723:B724"/>
    <mergeCell ref="C723:C724"/>
    <mergeCell ref="D723:D724"/>
    <mergeCell ref="E723:E724"/>
    <mergeCell ref="E730:E731"/>
    <mergeCell ref="F730:F731"/>
    <mergeCell ref="B716:B717"/>
    <mergeCell ref="C716:C717"/>
    <mergeCell ref="D716:D717"/>
    <mergeCell ref="E716:E717"/>
    <mergeCell ref="F716:F717"/>
    <mergeCell ref="B709:B710"/>
    <mergeCell ref="C709:C710"/>
    <mergeCell ref="D709:D710"/>
    <mergeCell ref="E709:E710"/>
    <mergeCell ref="F709:F710"/>
    <mergeCell ref="A695:L695"/>
    <mergeCell ref="A697:A703"/>
    <mergeCell ref="B697:B699"/>
    <mergeCell ref="C697:C699"/>
    <mergeCell ref="D697:D699"/>
    <mergeCell ref="E697:E699"/>
    <mergeCell ref="F697:F699"/>
    <mergeCell ref="B702:B703"/>
    <mergeCell ref="A711:A717"/>
    <mergeCell ref="B711:B713"/>
    <mergeCell ref="C711:C713"/>
    <mergeCell ref="D711:D713"/>
    <mergeCell ref="E711:E713"/>
    <mergeCell ref="C702:C703"/>
    <mergeCell ref="D702:D703"/>
    <mergeCell ref="E702:E703"/>
    <mergeCell ref="F702:F703"/>
    <mergeCell ref="A704:A710"/>
    <mergeCell ref="B704:B706"/>
    <mergeCell ref="C704:C706"/>
    <mergeCell ref="D704:D706"/>
    <mergeCell ref="E704:E706"/>
    <mergeCell ref="F704:F706"/>
    <mergeCell ref="F711:F713"/>
    <mergeCell ref="F685:F686"/>
    <mergeCell ref="A687:A693"/>
    <mergeCell ref="B687:B689"/>
    <mergeCell ref="C687:C689"/>
    <mergeCell ref="D687:D689"/>
    <mergeCell ref="E687:E689"/>
    <mergeCell ref="F687:F689"/>
    <mergeCell ref="B692:B693"/>
    <mergeCell ref="C692:C693"/>
    <mergeCell ref="D692:D693"/>
    <mergeCell ref="A680:A686"/>
    <mergeCell ref="B680:B682"/>
    <mergeCell ref="C680:C682"/>
    <mergeCell ref="D680:D682"/>
    <mergeCell ref="E680:E682"/>
    <mergeCell ref="F680:F682"/>
    <mergeCell ref="B685:B686"/>
    <mergeCell ref="C685:C686"/>
    <mergeCell ref="D685:D686"/>
    <mergeCell ref="E685:E686"/>
    <mergeCell ref="E692:E693"/>
    <mergeCell ref="F692:F693"/>
    <mergeCell ref="C678:C679"/>
    <mergeCell ref="D678:D679"/>
    <mergeCell ref="E678:E679"/>
    <mergeCell ref="F678:F679"/>
    <mergeCell ref="B671:B672"/>
    <mergeCell ref="C671:C672"/>
    <mergeCell ref="D671:D672"/>
    <mergeCell ref="E671:E672"/>
    <mergeCell ref="F671:F672"/>
    <mergeCell ref="A659:A665"/>
    <mergeCell ref="B659:B661"/>
    <mergeCell ref="C659:C661"/>
    <mergeCell ref="D659:D661"/>
    <mergeCell ref="E659:E661"/>
    <mergeCell ref="F659:F661"/>
    <mergeCell ref="B664:B665"/>
    <mergeCell ref="A673:A679"/>
    <mergeCell ref="B673:B675"/>
    <mergeCell ref="C673:C675"/>
    <mergeCell ref="D673:D675"/>
    <mergeCell ref="E673:E675"/>
    <mergeCell ref="C664:C665"/>
    <mergeCell ref="D664:D665"/>
    <mergeCell ref="E664:E665"/>
    <mergeCell ref="F664:F665"/>
    <mergeCell ref="A666:A672"/>
    <mergeCell ref="B666:B668"/>
    <mergeCell ref="C666:C668"/>
    <mergeCell ref="D666:D668"/>
    <mergeCell ref="E666:E668"/>
    <mergeCell ref="F666:F668"/>
    <mergeCell ref="F673:F675"/>
    <mergeCell ref="B678:B679"/>
    <mergeCell ref="D643:D644"/>
    <mergeCell ref="E643:E644"/>
    <mergeCell ref="E650:E651"/>
    <mergeCell ref="F650:F651"/>
    <mergeCell ref="A652:A658"/>
    <mergeCell ref="B652:B654"/>
    <mergeCell ref="C652:C654"/>
    <mergeCell ref="D652:D654"/>
    <mergeCell ref="E652:E654"/>
    <mergeCell ref="F652:F654"/>
    <mergeCell ref="B657:B658"/>
    <mergeCell ref="C657:C658"/>
    <mergeCell ref="D657:D658"/>
    <mergeCell ref="E657:E658"/>
    <mergeCell ref="F657:F658"/>
    <mergeCell ref="F636:F637"/>
    <mergeCell ref="B629:B630"/>
    <mergeCell ref="C629:C630"/>
    <mergeCell ref="D629:D630"/>
    <mergeCell ref="E629:E630"/>
    <mergeCell ref="F629:F630"/>
    <mergeCell ref="F643:F644"/>
    <mergeCell ref="A645:A651"/>
    <mergeCell ref="B645:B647"/>
    <mergeCell ref="C645:C647"/>
    <mergeCell ref="D645:D647"/>
    <mergeCell ref="E645:E647"/>
    <mergeCell ref="F645:F647"/>
    <mergeCell ref="B650:B651"/>
    <mergeCell ref="C650:C651"/>
    <mergeCell ref="D650:D651"/>
    <mergeCell ref="A638:A644"/>
    <mergeCell ref="B638:B640"/>
    <mergeCell ref="C638:C640"/>
    <mergeCell ref="D638:D640"/>
    <mergeCell ref="E638:E640"/>
    <mergeCell ref="F638:F640"/>
    <mergeCell ref="B643:B644"/>
    <mergeCell ref="C643:C644"/>
    <mergeCell ref="F593:F595"/>
    <mergeCell ref="C593:C595"/>
    <mergeCell ref="B598:B599"/>
    <mergeCell ref="C598:C599"/>
    <mergeCell ref="A631:A637"/>
    <mergeCell ref="B631:B633"/>
    <mergeCell ref="C631:C633"/>
    <mergeCell ref="D631:D633"/>
    <mergeCell ref="E631:E633"/>
    <mergeCell ref="C622:C623"/>
    <mergeCell ref="D622:D623"/>
    <mergeCell ref="E622:E623"/>
    <mergeCell ref="F622:F623"/>
    <mergeCell ref="A624:A630"/>
    <mergeCell ref="B624:B626"/>
    <mergeCell ref="C624:C626"/>
    <mergeCell ref="D624:D626"/>
    <mergeCell ref="E624:E626"/>
    <mergeCell ref="F624:F626"/>
    <mergeCell ref="F631:F633"/>
    <mergeCell ref="B636:B637"/>
    <mergeCell ref="C636:C637"/>
    <mergeCell ref="D636:D637"/>
    <mergeCell ref="E636:E637"/>
    <mergeCell ref="A387:H387"/>
    <mergeCell ref="A389:A397"/>
    <mergeCell ref="A398:A406"/>
    <mergeCell ref="A407:A415"/>
    <mergeCell ref="A416:A424"/>
    <mergeCell ref="A425:A433"/>
    <mergeCell ref="A347:A365"/>
    <mergeCell ref="B348:B353"/>
    <mergeCell ref="B355:B359"/>
    <mergeCell ref="B360:B362"/>
    <mergeCell ref="B364:B365"/>
    <mergeCell ref="A366:A384"/>
    <mergeCell ref="B367:B372"/>
    <mergeCell ref="B374:B378"/>
    <mergeCell ref="B379:B381"/>
    <mergeCell ref="B383:B384"/>
    <mergeCell ref="A315:A327"/>
    <mergeCell ref="B318:B321"/>
    <mergeCell ref="B322:B324"/>
    <mergeCell ref="B326:B327"/>
    <mergeCell ref="A328:A346"/>
    <mergeCell ref="B329:B334"/>
    <mergeCell ref="B336:B340"/>
    <mergeCell ref="B341:B343"/>
    <mergeCell ref="B345:B346"/>
    <mergeCell ref="A287:A299"/>
    <mergeCell ref="B287:B288"/>
    <mergeCell ref="B292:B295"/>
    <mergeCell ref="B296:B298"/>
    <mergeCell ref="B300:B301"/>
    <mergeCell ref="A302:A314"/>
    <mergeCell ref="B305:B308"/>
    <mergeCell ref="B309:B311"/>
    <mergeCell ref="B313:B314"/>
    <mergeCell ref="A261:A273"/>
    <mergeCell ref="B264:B267"/>
    <mergeCell ref="B268:B270"/>
    <mergeCell ref="B272:B273"/>
    <mergeCell ref="A274:A286"/>
    <mergeCell ref="B277:B280"/>
    <mergeCell ref="B281:B283"/>
    <mergeCell ref="B285:B286"/>
    <mergeCell ref="A235:A247"/>
    <mergeCell ref="B238:B241"/>
    <mergeCell ref="B242:B244"/>
    <mergeCell ref="B246:B247"/>
    <mergeCell ref="A248:A260"/>
    <mergeCell ref="B251:B254"/>
    <mergeCell ref="B255:B257"/>
    <mergeCell ref="B259:B260"/>
    <mergeCell ref="A209:A221"/>
    <mergeCell ref="B212:B215"/>
    <mergeCell ref="B216:B218"/>
    <mergeCell ref="B220:B221"/>
    <mergeCell ref="A222:A234"/>
    <mergeCell ref="B225:B228"/>
    <mergeCell ref="B229:B231"/>
    <mergeCell ref="B233:B234"/>
    <mergeCell ref="A194:A205"/>
    <mergeCell ref="B194:B195"/>
    <mergeCell ref="B197:B199"/>
    <mergeCell ref="B200:B201"/>
    <mergeCell ref="B203:B204"/>
    <mergeCell ref="A207:H207"/>
    <mergeCell ref="A170:A181"/>
    <mergeCell ref="B170:B171"/>
    <mergeCell ref="B173:B175"/>
    <mergeCell ref="B176:B177"/>
    <mergeCell ref="B179:B180"/>
    <mergeCell ref="A182:A193"/>
    <mergeCell ref="B182:B183"/>
    <mergeCell ref="B185:B187"/>
    <mergeCell ref="B188:B189"/>
    <mergeCell ref="B191:B192"/>
    <mergeCell ref="A148:A158"/>
    <mergeCell ref="B150:B152"/>
    <mergeCell ref="B153:B154"/>
    <mergeCell ref="B156:B157"/>
    <mergeCell ref="A159:A169"/>
    <mergeCell ref="B161:B163"/>
    <mergeCell ref="B164:B165"/>
    <mergeCell ref="B167:B168"/>
    <mergeCell ref="A126:A136"/>
    <mergeCell ref="B128:B130"/>
    <mergeCell ref="B131:B132"/>
    <mergeCell ref="B134:B135"/>
    <mergeCell ref="A137:A147"/>
    <mergeCell ref="B139:B141"/>
    <mergeCell ref="B142:B143"/>
    <mergeCell ref="B145:B146"/>
    <mergeCell ref="B109:B110"/>
    <mergeCell ref="B112:B113"/>
    <mergeCell ref="A115:A125"/>
    <mergeCell ref="B117:B119"/>
    <mergeCell ref="B120:B121"/>
    <mergeCell ref="B123:B124"/>
    <mergeCell ref="A82:A92"/>
    <mergeCell ref="B84:B86"/>
    <mergeCell ref="B87:B88"/>
    <mergeCell ref="B90:B91"/>
    <mergeCell ref="A93:A103"/>
    <mergeCell ref="B95:B97"/>
    <mergeCell ref="B98:B99"/>
    <mergeCell ref="B101:B102"/>
    <mergeCell ref="B73:B74"/>
    <mergeCell ref="B75:B76"/>
    <mergeCell ref="B77:B78"/>
    <mergeCell ref="A104:A114"/>
    <mergeCell ref="B106:B108"/>
    <mergeCell ref="A1:B3"/>
    <mergeCell ref="C1:L1"/>
    <mergeCell ref="C2:L2"/>
    <mergeCell ref="C3:G3"/>
    <mergeCell ref="H3:L3"/>
    <mergeCell ref="A4:B4"/>
    <mergeCell ref="C4:L4"/>
    <mergeCell ref="A39:A48"/>
    <mergeCell ref="B40:B41"/>
    <mergeCell ref="B43:B44"/>
    <mergeCell ref="B45:B46"/>
    <mergeCell ref="A19:A28"/>
    <mergeCell ref="B20:B21"/>
    <mergeCell ref="B23:B24"/>
    <mergeCell ref="B25:B26"/>
    <mergeCell ref="A29:A38"/>
    <mergeCell ref="B30:B31"/>
    <mergeCell ref="B33:B34"/>
    <mergeCell ref="B35:B36"/>
    <mergeCell ref="B512:B514"/>
    <mergeCell ref="B519:B520"/>
    <mergeCell ref="A497:A507"/>
    <mergeCell ref="A521:A530"/>
    <mergeCell ref="B522:B524"/>
    <mergeCell ref="F577:F578"/>
    <mergeCell ref="A579:A585"/>
    <mergeCell ref="A5:B5"/>
    <mergeCell ref="C5:L5"/>
    <mergeCell ref="A7:H7"/>
    <mergeCell ref="A9:A18"/>
    <mergeCell ref="B10:B11"/>
    <mergeCell ref="B13:B14"/>
    <mergeCell ref="B15:B16"/>
    <mergeCell ref="A49:A58"/>
    <mergeCell ref="B50:B51"/>
    <mergeCell ref="B53:B54"/>
    <mergeCell ref="B55:B56"/>
    <mergeCell ref="A59:A68"/>
    <mergeCell ref="B60:B61"/>
    <mergeCell ref="B63:B64"/>
    <mergeCell ref="B65:B66"/>
    <mergeCell ref="A70:H70"/>
    <mergeCell ref="A72:A81"/>
    <mergeCell ref="A608:L608"/>
    <mergeCell ref="F584:F585"/>
    <mergeCell ref="A586:A592"/>
    <mergeCell ref="B586:B588"/>
    <mergeCell ref="C586:C588"/>
    <mergeCell ref="A443:A451"/>
    <mergeCell ref="A563:L563"/>
    <mergeCell ref="A565:A571"/>
    <mergeCell ref="B565:B567"/>
    <mergeCell ref="C565:C567"/>
    <mergeCell ref="D565:D567"/>
    <mergeCell ref="E565:E567"/>
    <mergeCell ref="F565:F567"/>
    <mergeCell ref="B570:B571"/>
    <mergeCell ref="C570:C571"/>
    <mergeCell ref="D570:D571"/>
    <mergeCell ref="E570:E571"/>
    <mergeCell ref="F570:F571"/>
    <mergeCell ref="A452:A462"/>
    <mergeCell ref="A474:A484"/>
    <mergeCell ref="A485:A496"/>
    <mergeCell ref="A463:A473"/>
    <mergeCell ref="A509:I509"/>
    <mergeCell ref="A511:A520"/>
    <mergeCell ref="E615:E616"/>
    <mergeCell ref="F615:F616"/>
    <mergeCell ref="A617:A623"/>
    <mergeCell ref="B617:B619"/>
    <mergeCell ref="C617:C619"/>
    <mergeCell ref="D617:D619"/>
    <mergeCell ref="E617:E619"/>
    <mergeCell ref="F617:F619"/>
    <mergeCell ref="B622:B623"/>
    <mergeCell ref="A610:A616"/>
    <mergeCell ref="B610:B612"/>
    <mergeCell ref="C610:C612"/>
    <mergeCell ref="D610:D612"/>
    <mergeCell ref="E610:E612"/>
    <mergeCell ref="F610:F612"/>
    <mergeCell ref="B615:B616"/>
    <mergeCell ref="C615:C616"/>
    <mergeCell ref="D615:D616"/>
    <mergeCell ref="A593:A599"/>
    <mergeCell ref="B593:B595"/>
    <mergeCell ref="B579:B581"/>
    <mergeCell ref="C579:C581"/>
    <mergeCell ref="D579:D581"/>
    <mergeCell ref="E579:E581"/>
    <mergeCell ref="F579:F581"/>
    <mergeCell ref="B584:B585"/>
    <mergeCell ref="C584:C585"/>
    <mergeCell ref="D584:D585"/>
    <mergeCell ref="E584:E585"/>
    <mergeCell ref="D586:D588"/>
    <mergeCell ref="E586:E588"/>
    <mergeCell ref="F586:F588"/>
    <mergeCell ref="D598:D599"/>
    <mergeCell ref="E598:E599"/>
    <mergeCell ref="F598:F599"/>
    <mergeCell ref="B591:B592"/>
    <mergeCell ref="C591:C592"/>
    <mergeCell ref="D591:D592"/>
    <mergeCell ref="E591:E592"/>
    <mergeCell ref="F591:F592"/>
    <mergeCell ref="D593:D595"/>
    <mergeCell ref="E593:E595"/>
    <mergeCell ref="F605:F606"/>
    <mergeCell ref="A600:A606"/>
    <mergeCell ref="B600:B602"/>
    <mergeCell ref="C600:C602"/>
    <mergeCell ref="D600:D602"/>
    <mergeCell ref="E600:E602"/>
    <mergeCell ref="F600:F602"/>
    <mergeCell ref="B605:B606"/>
    <mergeCell ref="C605:C606"/>
    <mergeCell ref="D605:D606"/>
    <mergeCell ref="E605:E606"/>
    <mergeCell ref="B529:B530"/>
    <mergeCell ref="A878:A884"/>
    <mergeCell ref="B878:B880"/>
    <mergeCell ref="C878:C880"/>
    <mergeCell ref="B577:B578"/>
    <mergeCell ref="C577:C578"/>
    <mergeCell ref="B883:B884"/>
    <mergeCell ref="C883:C884"/>
    <mergeCell ref="A531:A540"/>
    <mergeCell ref="B532:B534"/>
    <mergeCell ref="B539:B540"/>
    <mergeCell ref="A869:L869"/>
    <mergeCell ref="A871:A877"/>
    <mergeCell ref="B871:B873"/>
    <mergeCell ref="C871:C873"/>
    <mergeCell ref="D871:D873"/>
    <mergeCell ref="E871:E873"/>
    <mergeCell ref="F871:F873"/>
    <mergeCell ref="B876:B877"/>
    <mergeCell ref="C876:C877"/>
    <mergeCell ref="C572:C574"/>
    <mergeCell ref="D572:D574"/>
    <mergeCell ref="E572:E574"/>
    <mergeCell ref="F572:F574"/>
    <mergeCell ref="B1185:B1187"/>
    <mergeCell ref="C1185:C1187"/>
    <mergeCell ref="B1190:B1191"/>
    <mergeCell ref="C1190:C1191"/>
    <mergeCell ref="A908:G908"/>
    <mergeCell ref="A910:A916"/>
    <mergeCell ref="B910:B912"/>
    <mergeCell ref="A840:A846"/>
    <mergeCell ref="B840:B842"/>
    <mergeCell ref="C840:C842"/>
    <mergeCell ref="D878:D880"/>
    <mergeCell ref="E878:E880"/>
    <mergeCell ref="F878:F880"/>
    <mergeCell ref="D876:D877"/>
    <mergeCell ref="E876:E877"/>
    <mergeCell ref="F876:F877"/>
    <mergeCell ref="E840:E842"/>
    <mergeCell ref="F840:F842"/>
    <mergeCell ref="C943:C944"/>
    <mergeCell ref="B845:B846"/>
    <mergeCell ref="C845:C846"/>
    <mergeCell ref="D845:D846"/>
    <mergeCell ref="E845:E846"/>
    <mergeCell ref="D840:D842"/>
    <mergeCell ref="A1223:A1229"/>
    <mergeCell ref="B1223:B1225"/>
    <mergeCell ref="C1223:C1225"/>
    <mergeCell ref="B1228:B1229"/>
    <mergeCell ref="C1228:C1229"/>
    <mergeCell ref="C910:C912"/>
    <mergeCell ref="B915:B916"/>
    <mergeCell ref="C915:C916"/>
    <mergeCell ref="A917:A923"/>
    <mergeCell ref="B917:B919"/>
    <mergeCell ref="C917:C919"/>
    <mergeCell ref="B922:B923"/>
    <mergeCell ref="C922:C923"/>
    <mergeCell ref="A924:A930"/>
    <mergeCell ref="B924:B926"/>
    <mergeCell ref="C924:C926"/>
    <mergeCell ref="B929:B930"/>
    <mergeCell ref="C929:C930"/>
    <mergeCell ref="A945:A951"/>
    <mergeCell ref="B945:B947"/>
    <mergeCell ref="C945:C947"/>
    <mergeCell ref="B950:B951"/>
    <mergeCell ref="A1214:G1214"/>
    <mergeCell ref="A1185:A1191"/>
    <mergeCell ref="D899:D901"/>
    <mergeCell ref="E899:E901"/>
    <mergeCell ref="F899:F901"/>
    <mergeCell ref="B904:B905"/>
    <mergeCell ref="C904:C905"/>
    <mergeCell ref="D904:D905"/>
    <mergeCell ref="E904:E905"/>
    <mergeCell ref="F904:F905"/>
    <mergeCell ref="A885:A891"/>
    <mergeCell ref="B885:B887"/>
    <mergeCell ref="C885:C887"/>
    <mergeCell ref="D885:D887"/>
    <mergeCell ref="E885:E887"/>
    <mergeCell ref="F885:F887"/>
    <mergeCell ref="B890:B891"/>
    <mergeCell ref="C890:C891"/>
    <mergeCell ref="D890:D891"/>
    <mergeCell ref="E890:E891"/>
    <mergeCell ref="F890:F891"/>
    <mergeCell ref="F892:F894"/>
    <mergeCell ref="B897:B898"/>
    <mergeCell ref="C897:C898"/>
    <mergeCell ref="D897:D898"/>
    <mergeCell ref="E897:E898"/>
    <mergeCell ref="A1244:A1250"/>
    <mergeCell ref="B1244:B1246"/>
    <mergeCell ref="C1244:C1246"/>
    <mergeCell ref="B1249:B1250"/>
    <mergeCell ref="C1249:C1250"/>
    <mergeCell ref="A1588:A1594"/>
    <mergeCell ref="A551:A560"/>
    <mergeCell ref="B552:B554"/>
    <mergeCell ref="B559:B560"/>
    <mergeCell ref="A899:A905"/>
    <mergeCell ref="B899:B901"/>
    <mergeCell ref="C899:C901"/>
    <mergeCell ref="A1567:A1573"/>
    <mergeCell ref="A1558:H1558"/>
    <mergeCell ref="A1560:A1566"/>
    <mergeCell ref="A1529:A1535"/>
    <mergeCell ref="D577:D578"/>
    <mergeCell ref="E577:E578"/>
    <mergeCell ref="D883:D884"/>
    <mergeCell ref="E883:E884"/>
    <mergeCell ref="F883:F884"/>
    <mergeCell ref="F845:F846"/>
    <mergeCell ref="A572:A578"/>
    <mergeCell ref="B572:B57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 </vt:lpstr>
      <vt:lpstr>ACTIVIDADES!Área_de_impresión</vt:lpstr>
      <vt:lpstr>INVERSIÓN!Área_de_impresión</vt:lpstr>
      <vt:lpst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2020-01-27T23:43:22Z</cp:lastPrinted>
  <dcterms:created xsi:type="dcterms:W3CDTF">2010-03-25T16:40:43Z</dcterms:created>
  <dcterms:modified xsi:type="dcterms:W3CDTF">2024-08-02T01:50:29Z</dcterms:modified>
</cp:coreProperties>
</file>