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FC369CCA-8F66-4FA6-AB16-F9710A964941}"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8"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ACTIVIDADES!$A$1:$V$66</definedName>
    <definedName name="_xlnm.Print_Area" localSheetId="0">GESTIÓN!$A$1:$FC$16</definedName>
    <definedName name="_xlnm.Print_Area" localSheetId="1">INVERSIÓN!$A$1:$FA$62</definedName>
    <definedName name="ce">INVERSIÓN!$BX$37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6" l="1"/>
  <c r="G43" i="6"/>
  <c r="G15" i="6"/>
  <c r="ER11" i="6"/>
  <c r="ER12" i="6"/>
  <c r="ER13" i="6"/>
  <c r="ER14" i="6"/>
  <c r="ER17" i="6"/>
  <c r="ER18" i="6"/>
  <c r="ER19" i="6"/>
  <c r="ER20" i="6"/>
  <c r="ER21" i="6"/>
  <c r="ER24" i="6"/>
  <c r="ER25" i="6"/>
  <c r="ER26" i="6"/>
  <c r="ER27" i="6"/>
  <c r="ER28" i="6"/>
  <c r="ER31" i="6"/>
  <c r="ER32" i="6"/>
  <c r="ER33" i="6"/>
  <c r="ER34" i="6"/>
  <c r="ER35" i="6"/>
  <c r="ER38" i="6"/>
  <c r="ER39" i="6"/>
  <c r="ER40" i="6"/>
  <c r="ER41" i="6"/>
  <c r="ER42" i="6"/>
  <c r="ER45" i="6"/>
  <c r="ER46" i="6"/>
  <c r="ER47" i="6"/>
  <c r="ER48" i="6"/>
  <c r="ER49" i="6"/>
  <c r="ER52" i="6"/>
  <c r="ER53" i="6"/>
  <c r="ER54" i="6"/>
  <c r="ER55" i="6"/>
  <c r="ER56" i="6"/>
  <c r="ER10" i="6"/>
  <c r="ET13" i="5"/>
  <c r="ET14" i="5"/>
  <c r="ET15" i="5"/>
  <c r="ET16" i="5"/>
  <c r="ET12" i="5"/>
  <c r="S36" i="7" l="1"/>
  <c r="H355" i="15" l="1"/>
  <c r="H356" i="15"/>
  <c r="H357" i="15"/>
  <c r="H358" i="15"/>
  <c r="H359" i="15"/>
  <c r="H360" i="15"/>
  <c r="H361" i="15"/>
  <c r="H362" i="15"/>
  <c r="H363" i="15"/>
  <c r="H364" i="15"/>
  <c r="H365" i="15"/>
  <c r="H366" i="15"/>
  <c r="H367" i="15"/>
  <c r="H368" i="15"/>
  <c r="H369" i="15"/>
  <c r="H370" i="15"/>
  <c r="H371" i="15"/>
  <c r="H372" i="15"/>
  <c r="H373" i="15"/>
  <c r="C364" i="15"/>
  <c r="DP13" i="5" l="1"/>
  <c r="DP12" i="5"/>
  <c r="CE12" i="5"/>
  <c r="DN45" i="6"/>
  <c r="CC45" i="6"/>
  <c r="DN31" i="6"/>
  <c r="CG14" i="6"/>
  <c r="CK16" i="5" l="1"/>
  <c r="CK15" i="5"/>
  <c r="CJ15" i="5"/>
  <c r="CI16" i="5"/>
  <c r="CI15" i="5"/>
  <c r="CG15" i="5"/>
  <c r="CH16" i="5"/>
  <c r="CH15" i="5"/>
  <c r="EW15" i="5" l="1"/>
  <c r="EU15" i="5"/>
  <c r="EU16" i="5"/>
  <c r="EW16" i="5"/>
  <c r="EX15" i="5"/>
  <c r="EV15" i="5"/>
  <c r="EX16" i="5"/>
  <c r="G1102" i="15"/>
  <c r="G1101" i="15"/>
  <c r="G1100" i="15"/>
  <c r="G1099" i="15"/>
  <c r="G1098" i="15"/>
  <c r="G1097" i="15"/>
  <c r="G1096" i="15"/>
  <c r="K616" i="15"/>
  <c r="K615" i="15"/>
  <c r="K614" i="15"/>
  <c r="K613" i="15"/>
  <c r="K612" i="15"/>
  <c r="K611" i="15"/>
  <c r="K610" i="15"/>
  <c r="CI49" i="6" l="1"/>
  <c r="CH49" i="6"/>
  <c r="G49" i="6" s="1"/>
  <c r="CG49" i="6"/>
  <c r="CF49" i="6"/>
  <c r="CE49" i="6"/>
  <c r="CI48" i="6"/>
  <c r="CH48" i="6"/>
  <c r="CG48" i="6"/>
  <c r="CF48" i="6"/>
  <c r="CE48" i="6"/>
  <c r="CI47" i="6"/>
  <c r="CH47" i="6"/>
  <c r="CG47" i="6"/>
  <c r="CF47" i="6"/>
  <c r="CE47" i="6"/>
  <c r="CI46" i="6"/>
  <c r="ET46" i="6" s="1"/>
  <c r="CH46" i="6"/>
  <c r="CG46" i="6"/>
  <c r="CF46" i="6"/>
  <c r="CE46" i="6"/>
  <c r="E858" i="15" s="1"/>
  <c r="CI45" i="6"/>
  <c r="ET45" i="6" s="1"/>
  <c r="CH45" i="6"/>
  <c r="CG45" i="6"/>
  <c r="CF45" i="6"/>
  <c r="CE45" i="6"/>
  <c r="H615" i="15" s="1"/>
  <c r="CI35" i="6"/>
  <c r="CH35" i="6"/>
  <c r="G35" i="6" s="1"/>
  <c r="CG35" i="6"/>
  <c r="CF35" i="6"/>
  <c r="CE35" i="6"/>
  <c r="CI34" i="6"/>
  <c r="CH34" i="6"/>
  <c r="CG34" i="6"/>
  <c r="ES34" i="6" s="1"/>
  <c r="CF34" i="6"/>
  <c r="CE34" i="6"/>
  <c r="CI33" i="6"/>
  <c r="CH33" i="6"/>
  <c r="CG33" i="6"/>
  <c r="CF33" i="6"/>
  <c r="CE33" i="6"/>
  <c r="CI32" i="6"/>
  <c r="ET32" i="6" s="1"/>
  <c r="CH32" i="6"/>
  <c r="CG32" i="6"/>
  <c r="CF32" i="6"/>
  <c r="CE32" i="6"/>
  <c r="E856" i="15" s="1"/>
  <c r="CI31" i="6"/>
  <c r="CH31" i="6"/>
  <c r="CG31" i="6"/>
  <c r="CF31" i="6"/>
  <c r="CE31" i="6"/>
  <c r="H613" i="15" s="1"/>
  <c r="CI28" i="6"/>
  <c r="CH28" i="6"/>
  <c r="CG28" i="6"/>
  <c r="ES28" i="6" s="1"/>
  <c r="CF28" i="6"/>
  <c r="CE28" i="6"/>
  <c r="CI27" i="6"/>
  <c r="CH27" i="6"/>
  <c r="CG27" i="6"/>
  <c r="ES27" i="6" s="1"/>
  <c r="CF27" i="6"/>
  <c r="CE27" i="6"/>
  <c r="CI26" i="6"/>
  <c r="ET26" i="6" s="1"/>
  <c r="CH26" i="6"/>
  <c r="CG26" i="6"/>
  <c r="CF26" i="6"/>
  <c r="CE26" i="6"/>
  <c r="CI25" i="6"/>
  <c r="ET25" i="6" s="1"/>
  <c r="CH25" i="6"/>
  <c r="CG25" i="6"/>
  <c r="CF25" i="6"/>
  <c r="CE25" i="6"/>
  <c r="E855" i="15" s="1"/>
  <c r="CI24" i="6"/>
  <c r="CH24" i="6"/>
  <c r="CG24" i="6"/>
  <c r="ES24" i="6" s="1"/>
  <c r="CF24" i="6"/>
  <c r="CE24" i="6"/>
  <c r="H612" i="15" s="1"/>
  <c r="CI21" i="6"/>
  <c r="CI20" i="6"/>
  <c r="CI19" i="6"/>
  <c r="ET19" i="6" s="1"/>
  <c r="CI18" i="6"/>
  <c r="ET18" i="6" s="1"/>
  <c r="CI17" i="6"/>
  <c r="ET17" i="6" s="1"/>
  <c r="CH21" i="6"/>
  <c r="CH20" i="6"/>
  <c r="CH19" i="6"/>
  <c r="CH18" i="6"/>
  <c r="CH17" i="6"/>
  <c r="CG21" i="6"/>
  <c r="ES21" i="6" s="1"/>
  <c r="CG20" i="6"/>
  <c r="ES20" i="6" s="1"/>
  <c r="CG19" i="6"/>
  <c r="ES19" i="6" s="1"/>
  <c r="CG18" i="6"/>
  <c r="CG17" i="6"/>
  <c r="ES17" i="6" s="1"/>
  <c r="CF21" i="6"/>
  <c r="CF20" i="6"/>
  <c r="CF19" i="6"/>
  <c r="CF18" i="6"/>
  <c r="CF17" i="6"/>
  <c r="CE17" i="6"/>
  <c r="H611" i="15" s="1"/>
  <c r="CG52" i="6"/>
  <c r="ES52" i="6" s="1"/>
  <c r="CF52" i="6"/>
  <c r="CI56" i="6"/>
  <c r="ET56" i="6" s="1"/>
  <c r="CH56" i="6"/>
  <c r="CG56" i="6"/>
  <c r="ES56" i="6" s="1"/>
  <c r="CF56" i="6"/>
  <c r="CE56" i="6"/>
  <c r="CI55" i="6"/>
  <c r="ET55" i="6" s="1"/>
  <c r="CH55" i="6"/>
  <c r="CG55" i="6"/>
  <c r="ES55" i="6" s="1"/>
  <c r="CF55" i="6"/>
  <c r="CE55" i="6"/>
  <c r="CI54" i="6"/>
  <c r="ET54" i="6" s="1"/>
  <c r="CH54" i="6"/>
  <c r="CG54" i="6"/>
  <c r="CF54" i="6"/>
  <c r="CE54" i="6"/>
  <c r="CI53" i="6"/>
  <c r="ET53" i="6" s="1"/>
  <c r="CH53" i="6"/>
  <c r="CG53" i="6"/>
  <c r="CF53" i="6"/>
  <c r="CE53" i="6"/>
  <c r="E859" i="15" s="1"/>
  <c r="CI52" i="6"/>
  <c r="CH52" i="6"/>
  <c r="CE52" i="6"/>
  <c r="H616" i="15" s="1"/>
  <c r="CI42" i="6"/>
  <c r="ET42" i="6" s="1"/>
  <c r="CH42" i="6"/>
  <c r="CG42" i="6"/>
  <c r="CF42" i="6"/>
  <c r="CE42" i="6"/>
  <c r="CI41" i="6"/>
  <c r="CH41" i="6"/>
  <c r="CG41" i="6"/>
  <c r="ES41" i="6" s="1"/>
  <c r="CF41" i="6"/>
  <c r="CE41" i="6"/>
  <c r="CI40" i="6"/>
  <c r="CH40" i="6"/>
  <c r="CG40" i="6"/>
  <c r="CF40" i="6"/>
  <c r="CE40" i="6"/>
  <c r="CI39" i="6"/>
  <c r="ET39" i="6" s="1"/>
  <c r="CH39" i="6"/>
  <c r="CG39" i="6"/>
  <c r="CF39" i="6"/>
  <c r="CE39" i="6"/>
  <c r="E857" i="15" s="1"/>
  <c r="CI38" i="6"/>
  <c r="CH38" i="6"/>
  <c r="CG38" i="6"/>
  <c r="ES38" i="6" s="1"/>
  <c r="CF38" i="6"/>
  <c r="CE38" i="6"/>
  <c r="H614" i="15" s="1"/>
  <c r="CI11" i="6"/>
  <c r="ET11" i="6" s="1"/>
  <c r="CH11" i="6"/>
  <c r="CG11" i="6"/>
  <c r="CF11" i="6"/>
  <c r="CE11" i="6"/>
  <c r="E853" i="15" s="1"/>
  <c r="CI14" i="6"/>
  <c r="ET14" i="6" s="1"/>
  <c r="CI12" i="6"/>
  <c r="ET12" i="6" s="1"/>
  <c r="CI13" i="6"/>
  <c r="ET13" i="6" s="1"/>
  <c r="CI10" i="6"/>
  <c r="CH14" i="6"/>
  <c r="CH12" i="6"/>
  <c r="CH13" i="6"/>
  <c r="CH10" i="6"/>
  <c r="CG13" i="6"/>
  <c r="CF13" i="6"/>
  <c r="CG12" i="6"/>
  <c r="ES12" i="6" s="1"/>
  <c r="CG10" i="6"/>
  <c r="CF14" i="6"/>
  <c r="ES14" i="6" s="1"/>
  <c r="CF12" i="6"/>
  <c r="CF10" i="6"/>
  <c r="CE14" i="6"/>
  <c r="CE10" i="6"/>
  <c r="H610" i="15" s="1"/>
  <c r="CC29" i="6"/>
  <c r="CK13" i="5"/>
  <c r="CI13" i="5"/>
  <c r="CH13" i="5"/>
  <c r="EV35" i="6" l="1"/>
  <c r="ET35" i="6"/>
  <c r="F858" i="15"/>
  <c r="ES46" i="6"/>
  <c r="F854" i="15"/>
  <c r="ES18" i="6"/>
  <c r="ET49" i="6"/>
  <c r="EV49" i="6"/>
  <c r="ET27" i="6"/>
  <c r="ES31" i="6"/>
  <c r="ES48" i="6"/>
  <c r="ET41" i="6"/>
  <c r="ET52" i="6"/>
  <c r="ES54" i="6"/>
  <c r="ET24" i="6"/>
  <c r="ES26" i="6"/>
  <c r="ET34" i="6"/>
  <c r="ES45" i="6"/>
  <c r="ES13" i="6"/>
  <c r="ET38" i="6"/>
  <c r="ES40" i="6"/>
  <c r="ET31" i="6"/>
  <c r="ES33" i="6"/>
  <c r="ET48" i="6"/>
  <c r="ET20" i="6"/>
  <c r="ES47" i="6"/>
  <c r="ET40" i="6"/>
  <c r="ES42" i="6"/>
  <c r="F859" i="15"/>
  <c r="ES53" i="6"/>
  <c r="ET21" i="6"/>
  <c r="F855" i="15"/>
  <c r="ES25" i="6"/>
  <c r="ET33" i="6"/>
  <c r="ES35" i="6"/>
  <c r="F853" i="15"/>
  <c r="ES11" i="6"/>
  <c r="ES10" i="6"/>
  <c r="ET10" i="6"/>
  <c r="F857" i="15"/>
  <c r="ES39" i="6"/>
  <c r="ET28" i="6"/>
  <c r="F856" i="15"/>
  <c r="ES32" i="6"/>
  <c r="ET47" i="6"/>
  <c r="ES49" i="6"/>
  <c r="EU13" i="5"/>
  <c r="CG60" i="6"/>
  <c r="CK12" i="5"/>
  <c r="CJ12" i="5"/>
  <c r="CI12" i="5"/>
  <c r="EU12" i="5" s="1"/>
  <c r="CH12" i="5"/>
  <c r="CG12" i="5"/>
  <c r="EV12" i="5" l="1"/>
  <c r="CG14" i="5"/>
  <c r="CG13" i="5"/>
  <c r="S38" i="7"/>
  <c r="H337" i="15" l="1"/>
  <c r="H338" i="15"/>
  <c r="H339" i="15"/>
  <c r="H340" i="15"/>
  <c r="H341" i="15"/>
  <c r="H342" i="15"/>
  <c r="H343" i="15"/>
  <c r="H344" i="15"/>
  <c r="H345" i="15"/>
  <c r="H346" i="15"/>
  <c r="H347" i="15"/>
  <c r="H348" i="15"/>
  <c r="H349" i="15"/>
  <c r="H350" i="15"/>
  <c r="H351" i="15"/>
  <c r="H352" i="15"/>
  <c r="H353" i="15"/>
  <c r="H354" i="15"/>
  <c r="H336" i="15"/>
  <c r="H334" i="15"/>
  <c r="CA35" i="6" l="1"/>
  <c r="CB59" i="6"/>
  <c r="CB60" i="6"/>
  <c r="G1089" i="15"/>
  <c r="G1090" i="15"/>
  <c r="G1091" i="15"/>
  <c r="G1092" i="15"/>
  <c r="G1093" i="15"/>
  <c r="G1094" i="15"/>
  <c r="G1095" i="15"/>
  <c r="K604" i="15"/>
  <c r="K605" i="15"/>
  <c r="K606" i="15"/>
  <c r="K607" i="15"/>
  <c r="K608" i="15"/>
  <c r="K609" i="15"/>
  <c r="H609" i="15"/>
  <c r="H607" i="15"/>
  <c r="H603" i="15"/>
  <c r="CF60" i="6"/>
  <c r="F851" i="15"/>
  <c r="E809" i="15"/>
  <c r="H608" i="15"/>
  <c r="F849" i="15"/>
  <c r="E849" i="15"/>
  <c r="H571" i="15"/>
  <c r="F834" i="15"/>
  <c r="E820" i="15"/>
  <c r="H605" i="15"/>
  <c r="CE21" i="6"/>
  <c r="CE60" i="6" s="1"/>
  <c r="H604" i="15"/>
  <c r="E852" i="15"/>
  <c r="F852" i="15"/>
  <c r="H602" i="15"/>
  <c r="CE43" i="6"/>
  <c r="F850" i="15"/>
  <c r="E850" i="15"/>
  <c r="H600" i="15"/>
  <c r="F846" i="15"/>
  <c r="CE13" i="6"/>
  <c r="E846" i="15"/>
  <c r="CK14" i="5"/>
  <c r="EV14" i="5" s="1"/>
  <c r="CI14" i="5"/>
  <c r="EU14" i="5" s="1"/>
  <c r="CH14" i="5"/>
  <c r="CG16" i="5"/>
  <c r="BY17" i="6"/>
  <c r="H317" i="15"/>
  <c r="H250" i="15"/>
  <c r="H270" i="15"/>
  <c r="H335" i="15"/>
  <c r="H318" i="15"/>
  <c r="H319" i="15"/>
  <c r="H320" i="15"/>
  <c r="H321" i="15"/>
  <c r="H322" i="15"/>
  <c r="H323" i="15"/>
  <c r="H324" i="15"/>
  <c r="H325" i="15"/>
  <c r="H326" i="15"/>
  <c r="H327" i="15"/>
  <c r="H328" i="15"/>
  <c r="H329" i="15"/>
  <c r="H330" i="15"/>
  <c r="H331" i="15"/>
  <c r="H332" i="15"/>
  <c r="H333" i="15"/>
  <c r="C325" i="15"/>
  <c r="BY14" i="6"/>
  <c r="BY11" i="6"/>
  <c r="G1088" i="15"/>
  <c r="G1087" i="15"/>
  <c r="G1086" i="15"/>
  <c r="G1085" i="15"/>
  <c r="G1084" i="15"/>
  <c r="G1083" i="15"/>
  <c r="G1082" i="15"/>
  <c r="F842" i="15"/>
  <c r="H596" i="15"/>
  <c r="K597" i="15"/>
  <c r="K598" i="15"/>
  <c r="K599" i="15"/>
  <c r="K600" i="15"/>
  <c r="K601" i="15"/>
  <c r="K602" i="15"/>
  <c r="CE50" i="6"/>
  <c r="E842" i="15"/>
  <c r="E827" i="15"/>
  <c r="H598" i="15"/>
  <c r="H591" i="15"/>
  <c r="F838" i="15"/>
  <c r="E838" i="15"/>
  <c r="E794" i="15"/>
  <c r="CF43" i="6"/>
  <c r="H589" i="15"/>
  <c r="CE12" i="6"/>
  <c r="E804" i="15"/>
  <c r="E839" i="15"/>
  <c r="CJ14" i="5"/>
  <c r="CJ13" i="5"/>
  <c r="EV13" i="5" s="1"/>
  <c r="G1081" i="15"/>
  <c r="G1080" i="15"/>
  <c r="G1079" i="15"/>
  <c r="G1078" i="15"/>
  <c r="G1077" i="15"/>
  <c r="G1076" i="15"/>
  <c r="G1075" i="15"/>
  <c r="F835" i="15"/>
  <c r="K595" i="15"/>
  <c r="K594" i="15"/>
  <c r="K593" i="15"/>
  <c r="H593" i="15"/>
  <c r="K592" i="15"/>
  <c r="K591" i="15"/>
  <c r="K590" i="15"/>
  <c r="K589" i="15"/>
  <c r="H305" i="15"/>
  <c r="H306" i="15"/>
  <c r="H307" i="15"/>
  <c r="H308" i="15"/>
  <c r="H309" i="15"/>
  <c r="H310" i="15"/>
  <c r="H311" i="15"/>
  <c r="H312" i="15"/>
  <c r="H313" i="15"/>
  <c r="H314" i="15"/>
  <c r="H315" i="15"/>
  <c r="H316" i="15"/>
  <c r="C307" i="15"/>
  <c r="BW35" i="6"/>
  <c r="BW14" i="6"/>
  <c r="BW46" i="6"/>
  <c r="F837" i="15"/>
  <c r="H594" i="15"/>
  <c r="CG37" i="6"/>
  <c r="E835" i="15"/>
  <c r="H291" i="15"/>
  <c r="H273" i="15"/>
  <c r="H303" i="15"/>
  <c r="H302" i="15"/>
  <c r="H301" i="15"/>
  <c r="H300" i="15"/>
  <c r="H299" i="15"/>
  <c r="H298" i="15"/>
  <c r="H297" i="15"/>
  <c r="H296" i="15"/>
  <c r="H295" i="15"/>
  <c r="H294" i="15"/>
  <c r="C294" i="15"/>
  <c r="H293" i="15"/>
  <c r="H292" i="15"/>
  <c r="H304" i="15"/>
  <c r="L257" i="15"/>
  <c r="BV59" i="6"/>
  <c r="BV61" i="6" s="1"/>
  <c r="BU11" i="6"/>
  <c r="BV60" i="6"/>
  <c r="BU59" i="6"/>
  <c r="BU60" i="6"/>
  <c r="BW60" i="6"/>
  <c r="BW59" i="6"/>
  <c r="G1074" i="15"/>
  <c r="G1073" i="15"/>
  <c r="G1072" i="15"/>
  <c r="G1071" i="15"/>
  <c r="G1070" i="15"/>
  <c r="G1069" i="15"/>
  <c r="G1068" i="15"/>
  <c r="F831" i="15"/>
  <c r="F830" i="15"/>
  <c r="F829" i="15"/>
  <c r="F828" i="15"/>
  <c r="F827" i="15"/>
  <c r="F826" i="15"/>
  <c r="F825" i="15"/>
  <c r="K588" i="15"/>
  <c r="K587" i="15"/>
  <c r="K586" i="15"/>
  <c r="K585" i="15"/>
  <c r="K584" i="15"/>
  <c r="K583" i="15"/>
  <c r="K582" i="15"/>
  <c r="H587" i="15"/>
  <c r="H584" i="15"/>
  <c r="BV16" i="6"/>
  <c r="BV15" i="6"/>
  <c r="H582" i="15"/>
  <c r="H586" i="15"/>
  <c r="E828" i="15"/>
  <c r="I290" i="15"/>
  <c r="I289" i="15"/>
  <c r="I288" i="15"/>
  <c r="I287" i="15"/>
  <c r="I286" i="15"/>
  <c r="I285" i="15"/>
  <c r="I284" i="15"/>
  <c r="I283" i="15"/>
  <c r="I282" i="15"/>
  <c r="I281" i="15"/>
  <c r="D281" i="15"/>
  <c r="I280" i="15"/>
  <c r="I279" i="15"/>
  <c r="I278" i="15"/>
  <c r="I277" i="15"/>
  <c r="I276" i="15"/>
  <c r="H275" i="15"/>
  <c r="H264" i="15"/>
  <c r="H269" i="15"/>
  <c r="H268" i="15"/>
  <c r="H267" i="15"/>
  <c r="H266" i="15"/>
  <c r="H265" i="15"/>
  <c r="H263" i="15"/>
  <c r="BT60" i="6"/>
  <c r="BS28" i="6"/>
  <c r="BS14" i="6"/>
  <c r="G1061" i="15"/>
  <c r="G1067" i="15"/>
  <c r="G1066" i="15"/>
  <c r="G1065" i="15"/>
  <c r="G1064" i="15"/>
  <c r="G1063" i="15"/>
  <c r="G1062" i="15"/>
  <c r="F824" i="15"/>
  <c r="F823" i="15"/>
  <c r="F822" i="15"/>
  <c r="F821" i="15"/>
  <c r="F820" i="15"/>
  <c r="F819" i="15"/>
  <c r="F818" i="15"/>
  <c r="E821" i="15"/>
  <c r="K581" i="15"/>
  <c r="K580" i="15"/>
  <c r="K579" i="15"/>
  <c r="H579" i="15"/>
  <c r="K578" i="15"/>
  <c r="K577" i="15"/>
  <c r="K576" i="15"/>
  <c r="K575" i="15"/>
  <c r="H575" i="15"/>
  <c r="H580" i="15"/>
  <c r="H577" i="15"/>
  <c r="G1060" i="15"/>
  <c r="G1059" i="15"/>
  <c r="G1058" i="15"/>
  <c r="G1057" i="15"/>
  <c r="G1056" i="15"/>
  <c r="G1055" i="15"/>
  <c r="G1054" i="15"/>
  <c r="F817" i="15"/>
  <c r="F816" i="15"/>
  <c r="F815" i="15"/>
  <c r="F814" i="15"/>
  <c r="F813" i="15"/>
  <c r="F812" i="15"/>
  <c r="F811" i="15"/>
  <c r="H572" i="15"/>
  <c r="H568" i="15"/>
  <c r="K574" i="15"/>
  <c r="K573" i="15"/>
  <c r="K572" i="15"/>
  <c r="K571" i="15"/>
  <c r="K570" i="15"/>
  <c r="K569" i="15"/>
  <c r="K568" i="15"/>
  <c r="C266" i="15"/>
  <c r="BQ14" i="6"/>
  <c r="BR60" i="6"/>
  <c r="BQ60" i="6"/>
  <c r="BP60" i="6"/>
  <c r="BO60" i="6"/>
  <c r="BO61" i="6" s="1"/>
  <c r="BN60" i="6"/>
  <c r="BM60" i="6"/>
  <c r="BL60" i="6"/>
  <c r="BK60" i="6"/>
  <c r="BJ60" i="6"/>
  <c r="BH60" i="6"/>
  <c r="BG60" i="6"/>
  <c r="BF60" i="6"/>
  <c r="H274" i="15"/>
  <c r="H272" i="15"/>
  <c r="H271" i="15"/>
  <c r="H573" i="15"/>
  <c r="H570" i="15"/>
  <c r="CE20" i="6"/>
  <c r="CE19" i="6"/>
  <c r="E817" i="15"/>
  <c r="F810" i="15"/>
  <c r="F809" i="15"/>
  <c r="F808" i="15"/>
  <c r="F807" i="15"/>
  <c r="F806" i="15"/>
  <c r="F805" i="15"/>
  <c r="F804" i="15"/>
  <c r="E814" i="15"/>
  <c r="G1053" i="15"/>
  <c r="G1052" i="15"/>
  <c r="G1051" i="15"/>
  <c r="G1050" i="15"/>
  <c r="G1049" i="15"/>
  <c r="G1048" i="15"/>
  <c r="G1047" i="15"/>
  <c r="E807" i="15"/>
  <c r="K567" i="15"/>
  <c r="H567" i="15"/>
  <c r="K566" i="15"/>
  <c r="H566" i="15"/>
  <c r="K565" i="15"/>
  <c r="H565" i="15"/>
  <c r="K564" i="15"/>
  <c r="H564" i="15"/>
  <c r="K563" i="15"/>
  <c r="H563" i="15"/>
  <c r="K562" i="15"/>
  <c r="H562" i="15"/>
  <c r="K561" i="15"/>
  <c r="H561" i="15"/>
  <c r="H251" i="15"/>
  <c r="H252" i="15"/>
  <c r="H253" i="15"/>
  <c r="H254" i="15"/>
  <c r="H257" i="15"/>
  <c r="H258" i="15"/>
  <c r="H259" i="15"/>
  <c r="H260" i="15"/>
  <c r="H261" i="15"/>
  <c r="H262" i="15"/>
  <c r="G1046" i="15"/>
  <c r="G1045" i="15"/>
  <c r="G1044" i="15"/>
  <c r="G1043" i="15"/>
  <c r="G1042" i="15"/>
  <c r="G1041" i="15"/>
  <c r="G1040" i="15"/>
  <c r="F803" i="15"/>
  <c r="F802" i="15"/>
  <c r="F801" i="15"/>
  <c r="F800" i="15"/>
  <c r="F799" i="15"/>
  <c r="F798" i="15"/>
  <c r="F797" i="15"/>
  <c r="K555" i="15"/>
  <c r="K556" i="15"/>
  <c r="K557" i="15"/>
  <c r="K558" i="15"/>
  <c r="K559" i="15"/>
  <c r="K560" i="15"/>
  <c r="H560" i="15"/>
  <c r="H559" i="15"/>
  <c r="H558" i="15"/>
  <c r="H557" i="15"/>
  <c r="H556" i="15"/>
  <c r="H555" i="15"/>
  <c r="H554" i="15"/>
  <c r="BN59" i="6"/>
  <c r="BN61" i="6" s="1"/>
  <c r="BN58" i="6"/>
  <c r="BN15" i="6"/>
  <c r="BL59" i="6"/>
  <c r="G1039" i="15"/>
  <c r="G1038" i="15"/>
  <c r="G1037" i="15"/>
  <c r="G1036" i="15"/>
  <c r="G1035" i="15"/>
  <c r="G1034" i="15"/>
  <c r="G1033" i="15"/>
  <c r="F796" i="15"/>
  <c r="F795" i="15"/>
  <c r="F794" i="15"/>
  <c r="F793" i="15"/>
  <c r="F792" i="15"/>
  <c r="F791" i="15"/>
  <c r="F790" i="15"/>
  <c r="K553" i="15"/>
  <c r="H553" i="15"/>
  <c r="K552" i="15"/>
  <c r="H552" i="15"/>
  <c r="K551" i="15"/>
  <c r="H551" i="15"/>
  <c r="K550" i="15"/>
  <c r="H550" i="15"/>
  <c r="K549" i="15"/>
  <c r="H549" i="15"/>
  <c r="K548" i="15"/>
  <c r="H548" i="15"/>
  <c r="K547" i="15"/>
  <c r="H547" i="15"/>
  <c r="BL58" i="6"/>
  <c r="BK58" i="6"/>
  <c r="BK46" i="6"/>
  <c r="BK18" i="6"/>
  <c r="CE18" i="6"/>
  <c r="E796" i="15"/>
  <c r="E826" i="15"/>
  <c r="E793" i="15"/>
  <c r="E800" i="15"/>
  <c r="BJ59" i="6"/>
  <c r="BI42" i="6"/>
  <c r="BI28" i="6"/>
  <c r="BI60" i="6"/>
  <c r="BI59" i="6"/>
  <c r="G1032" i="15"/>
  <c r="G1031" i="15"/>
  <c r="G1030" i="15"/>
  <c r="G1029" i="15"/>
  <c r="G1028" i="15"/>
  <c r="G1027" i="15"/>
  <c r="G1026" i="15"/>
  <c r="F789" i="15"/>
  <c r="F788" i="15"/>
  <c r="F787" i="15"/>
  <c r="F786" i="15"/>
  <c r="F785" i="15"/>
  <c r="F784" i="15"/>
  <c r="F783" i="15"/>
  <c r="E789" i="15"/>
  <c r="E788" i="15"/>
  <c r="E787" i="15"/>
  <c r="E786" i="15"/>
  <c r="E785" i="15"/>
  <c r="E784" i="15"/>
  <c r="E783" i="15"/>
  <c r="E782" i="15"/>
  <c r="E781" i="15"/>
  <c r="E780" i="15"/>
  <c r="E779" i="15"/>
  <c r="E778" i="15"/>
  <c r="E777" i="15"/>
  <c r="E776" i="15"/>
  <c r="H546" i="15"/>
  <c r="H545" i="15"/>
  <c r="H544" i="15"/>
  <c r="H543" i="15"/>
  <c r="H542" i="15"/>
  <c r="H541" i="15"/>
  <c r="H540" i="15"/>
  <c r="H539" i="15"/>
  <c r="H538" i="15"/>
  <c r="H537" i="15"/>
  <c r="H536" i="15"/>
  <c r="H535" i="15"/>
  <c r="H534" i="15"/>
  <c r="H533" i="15"/>
  <c r="K546" i="15"/>
  <c r="K545" i="15"/>
  <c r="K544" i="15"/>
  <c r="K543" i="15"/>
  <c r="K542" i="15"/>
  <c r="K541" i="15"/>
  <c r="K540" i="15"/>
  <c r="S10" i="7"/>
  <c r="S9" i="7"/>
  <c r="BJ61" i="6"/>
  <c r="BJ58" i="6"/>
  <c r="BJ57" i="6"/>
  <c r="BJ51" i="6"/>
  <c r="BJ50" i="6"/>
  <c r="BJ44" i="6"/>
  <c r="BJ43" i="6"/>
  <c r="BJ37" i="6"/>
  <c r="BJ36" i="6"/>
  <c r="BJ30" i="6"/>
  <c r="BJ29" i="6"/>
  <c r="BJ23" i="6"/>
  <c r="BJ22" i="6"/>
  <c r="BJ16" i="6"/>
  <c r="BJ15" i="6"/>
  <c r="H43" i="6"/>
  <c r="G1020" i="15"/>
  <c r="G1021" i="15"/>
  <c r="G1022" i="15"/>
  <c r="G1023" i="15"/>
  <c r="G1024" i="15"/>
  <c r="G1025" i="15"/>
  <c r="G1019" i="15"/>
  <c r="F782" i="15"/>
  <c r="F781" i="15"/>
  <c r="F780" i="15"/>
  <c r="F779" i="15"/>
  <c r="F778" i="15"/>
  <c r="F777" i="15"/>
  <c r="F776" i="15"/>
  <c r="K534" i="15"/>
  <c r="K535" i="15"/>
  <c r="K536" i="15"/>
  <c r="K537" i="15"/>
  <c r="K538" i="15"/>
  <c r="K539" i="15"/>
  <c r="K533" i="15"/>
  <c r="CD30" i="6"/>
  <c r="CC30" i="6"/>
  <c r="CB30" i="6"/>
  <c r="CA30" i="6"/>
  <c r="BZ30" i="6"/>
  <c r="BY30" i="6"/>
  <c r="BX30" i="6"/>
  <c r="BW30" i="6"/>
  <c r="BV30" i="6"/>
  <c r="BU30" i="6"/>
  <c r="BT30" i="6"/>
  <c r="BS30" i="6"/>
  <c r="BR30" i="6"/>
  <c r="BQ30" i="6"/>
  <c r="BP30" i="6"/>
  <c r="BO30" i="6"/>
  <c r="BN30" i="6"/>
  <c r="BM30" i="6"/>
  <c r="BL30" i="6"/>
  <c r="BK30" i="6"/>
  <c r="CD29" i="6"/>
  <c r="ER29" i="6" s="1"/>
  <c r="CB29" i="6"/>
  <c r="CA29" i="6"/>
  <c r="BZ29" i="6"/>
  <c r="BY29" i="6"/>
  <c r="BX29" i="6"/>
  <c r="BW29" i="6"/>
  <c r="BV29" i="6"/>
  <c r="BU29" i="6"/>
  <c r="BT29" i="6"/>
  <c r="BS29" i="6"/>
  <c r="BR29" i="6"/>
  <c r="BQ29" i="6"/>
  <c r="BP29" i="6"/>
  <c r="BO29" i="6"/>
  <c r="BN29" i="6"/>
  <c r="BM29" i="6"/>
  <c r="BL29" i="6"/>
  <c r="BK29" i="6"/>
  <c r="BI30" i="6"/>
  <c r="BI29" i="6"/>
  <c r="BH30" i="6"/>
  <c r="BH29" i="6"/>
  <c r="BG30" i="6"/>
  <c r="BG29" i="6"/>
  <c r="BF30" i="6"/>
  <c r="BF29" i="6"/>
  <c r="BH23" i="6"/>
  <c r="CD16" i="6"/>
  <c r="CC16" i="6"/>
  <c r="CB16" i="6"/>
  <c r="CA16" i="6"/>
  <c r="BZ16" i="6"/>
  <c r="BY16" i="6"/>
  <c r="BX16" i="6"/>
  <c r="BW16" i="6"/>
  <c r="BU16" i="6"/>
  <c r="BT16" i="6"/>
  <c r="BS16" i="6"/>
  <c r="BR16" i="6"/>
  <c r="BQ16" i="6"/>
  <c r="BP16" i="6"/>
  <c r="BO16" i="6"/>
  <c r="BN16" i="6"/>
  <c r="BM16" i="6"/>
  <c r="BL16" i="6"/>
  <c r="BK16" i="6"/>
  <c r="CD15" i="6"/>
  <c r="CC15" i="6"/>
  <c r="CB15" i="6"/>
  <c r="CA15" i="6"/>
  <c r="BZ15" i="6"/>
  <c r="BY15" i="6"/>
  <c r="BX15" i="6"/>
  <c r="BW15" i="6"/>
  <c r="BU15" i="6"/>
  <c r="BT15" i="6"/>
  <c r="BS15" i="6"/>
  <c r="BR15" i="6"/>
  <c r="BQ15" i="6"/>
  <c r="BP15" i="6"/>
  <c r="BO15" i="6"/>
  <c r="BM15" i="6"/>
  <c r="BL15" i="6"/>
  <c r="BK15" i="6"/>
  <c r="BI16" i="6"/>
  <c r="BI15" i="6"/>
  <c r="BH16" i="6"/>
  <c r="BG16" i="6"/>
  <c r="CA60" i="6"/>
  <c r="BZ60" i="6"/>
  <c r="BY60" i="6"/>
  <c r="BX60" i="6"/>
  <c r="BS60" i="6"/>
  <c r="BI51" i="6"/>
  <c r="BM44" i="6"/>
  <c r="BM43" i="6"/>
  <c r="BL44" i="6"/>
  <c r="BL43" i="6"/>
  <c r="BK44" i="6"/>
  <c r="BK43" i="6"/>
  <c r="BI44" i="6"/>
  <c r="BI43" i="6"/>
  <c r="BH44" i="6"/>
  <c r="BG44" i="6"/>
  <c r="CJ37" i="6"/>
  <c r="CJ36" i="6"/>
  <c r="CD37" i="6"/>
  <c r="ER37" i="6" s="1"/>
  <c r="CD36" i="6"/>
  <c r="ER36" i="6" s="1"/>
  <c r="CC37" i="6"/>
  <c r="CC36" i="6"/>
  <c r="CB37" i="6"/>
  <c r="CB36" i="6"/>
  <c r="BZ37" i="6"/>
  <c r="BZ36" i="6"/>
  <c r="CA37" i="6"/>
  <c r="CA36" i="6"/>
  <c r="BY37" i="6"/>
  <c r="BY36" i="6"/>
  <c r="BX37" i="6"/>
  <c r="BX36" i="6"/>
  <c r="BW37" i="6"/>
  <c r="BW36" i="6"/>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CD51" i="6"/>
  <c r="ER51" i="6" s="1"/>
  <c r="CC51" i="6"/>
  <c r="CB51" i="6"/>
  <c r="CA51" i="6"/>
  <c r="BZ51" i="6"/>
  <c r="BY51" i="6"/>
  <c r="BX51" i="6"/>
  <c r="BW51" i="6"/>
  <c r="BV51" i="6"/>
  <c r="BU51" i="6"/>
  <c r="BT51" i="6"/>
  <c r="BS51" i="6"/>
  <c r="BR51" i="6"/>
  <c r="BQ51" i="6"/>
  <c r="BP51" i="6"/>
  <c r="BO51" i="6"/>
  <c r="BN51" i="6"/>
  <c r="BM51" i="6"/>
  <c r="BL51" i="6"/>
  <c r="BK51" i="6"/>
  <c r="BH51" i="6"/>
  <c r="BG51" i="6"/>
  <c r="CD50" i="6"/>
  <c r="ER50" i="6" s="1"/>
  <c r="CC50" i="6"/>
  <c r="CB50" i="6"/>
  <c r="CA50" i="6"/>
  <c r="BZ50" i="6"/>
  <c r="BY50" i="6"/>
  <c r="BX50" i="6"/>
  <c r="BW50" i="6"/>
  <c r="BV50" i="6"/>
  <c r="BU50" i="6"/>
  <c r="BT50" i="6"/>
  <c r="BS50" i="6"/>
  <c r="BR50" i="6"/>
  <c r="BQ50" i="6"/>
  <c r="BP50" i="6"/>
  <c r="BO50" i="6"/>
  <c r="BN50" i="6"/>
  <c r="BM50" i="6"/>
  <c r="BL50" i="6"/>
  <c r="BK50" i="6"/>
  <c r="BI50" i="6"/>
  <c r="BH50" i="6"/>
  <c r="BG50" i="6"/>
  <c r="CD23" i="6"/>
  <c r="CC23" i="6"/>
  <c r="CB23" i="6"/>
  <c r="CA23" i="6"/>
  <c r="BZ23" i="6"/>
  <c r="BY23" i="6"/>
  <c r="BX23" i="6"/>
  <c r="BW23" i="6"/>
  <c r="BV23" i="6"/>
  <c r="BU23" i="6"/>
  <c r="BT23" i="6"/>
  <c r="BS23" i="6"/>
  <c r="BR23" i="6"/>
  <c r="BQ23" i="6"/>
  <c r="BP23" i="6"/>
  <c r="BO23" i="6"/>
  <c r="BN23" i="6"/>
  <c r="BM23" i="6"/>
  <c r="BL23" i="6"/>
  <c r="BK23" i="6"/>
  <c r="BI23" i="6"/>
  <c r="CD22" i="6"/>
  <c r="CC22" i="6"/>
  <c r="CB22" i="6"/>
  <c r="CA22" i="6"/>
  <c r="BZ22" i="6"/>
  <c r="BY22" i="6"/>
  <c r="BX22" i="6"/>
  <c r="BW22" i="6"/>
  <c r="BV22" i="6"/>
  <c r="BU22" i="6"/>
  <c r="BT22" i="6"/>
  <c r="BS22" i="6"/>
  <c r="BR22" i="6"/>
  <c r="BQ22" i="6"/>
  <c r="BP22" i="6"/>
  <c r="BO22" i="6"/>
  <c r="BN22" i="6"/>
  <c r="BM22" i="6"/>
  <c r="BL22" i="6"/>
  <c r="BK22" i="6"/>
  <c r="BI22" i="6"/>
  <c r="BH22" i="6"/>
  <c r="BG23" i="6"/>
  <c r="BG22" i="6"/>
  <c r="BF23" i="6"/>
  <c r="BF22" i="6"/>
  <c r="BG15" i="6"/>
  <c r="CH57" i="6"/>
  <c r="CG57" i="6"/>
  <c r="CF37" i="6"/>
  <c r="CG36" i="6"/>
  <c r="CH22" i="6"/>
  <c r="BH15" i="6"/>
  <c r="BF15" i="6"/>
  <c r="CF15" i="6"/>
  <c r="CJ16" i="5"/>
  <c r="EV16" i="5" s="1"/>
  <c r="BI12" i="5"/>
  <c r="CE15" i="6"/>
  <c r="CI50" i="6"/>
  <c r="CH50" i="6"/>
  <c r="CE16" i="6"/>
  <c r="BH12" i="5"/>
  <c r="BE15" i="5"/>
  <c r="BC45" i="6"/>
  <c r="BC50" i="6" s="1"/>
  <c r="BC38" i="6"/>
  <c r="BC43" i="6" s="1"/>
  <c r="BB41" i="6"/>
  <c r="BB43" i="6"/>
  <c r="BB40" i="6"/>
  <c r="BB38" i="6"/>
  <c r="BA41" i="6"/>
  <c r="BA43" i="6"/>
  <c r="BA40" i="6"/>
  <c r="BA38" i="6"/>
  <c r="BE55" i="6"/>
  <c r="EV55" i="6" s="1"/>
  <c r="BE52" i="6"/>
  <c r="EV52" i="6" s="1"/>
  <c r="BD56" i="6"/>
  <c r="BD55" i="6"/>
  <c r="EU55" i="6" s="1"/>
  <c r="BD54" i="6"/>
  <c r="BD52" i="6"/>
  <c r="BC55" i="6"/>
  <c r="BC57" i="6" s="1"/>
  <c r="BC52" i="6"/>
  <c r="BB56" i="6"/>
  <c r="BB55" i="6"/>
  <c r="BB54" i="6"/>
  <c r="BB52" i="6"/>
  <c r="BA56" i="6"/>
  <c r="BA55" i="6"/>
  <c r="BA54" i="6"/>
  <c r="BA52" i="6"/>
  <c r="BE45" i="6"/>
  <c r="BC48" i="6"/>
  <c r="BB48" i="6"/>
  <c r="BB47" i="6"/>
  <c r="BB46" i="6"/>
  <c r="BB45" i="6"/>
  <c r="BB50" i="6" s="1"/>
  <c r="BA48" i="6"/>
  <c r="BA47" i="6"/>
  <c r="BA46" i="6"/>
  <c r="E770" i="15" s="1"/>
  <c r="BE41" i="6"/>
  <c r="EV41" i="6" s="1"/>
  <c r="BE38" i="6"/>
  <c r="EV38" i="6" s="1"/>
  <c r="BD41" i="6"/>
  <c r="EU41" i="6" s="1"/>
  <c r="BD38" i="6"/>
  <c r="H519" i="15"/>
  <c r="BC41" i="6"/>
  <c r="BD31" i="6"/>
  <c r="H497" i="15" s="1"/>
  <c r="BC34" i="6"/>
  <c r="BC31" i="6"/>
  <c r="BC36" i="6"/>
  <c r="BB35" i="6"/>
  <c r="BB34" i="6"/>
  <c r="BB33" i="6"/>
  <c r="BB31" i="6"/>
  <c r="BB36" i="6" s="1"/>
  <c r="BA31" i="6"/>
  <c r="BE24" i="6"/>
  <c r="BD24" i="6"/>
  <c r="G24" i="6" s="1"/>
  <c r="G29" i="6" s="1"/>
  <c r="BC24" i="6"/>
  <c r="BC27" i="6"/>
  <c r="BB27" i="6"/>
  <c r="BB24" i="6"/>
  <c r="BA24" i="6"/>
  <c r="BE17" i="6"/>
  <c r="BD17" i="6"/>
  <c r="BC20" i="6"/>
  <c r="BC22" i="6" s="1"/>
  <c r="BC17" i="6"/>
  <c r="BB21" i="6"/>
  <c r="BB20" i="6"/>
  <c r="BB19" i="6"/>
  <c r="BB17" i="6"/>
  <c r="BA21" i="6"/>
  <c r="BA20" i="6"/>
  <c r="BA22" i="6" s="1"/>
  <c r="BA19" i="6"/>
  <c r="BA17" i="6"/>
  <c r="BE13" i="6"/>
  <c r="EV13" i="6" s="1"/>
  <c r="BE10" i="6"/>
  <c r="EV10" i="6" s="1"/>
  <c r="BD13" i="6"/>
  <c r="BD11" i="6"/>
  <c r="BD10" i="6"/>
  <c r="EU10" i="6" s="1"/>
  <c r="BC13" i="6"/>
  <c r="BC15" i="6" s="1"/>
  <c r="BC10" i="6"/>
  <c r="BB13" i="6"/>
  <c r="BB11" i="6"/>
  <c r="BB16" i="6" s="1"/>
  <c r="BB10" i="6"/>
  <c r="BA13" i="6"/>
  <c r="BA11" i="6"/>
  <c r="E765" i="15" s="1"/>
  <c r="BA10" i="6"/>
  <c r="AZ60" i="6"/>
  <c r="AZ59" i="6"/>
  <c r="AZ61" i="6" s="1"/>
  <c r="AZ58" i="6"/>
  <c r="AZ57" i="6"/>
  <c r="AZ51" i="6"/>
  <c r="AZ50" i="6"/>
  <c r="AZ44" i="6"/>
  <c r="AZ43" i="6"/>
  <c r="AZ37" i="6"/>
  <c r="AZ36" i="6"/>
  <c r="AZ30" i="6"/>
  <c r="AZ29" i="6"/>
  <c r="AZ23" i="6"/>
  <c r="AZ22" i="6"/>
  <c r="AZ16" i="6"/>
  <c r="AZ15" i="6"/>
  <c r="I14" i="5"/>
  <c r="BG16" i="5"/>
  <c r="BG15" i="5"/>
  <c r="BG14" i="5"/>
  <c r="BG13" i="5"/>
  <c r="BG12" i="5"/>
  <c r="BF16" i="5"/>
  <c r="BF12" i="5"/>
  <c r="BE16" i="5"/>
  <c r="BE14" i="5"/>
  <c r="BE13" i="5"/>
  <c r="BE12" i="5"/>
  <c r="BD14" i="5"/>
  <c r="BD13" i="5"/>
  <c r="BD12" i="5"/>
  <c r="BC12" i="5"/>
  <c r="AY45" i="6"/>
  <c r="BA45" i="6"/>
  <c r="G1009" i="15"/>
  <c r="G1014" i="15"/>
  <c r="G1013" i="15"/>
  <c r="G1012" i="15"/>
  <c r="G1011" i="15"/>
  <c r="G1010" i="15"/>
  <c r="G1008" i="15"/>
  <c r="K522" i="15"/>
  <c r="K528" i="15"/>
  <c r="K527" i="15"/>
  <c r="K526" i="15"/>
  <c r="K525" i="15"/>
  <c r="K524" i="15"/>
  <c r="K523" i="15"/>
  <c r="AX60" i="6"/>
  <c r="BD46" i="6"/>
  <c r="BD40" i="6"/>
  <c r="BE31" i="6"/>
  <c r="H526" i="15"/>
  <c r="H522" i="15"/>
  <c r="H515" i="15"/>
  <c r="AX59" i="6"/>
  <c r="AX58" i="6"/>
  <c r="AX57" i="6"/>
  <c r="AX51" i="6"/>
  <c r="AX50" i="6"/>
  <c r="AX44" i="6"/>
  <c r="AX43" i="6"/>
  <c r="AX37" i="6"/>
  <c r="AX36" i="6"/>
  <c r="AX30" i="6"/>
  <c r="AX29" i="6"/>
  <c r="AX23" i="6"/>
  <c r="AX22" i="6"/>
  <c r="AX16" i="6"/>
  <c r="AX15" i="6"/>
  <c r="BF14" i="5"/>
  <c r="G1003" i="15"/>
  <c r="G1007" i="15"/>
  <c r="G1006" i="15"/>
  <c r="G1005" i="15"/>
  <c r="G1004" i="15"/>
  <c r="G1002" i="15"/>
  <c r="G1001" i="15"/>
  <c r="G1015" i="15"/>
  <c r="K521" i="15"/>
  <c r="K520" i="15"/>
  <c r="K519" i="15"/>
  <c r="K518" i="15"/>
  <c r="K517" i="15"/>
  <c r="K516" i="15"/>
  <c r="K515" i="15"/>
  <c r="BD33" i="6"/>
  <c r="BD47" i="6"/>
  <c r="BE20" i="6"/>
  <c r="AV60" i="6"/>
  <c r="AV59" i="6"/>
  <c r="AV61" i="6" s="1"/>
  <c r="AV58" i="6"/>
  <c r="AV57" i="6"/>
  <c r="AV51" i="6"/>
  <c r="AV50" i="6"/>
  <c r="AV44" i="6"/>
  <c r="AV43" i="6"/>
  <c r="AV37" i="6"/>
  <c r="AV36" i="6"/>
  <c r="AV30" i="6"/>
  <c r="AV29" i="6"/>
  <c r="AV23" i="6"/>
  <c r="AV22" i="6"/>
  <c r="AV16" i="6"/>
  <c r="AV15" i="6"/>
  <c r="AT43" i="6"/>
  <c r="AT44" i="6"/>
  <c r="BF13" i="5"/>
  <c r="BC14" i="5"/>
  <c r="AM60" i="6"/>
  <c r="AM61" i="6" s="1"/>
  <c r="AK60" i="6"/>
  <c r="AC60" i="6"/>
  <c r="AT60" i="6"/>
  <c r="AS42" i="6"/>
  <c r="BB42" i="6"/>
  <c r="AS28" i="6"/>
  <c r="AS14" i="6"/>
  <c r="BB14" i="6"/>
  <c r="G1000" i="15"/>
  <c r="G999" i="15"/>
  <c r="G998" i="15"/>
  <c r="G997" i="15"/>
  <c r="G996" i="15"/>
  <c r="G995" i="15"/>
  <c r="G994" i="15"/>
  <c r="K509" i="15"/>
  <c r="K510" i="15"/>
  <c r="K511" i="15"/>
  <c r="K512" i="15"/>
  <c r="K513" i="15"/>
  <c r="K514" i="15"/>
  <c r="H508" i="15"/>
  <c r="AS53" i="6"/>
  <c r="AS39" i="6"/>
  <c r="AS44" i="6"/>
  <c r="AS32" i="6"/>
  <c r="AS25" i="6"/>
  <c r="AS18" i="6"/>
  <c r="AT58" i="6"/>
  <c r="AT57" i="6"/>
  <c r="AT30" i="6"/>
  <c r="AT29" i="6"/>
  <c r="AT23" i="6"/>
  <c r="AT22" i="6"/>
  <c r="AT16" i="6"/>
  <c r="AT15" i="6"/>
  <c r="BE34" i="6"/>
  <c r="BE36" i="6"/>
  <c r="AR30" i="6"/>
  <c r="AR29" i="6"/>
  <c r="AQ49" i="6"/>
  <c r="AB60" i="6"/>
  <c r="BE48" i="6"/>
  <c r="BE27" i="6"/>
  <c r="G993" i="15"/>
  <c r="G992" i="15"/>
  <c r="G991" i="15"/>
  <c r="G990" i="15"/>
  <c r="G989" i="15"/>
  <c r="G988" i="15"/>
  <c r="G987" i="15"/>
  <c r="K507" i="15"/>
  <c r="K506" i="15"/>
  <c r="K505" i="15"/>
  <c r="K504" i="15"/>
  <c r="K503" i="15"/>
  <c r="K502" i="15"/>
  <c r="K501" i="15"/>
  <c r="H504" i="15"/>
  <c r="H502" i="15"/>
  <c r="H501" i="15"/>
  <c r="AQ60" i="6"/>
  <c r="AU53" i="6"/>
  <c r="AQ53" i="6"/>
  <c r="AQ59" i="6"/>
  <c r="AQ61" i="6" s="1"/>
  <c r="AU39" i="6"/>
  <c r="AQ39" i="6"/>
  <c r="AQ32" i="6"/>
  <c r="BB32" i="6"/>
  <c r="AU25" i="6"/>
  <c r="AU59" i="6"/>
  <c r="AU18" i="6"/>
  <c r="AQ18" i="6"/>
  <c r="BB18" i="6"/>
  <c r="BB23" i="6" s="1"/>
  <c r="AR58" i="6"/>
  <c r="AR57" i="6"/>
  <c r="AR16" i="6"/>
  <c r="AR15" i="6"/>
  <c r="AR23" i="6"/>
  <c r="AR22" i="6"/>
  <c r="AR44" i="6"/>
  <c r="AR43" i="6"/>
  <c r="G986" i="15"/>
  <c r="G985" i="15"/>
  <c r="G984" i="15"/>
  <c r="G983" i="15"/>
  <c r="G982" i="15"/>
  <c r="G981" i="15"/>
  <c r="G980" i="15"/>
  <c r="H494" i="15"/>
  <c r="K500" i="15"/>
  <c r="K499" i="15"/>
  <c r="K498" i="15"/>
  <c r="K497" i="15"/>
  <c r="K496" i="15"/>
  <c r="K495" i="15"/>
  <c r="K494" i="15"/>
  <c r="AP57" i="6"/>
  <c r="AP43" i="6"/>
  <c r="AP29" i="6"/>
  <c r="AP22" i="6"/>
  <c r="AP15" i="6"/>
  <c r="Z50" i="6"/>
  <c r="AM43" i="6"/>
  <c r="AP58" i="6"/>
  <c r="AP51" i="6"/>
  <c r="AP44" i="6"/>
  <c r="AP37" i="6"/>
  <c r="AP30" i="6"/>
  <c r="AP23" i="6"/>
  <c r="AP16" i="6"/>
  <c r="G974" i="15"/>
  <c r="G979" i="15"/>
  <c r="G978" i="15"/>
  <c r="G977" i="15"/>
  <c r="G976" i="15"/>
  <c r="G975" i="15"/>
  <c r="G973" i="15"/>
  <c r="G966" i="15"/>
  <c r="K488" i="15"/>
  <c r="K489" i="15"/>
  <c r="K490" i="15"/>
  <c r="K491" i="15"/>
  <c r="K492" i="15"/>
  <c r="K493" i="15"/>
  <c r="G972" i="15"/>
  <c r="G971" i="15"/>
  <c r="G970" i="15"/>
  <c r="G969" i="15"/>
  <c r="G968" i="15"/>
  <c r="G967" i="15"/>
  <c r="K481" i="15"/>
  <c r="K482" i="15"/>
  <c r="K483" i="15"/>
  <c r="K484" i="15"/>
  <c r="K485" i="15"/>
  <c r="K486" i="15"/>
  <c r="K479" i="15"/>
  <c r="G1132" i="15"/>
  <c r="G1131" i="15"/>
  <c r="G1130" i="15"/>
  <c r="G1129" i="15"/>
  <c r="G1128" i="15"/>
  <c r="G1127" i="15"/>
  <c r="G1126" i="15"/>
  <c r="G1125" i="15"/>
  <c r="G1124" i="15"/>
  <c r="G1123" i="15"/>
  <c r="G1122" i="15"/>
  <c r="G1121" i="15"/>
  <c r="G1117" i="15"/>
  <c r="G1116" i="15"/>
  <c r="G1115" i="15"/>
  <c r="G1114" i="15"/>
  <c r="G1113" i="15"/>
  <c r="G1112" i="15"/>
  <c r="G1111" i="15"/>
  <c r="G1110" i="15"/>
  <c r="G1109" i="15"/>
  <c r="G1108" i="15"/>
  <c r="G1107" i="15"/>
  <c r="G1106" i="15"/>
  <c r="G962" i="15"/>
  <c r="G959" i="15"/>
  <c r="G955" i="15"/>
  <c r="G952" i="15"/>
  <c r="G948" i="15"/>
  <c r="G945" i="15"/>
  <c r="G941" i="15"/>
  <c r="G938" i="15"/>
  <c r="G931" i="15"/>
  <c r="G928" i="15"/>
  <c r="H927" i="15"/>
  <c r="H926" i="15"/>
  <c r="H925" i="15"/>
  <c r="H924" i="15"/>
  <c r="G924" i="15"/>
  <c r="H923" i="15"/>
  <c r="H922" i="15"/>
  <c r="H921" i="15"/>
  <c r="G921" i="15"/>
  <c r="G917" i="15"/>
  <c r="G914" i="15"/>
  <c r="H913" i="15"/>
  <c r="H912" i="15"/>
  <c r="H911" i="15"/>
  <c r="H910" i="15"/>
  <c r="G910" i="15"/>
  <c r="H909" i="15"/>
  <c r="H908" i="15"/>
  <c r="H907" i="15"/>
  <c r="G907" i="15"/>
  <c r="H906" i="15"/>
  <c r="H905" i="15"/>
  <c r="H904" i="15"/>
  <c r="H903" i="15"/>
  <c r="G903" i="15"/>
  <c r="H902" i="15"/>
  <c r="H901" i="15"/>
  <c r="H900" i="15"/>
  <c r="G900" i="15"/>
  <c r="H899" i="15"/>
  <c r="H898" i="15"/>
  <c r="H897" i="15"/>
  <c r="H896" i="15"/>
  <c r="G896" i="15"/>
  <c r="H895" i="15"/>
  <c r="H894" i="15"/>
  <c r="H893" i="15"/>
  <c r="G893" i="15"/>
  <c r="K646" i="15"/>
  <c r="K645" i="15"/>
  <c r="K644" i="15"/>
  <c r="K643" i="15"/>
  <c r="K642" i="15"/>
  <c r="K641" i="15"/>
  <c r="K640" i="15"/>
  <c r="K639" i="15"/>
  <c r="K638" i="15"/>
  <c r="K637" i="15"/>
  <c r="K636" i="15"/>
  <c r="K635" i="15"/>
  <c r="K631" i="15"/>
  <c r="K630" i="15"/>
  <c r="K629" i="15"/>
  <c r="K628" i="15"/>
  <c r="K627" i="15"/>
  <c r="K626" i="15"/>
  <c r="K625" i="15"/>
  <c r="K624" i="15"/>
  <c r="K623" i="15"/>
  <c r="K622" i="15"/>
  <c r="K621" i="15"/>
  <c r="K620" i="15"/>
  <c r="K603" i="15"/>
  <c r="K596" i="15"/>
  <c r="K554" i="15"/>
  <c r="K529" i="15"/>
  <c r="K508" i="15"/>
  <c r="K487" i="15"/>
  <c r="K480" i="15"/>
  <c r="K478" i="15"/>
  <c r="K477" i="15"/>
  <c r="K476" i="15"/>
  <c r="K475" i="15"/>
  <c r="K474" i="15"/>
  <c r="K473" i="15"/>
  <c r="K472" i="15"/>
  <c r="K471" i="15"/>
  <c r="K470" i="15"/>
  <c r="K469" i="15"/>
  <c r="K468" i="15"/>
  <c r="K467" i="15"/>
  <c r="K466" i="15"/>
  <c r="K465" i="15"/>
  <c r="K464" i="15"/>
  <c r="K463" i="15"/>
  <c r="K462" i="15"/>
  <c r="K461" i="15"/>
  <c r="K460" i="15"/>
  <c r="K459" i="15"/>
  <c r="K458" i="15"/>
  <c r="K457" i="15"/>
  <c r="K456" i="15"/>
  <c r="K455" i="15"/>
  <c r="K454" i="15"/>
  <c r="K453" i="15"/>
  <c r="K452" i="15"/>
  <c r="K448" i="15"/>
  <c r="K447" i="15"/>
  <c r="K446" i="15"/>
  <c r="K445" i="15"/>
  <c r="K444" i="15"/>
  <c r="K443" i="15"/>
  <c r="K442" i="15"/>
  <c r="K441" i="15"/>
  <c r="K440" i="15"/>
  <c r="K439" i="15"/>
  <c r="K438" i="15"/>
  <c r="K437" i="15"/>
  <c r="K436" i="15"/>
  <c r="K435" i="15"/>
  <c r="H920" i="15"/>
  <c r="K434" i="15"/>
  <c r="H919" i="15"/>
  <c r="K433" i="15"/>
  <c r="H918" i="15"/>
  <c r="K432" i="15"/>
  <c r="H917" i="15"/>
  <c r="K431" i="15"/>
  <c r="H916" i="15"/>
  <c r="K430" i="15"/>
  <c r="H915" i="15"/>
  <c r="K429" i="15"/>
  <c r="H914" i="15"/>
  <c r="K428" i="15"/>
  <c r="K427" i="15"/>
  <c r="K426" i="15"/>
  <c r="K425" i="15"/>
  <c r="K424" i="15"/>
  <c r="K423" i="15"/>
  <c r="K422" i="15"/>
  <c r="K421" i="15"/>
  <c r="K420" i="15"/>
  <c r="K419" i="15"/>
  <c r="K418" i="15"/>
  <c r="K417" i="15"/>
  <c r="K416" i="15"/>
  <c r="K415" i="15"/>
  <c r="K414" i="15"/>
  <c r="K413" i="15"/>
  <c r="K412" i="15"/>
  <c r="K411" i="15"/>
  <c r="K410" i="15"/>
  <c r="K409" i="15"/>
  <c r="K408" i="15"/>
  <c r="K407" i="15"/>
  <c r="H403" i="15"/>
  <c r="H402" i="15"/>
  <c r="H401" i="15"/>
  <c r="H400" i="15"/>
  <c r="H399" i="15"/>
  <c r="H398" i="15"/>
  <c r="H397" i="15"/>
  <c r="H396" i="15"/>
  <c r="H395" i="15"/>
  <c r="H394" i="15"/>
  <c r="H393" i="15"/>
  <c r="H392" i="15"/>
  <c r="H388" i="15"/>
  <c r="H387" i="15"/>
  <c r="H386" i="15"/>
  <c r="H385" i="15"/>
  <c r="H384" i="15"/>
  <c r="H383" i="15"/>
  <c r="H382" i="15"/>
  <c r="H381" i="15"/>
  <c r="H380" i="15"/>
  <c r="H379" i="15"/>
  <c r="H378" i="15"/>
  <c r="H377" i="15"/>
  <c r="H68" i="15"/>
  <c r="H67" i="15"/>
  <c r="H66" i="15"/>
  <c r="H65" i="15"/>
  <c r="H63" i="15"/>
  <c r="H62" i="15"/>
  <c r="H61" i="15"/>
  <c r="H60" i="15"/>
  <c r="H59" i="15"/>
  <c r="G950" i="15"/>
  <c r="G898" i="15"/>
  <c r="G927" i="15"/>
  <c r="G946" i="15"/>
  <c r="G951" i="15"/>
  <c r="G912" i="15"/>
  <c r="G930" i="15"/>
  <c r="G940" i="15"/>
  <c r="G960" i="15"/>
  <c r="G956" i="15"/>
  <c r="G965" i="15"/>
  <c r="G909" i="15"/>
  <c r="G923" i="15"/>
  <c r="G926" i="15"/>
  <c r="G942" i="15"/>
  <c r="G906" i="15"/>
  <c r="G918" i="15"/>
  <c r="G925" i="15"/>
  <c r="G963" i="15"/>
  <c r="G958" i="15"/>
  <c r="G929" i="15"/>
  <c r="G933" i="15"/>
  <c r="G953" i="15"/>
  <c r="G943" i="15"/>
  <c r="G894" i="15"/>
  <c r="G897" i="15"/>
  <c r="G913" i="15"/>
  <c r="G915" i="15"/>
  <c r="G932" i="15"/>
  <c r="G961" i="15"/>
  <c r="G899" i="15"/>
  <c r="G902" i="15"/>
  <c r="G905" i="15"/>
  <c r="G908" i="15"/>
  <c r="G911" i="15"/>
  <c r="G916" i="15"/>
  <c r="G920" i="15"/>
  <c r="G922" i="15"/>
  <c r="G939" i="15"/>
  <c r="G944" i="15"/>
  <c r="G949" i="15"/>
  <c r="G954" i="15"/>
  <c r="G964" i="15"/>
  <c r="G895" i="15"/>
  <c r="G901" i="15"/>
  <c r="G904" i="15"/>
  <c r="G919" i="15"/>
  <c r="G934" i="15"/>
  <c r="G947" i="15"/>
  <c r="G957" i="15"/>
  <c r="DN37" i="6"/>
  <c r="AM59" i="6"/>
  <c r="AS49" i="6"/>
  <c r="BA49" i="6"/>
  <c r="AY30" i="6"/>
  <c r="AY29" i="6"/>
  <c r="AW30" i="6"/>
  <c r="AW29" i="6"/>
  <c r="AU29" i="6"/>
  <c r="AS29" i="6"/>
  <c r="AQ30" i="6"/>
  <c r="AQ29" i="6"/>
  <c r="AO30" i="6"/>
  <c r="AO29" i="6"/>
  <c r="AN30" i="6"/>
  <c r="AN29" i="6"/>
  <c r="AM30" i="6"/>
  <c r="AM29" i="6"/>
  <c r="AL29" i="6"/>
  <c r="BD21" i="6"/>
  <c r="BD20" i="6"/>
  <c r="G20" i="6" s="1"/>
  <c r="BD19" i="6"/>
  <c r="AN60" i="6"/>
  <c r="AN59" i="6"/>
  <c r="AN61" i="6" s="1"/>
  <c r="AN58" i="6"/>
  <c r="AN57" i="6"/>
  <c r="AN51" i="6"/>
  <c r="AN50" i="6"/>
  <c r="AN44" i="6"/>
  <c r="AN43" i="6"/>
  <c r="AN37" i="6"/>
  <c r="AN36" i="6"/>
  <c r="AN23" i="6"/>
  <c r="AN22" i="6"/>
  <c r="AN16" i="6"/>
  <c r="AN15" i="6"/>
  <c r="BC15" i="5"/>
  <c r="AJ54" i="6"/>
  <c r="AL54" i="6" s="1"/>
  <c r="AF56" i="6"/>
  <c r="AH56" i="6" s="1"/>
  <c r="AF53" i="6"/>
  <c r="AF49" i="6"/>
  <c r="AH49" i="6" s="1"/>
  <c r="AJ47" i="6"/>
  <c r="AL47" i="6" s="1"/>
  <c r="AF46" i="6"/>
  <c r="AF51" i="6" s="1"/>
  <c r="AF42" i="6"/>
  <c r="AF39" i="6"/>
  <c r="AH39" i="6" s="1"/>
  <c r="AJ33" i="6"/>
  <c r="AF32" i="6"/>
  <c r="AL36" i="6"/>
  <c r="AF35" i="6"/>
  <c r="AF28" i="6"/>
  <c r="AJ26" i="6"/>
  <c r="AL26" i="6" s="1"/>
  <c r="AL12" i="6"/>
  <c r="BE12" i="6"/>
  <c r="AF14" i="6"/>
  <c r="AF11" i="6"/>
  <c r="AJ40" i="6"/>
  <c r="AL40" i="6"/>
  <c r="AI26" i="6"/>
  <c r="BB26" i="6"/>
  <c r="AJ19" i="6"/>
  <c r="AL19" i="6"/>
  <c r="AE28" i="6"/>
  <c r="BD28" i="6" s="1"/>
  <c r="AF25" i="6"/>
  <c r="AH25" i="6" s="1"/>
  <c r="AF21" i="6"/>
  <c r="AF18" i="6"/>
  <c r="AH18" i="6"/>
  <c r="AH23" i="6" s="1"/>
  <c r="AH11" i="6"/>
  <c r="AJ11" i="6"/>
  <c r="AL11" i="6" s="1"/>
  <c r="AH14" i="6"/>
  <c r="AJ14" i="6" s="1"/>
  <c r="AH28" i="6"/>
  <c r="AJ28" i="6"/>
  <c r="AH53" i="6"/>
  <c r="AB59" i="6"/>
  <c r="AB61" i="6" s="1"/>
  <c r="BC13" i="5"/>
  <c r="U65" i="7"/>
  <c r="T65" i="7"/>
  <c r="S64" i="7"/>
  <c r="S63" i="7"/>
  <c r="S62" i="7"/>
  <c r="S61" i="7"/>
  <c r="S60" i="7"/>
  <c r="S59" i="7"/>
  <c r="S58" i="7"/>
  <c r="S57" i="7"/>
  <c r="S56" i="7"/>
  <c r="S55" i="7"/>
  <c r="S54" i="7"/>
  <c r="S53" i="7"/>
  <c r="S52" i="7"/>
  <c r="S51" i="7"/>
  <c r="S50" i="7"/>
  <c r="S49" i="7"/>
  <c r="S48" i="7"/>
  <c r="S47" i="7"/>
  <c r="S46" i="7"/>
  <c r="S45" i="7"/>
  <c r="S44" i="7"/>
  <c r="S43" i="7"/>
  <c r="S42" i="7"/>
  <c r="S41" i="7"/>
  <c r="S40" i="7"/>
  <c r="S39" i="7"/>
  <c r="S37" i="7"/>
  <c r="S35" i="7"/>
  <c r="S34" i="7"/>
  <c r="S33" i="7"/>
  <c r="S32" i="7"/>
  <c r="S31" i="7"/>
  <c r="S30" i="7"/>
  <c r="S29" i="7"/>
  <c r="S28" i="7"/>
  <c r="S27" i="7"/>
  <c r="S26" i="7"/>
  <c r="S25" i="7"/>
  <c r="S24" i="7"/>
  <c r="S23" i="7"/>
  <c r="S22" i="7"/>
  <c r="S21" i="7"/>
  <c r="S20" i="7"/>
  <c r="S19" i="7"/>
  <c r="S18" i="7"/>
  <c r="S17" i="7"/>
  <c r="S16" i="7"/>
  <c r="S15" i="7"/>
  <c r="S14" i="7"/>
  <c r="S13" i="7"/>
  <c r="S12" i="7"/>
  <c r="S11" i="7"/>
  <c r="DN30" i="6"/>
  <c r="DN29" i="6"/>
  <c r="CJ30" i="6"/>
  <c r="CJ29" i="6"/>
  <c r="DN16" i="6"/>
  <c r="DN15" i="6"/>
  <c r="CJ16" i="6"/>
  <c r="CJ15" i="6"/>
  <c r="BF16" i="6"/>
  <c r="AK30" i="6"/>
  <c r="AK29" i="6"/>
  <c r="AJ29" i="6"/>
  <c r="AI30" i="6"/>
  <c r="AI29" i="6"/>
  <c r="AH29" i="6"/>
  <c r="AG30" i="6"/>
  <c r="AG29" i="6"/>
  <c r="AF30" i="6"/>
  <c r="AF29" i="6"/>
  <c r="AE30" i="6"/>
  <c r="AE29" i="6"/>
  <c r="AD30" i="6"/>
  <c r="AD29" i="6"/>
  <c r="AC30" i="6"/>
  <c r="AC29" i="6"/>
  <c r="AB30" i="6"/>
  <c r="AB29" i="6"/>
  <c r="AA30" i="6"/>
  <c r="AA29" i="6"/>
  <c r="Z30" i="6"/>
  <c r="Z29" i="6"/>
  <c r="H60" i="6"/>
  <c r="DN60" i="6"/>
  <c r="DH60" i="6"/>
  <c r="DG60" i="6"/>
  <c r="DF60" i="6"/>
  <c r="DF61" i="6" s="1"/>
  <c r="DE60" i="6"/>
  <c r="DD60" i="6"/>
  <c r="DC60" i="6"/>
  <c r="DB60" i="6"/>
  <c r="DA60" i="6"/>
  <c r="CZ60" i="6"/>
  <c r="CY60" i="6"/>
  <c r="CX60" i="6"/>
  <c r="CX61" i="6" s="1"/>
  <c r="CW60" i="6"/>
  <c r="CV60" i="6"/>
  <c r="CU60" i="6"/>
  <c r="CT60" i="6"/>
  <c r="CS60" i="6"/>
  <c r="CR60" i="6"/>
  <c r="CQ60" i="6"/>
  <c r="CP60" i="6"/>
  <c r="CP61" i="6" s="1"/>
  <c r="CO60" i="6"/>
  <c r="CN60" i="6"/>
  <c r="CM60" i="6"/>
  <c r="CL60" i="6"/>
  <c r="CK60" i="6"/>
  <c r="CJ60" i="6"/>
  <c r="CD60" i="6"/>
  <c r="AW60" i="6"/>
  <c r="AU60" i="6"/>
  <c r="AR60" i="6"/>
  <c r="AP60" i="6"/>
  <c r="AO60" i="6"/>
  <c r="AI60" i="6"/>
  <c r="AG60" i="6"/>
  <c r="AD60" i="6"/>
  <c r="AA60" i="6"/>
  <c r="AA61" i="6" s="1"/>
  <c r="Z60" i="6"/>
  <c r="Y60" i="6"/>
  <c r="X60" i="6"/>
  <c r="W60" i="6"/>
  <c r="V60" i="6"/>
  <c r="U60" i="6"/>
  <c r="T60" i="6"/>
  <c r="S60" i="6"/>
  <c r="S61" i="6" s="1"/>
  <c r="R60" i="6"/>
  <c r="Q60" i="6"/>
  <c r="P60" i="6"/>
  <c r="O60" i="6"/>
  <c r="N60" i="6"/>
  <c r="M60" i="6"/>
  <c r="L60" i="6"/>
  <c r="K60" i="6"/>
  <c r="K61" i="6" s="1"/>
  <c r="J60" i="6"/>
  <c r="I60" i="6"/>
  <c r="DN59" i="6"/>
  <c r="DH59" i="6"/>
  <c r="DG59" i="6"/>
  <c r="DF59" i="6"/>
  <c r="DE59" i="6"/>
  <c r="DD59" i="6"/>
  <c r="DD61" i="6" s="1"/>
  <c r="DC59" i="6"/>
  <c r="DB59" i="6"/>
  <c r="DA59" i="6"/>
  <c r="CZ59" i="6"/>
  <c r="CY59" i="6"/>
  <c r="CX59" i="6"/>
  <c r="CW59" i="6"/>
  <c r="CV59" i="6"/>
  <c r="CV61" i="6" s="1"/>
  <c r="CU59" i="6"/>
  <c r="CT59" i="6"/>
  <c r="CS59" i="6"/>
  <c r="CR59" i="6"/>
  <c r="CQ59" i="6"/>
  <c r="CP59" i="6"/>
  <c r="CO59" i="6"/>
  <c r="CN59" i="6"/>
  <c r="CN61" i="6" s="1"/>
  <c r="CM59" i="6"/>
  <c r="CL59" i="6"/>
  <c r="CK59" i="6"/>
  <c r="CJ59" i="6"/>
  <c r="CD59" i="6"/>
  <c r="CC59" i="6"/>
  <c r="CA59" i="6"/>
  <c r="BZ59" i="6"/>
  <c r="BY59" i="6"/>
  <c r="BX59" i="6"/>
  <c r="BT59" i="6"/>
  <c r="BT61" i="6" s="1"/>
  <c r="BS59" i="6"/>
  <c r="BS61" i="6"/>
  <c r="BR59" i="6"/>
  <c r="BQ59" i="6"/>
  <c r="BQ61" i="6" s="1"/>
  <c r="BP59" i="6"/>
  <c r="BO59" i="6"/>
  <c r="BM59" i="6"/>
  <c r="BK59" i="6"/>
  <c r="BH59" i="6"/>
  <c r="BG59" i="6"/>
  <c r="BF59" i="6"/>
  <c r="AY59" i="6"/>
  <c r="AY61" i="6" s="1"/>
  <c r="AW59" i="6"/>
  <c r="AW61" i="6" s="1"/>
  <c r="AT59" i="6"/>
  <c r="AT61" i="6" s="1"/>
  <c r="AR59" i="6"/>
  <c r="AP59" i="6"/>
  <c r="AO59" i="6"/>
  <c r="AK59" i="6"/>
  <c r="AK61" i="6" s="1"/>
  <c r="AI59" i="6"/>
  <c r="AI61" i="6" s="1"/>
  <c r="AG59" i="6"/>
  <c r="AG61" i="6" s="1"/>
  <c r="AE59" i="6"/>
  <c r="AD59" i="6"/>
  <c r="AC59" i="6"/>
  <c r="AA59" i="6"/>
  <c r="Z59" i="6"/>
  <c r="Y59" i="6"/>
  <c r="X59" i="6"/>
  <c r="W59" i="6"/>
  <c r="V59" i="6"/>
  <c r="U59" i="6"/>
  <c r="T59" i="6"/>
  <c r="S59" i="6"/>
  <c r="R59" i="6"/>
  <c r="R61" i="6" s="1"/>
  <c r="Q59" i="6"/>
  <c r="P59" i="6"/>
  <c r="O59" i="6"/>
  <c r="N59" i="6"/>
  <c r="M59" i="6"/>
  <c r="L59" i="6"/>
  <c r="K59" i="6"/>
  <c r="J59" i="6"/>
  <c r="J61" i="6" s="1"/>
  <c r="I59" i="6"/>
  <c r="H59" i="6"/>
  <c r="AB58" i="6"/>
  <c r="AB57" i="6"/>
  <c r="DN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CD58" i="6"/>
  <c r="CC58" i="6"/>
  <c r="CB58" i="6"/>
  <c r="ER58" i="6" s="1"/>
  <c r="CA58" i="6"/>
  <c r="BZ58" i="6"/>
  <c r="BY58" i="6"/>
  <c r="BX58" i="6"/>
  <c r="BW58" i="6"/>
  <c r="BV58" i="6"/>
  <c r="BU58" i="6"/>
  <c r="BT58" i="6"/>
  <c r="BS58" i="6"/>
  <c r="BR58" i="6"/>
  <c r="BQ58" i="6"/>
  <c r="BP58" i="6"/>
  <c r="BO58" i="6"/>
  <c r="BM58" i="6"/>
  <c r="BI58" i="6"/>
  <c r="BH58" i="6"/>
  <c r="BG58" i="6"/>
  <c r="BF58" i="6"/>
  <c r="AY58" i="6"/>
  <c r="AW58" i="6"/>
  <c r="AU58" i="6"/>
  <c r="AS58" i="6"/>
  <c r="AO58" i="6"/>
  <c r="AM58" i="6"/>
  <c r="AK58" i="6"/>
  <c r="AI58" i="6"/>
  <c r="AG58" i="6"/>
  <c r="AE58" i="6"/>
  <c r="AD58" i="6"/>
  <c r="AC58" i="6"/>
  <c r="AA58" i="6"/>
  <c r="Z58" i="6"/>
  <c r="Y58" i="6"/>
  <c r="X58" i="6"/>
  <c r="W58" i="6"/>
  <c r="H58" i="6"/>
  <c r="DN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CD57" i="6"/>
  <c r="CC57" i="6"/>
  <c r="CB57" i="6"/>
  <c r="CA57" i="6"/>
  <c r="BZ57" i="6"/>
  <c r="BY57" i="6"/>
  <c r="BX57" i="6"/>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CG58" i="6"/>
  <c r="CE58" i="6"/>
  <c r="DM58" i="6"/>
  <c r="DL58" i="6"/>
  <c r="DK58" i="6"/>
  <c r="DJ58" i="6"/>
  <c r="DI58" i="6"/>
  <c r="DM52" i="6"/>
  <c r="DM57" i="6" s="1"/>
  <c r="DL52" i="6"/>
  <c r="DL57" i="6"/>
  <c r="DK52" i="6"/>
  <c r="DK57" i="6" s="1"/>
  <c r="DJ52" i="6"/>
  <c r="DJ57" i="6" s="1"/>
  <c r="DI52" i="6"/>
  <c r="DI57" i="6" s="1"/>
  <c r="AC50" i="6"/>
  <c r="AB51" i="6"/>
  <c r="AB50" i="6"/>
  <c r="Z51" i="6"/>
  <c r="X51" i="6"/>
  <c r="X50" i="6"/>
  <c r="W51" i="6"/>
  <c r="W50" i="6"/>
  <c r="H51" i="6"/>
  <c r="H50" i="6"/>
  <c r="DN51" i="6"/>
  <c r="CJ51" i="6"/>
  <c r="BF51" i="6"/>
  <c r="AY51" i="6"/>
  <c r="AW51" i="6"/>
  <c r="AU51" i="6"/>
  <c r="AT51" i="6"/>
  <c r="AR51" i="6"/>
  <c r="AQ51" i="6"/>
  <c r="AO51" i="6"/>
  <c r="AM51" i="6"/>
  <c r="AK51" i="6"/>
  <c r="AI51" i="6"/>
  <c r="AG51" i="6"/>
  <c r="AE51" i="6"/>
  <c r="AD51" i="6"/>
  <c r="AC51" i="6"/>
  <c r="AA51" i="6"/>
  <c r="Y51" i="6"/>
  <c r="V51" i="6"/>
  <c r="U51" i="6"/>
  <c r="T51" i="6"/>
  <c r="S51" i="6"/>
  <c r="R51" i="6"/>
  <c r="Q51" i="6"/>
  <c r="P51" i="6"/>
  <c r="O51" i="6"/>
  <c r="N51" i="6"/>
  <c r="M51" i="6"/>
  <c r="L51" i="6"/>
  <c r="K51" i="6"/>
  <c r="J51" i="6"/>
  <c r="I51" i="6"/>
  <c r="DN50" i="6"/>
  <c r="CJ50" i="6"/>
  <c r="BF50" i="6"/>
  <c r="AY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ER44" i="6" s="1"/>
  <c r="CC44" i="6"/>
  <c r="CB44" i="6"/>
  <c r="CA44" i="6"/>
  <c r="BZ44" i="6"/>
  <c r="BY44" i="6"/>
  <c r="BX44" i="6"/>
  <c r="BW44" i="6"/>
  <c r="BV44" i="6"/>
  <c r="BU44" i="6"/>
  <c r="BT44" i="6"/>
  <c r="BS44" i="6"/>
  <c r="BR44" i="6"/>
  <c r="BQ44" i="6"/>
  <c r="BP44" i="6"/>
  <c r="BO44" i="6"/>
  <c r="BN44" i="6"/>
  <c r="BF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U44" i="6"/>
  <c r="AQ44" i="6"/>
  <c r="AO44" i="6"/>
  <c r="AM44" i="6"/>
  <c r="AB44" i="6"/>
  <c r="AA44" i="6"/>
  <c r="Z44" i="6"/>
  <c r="Y44" i="6"/>
  <c r="X44" i="6"/>
  <c r="W44" i="6"/>
  <c r="H44" i="6"/>
  <c r="AW43" i="6"/>
  <c r="AU43" i="6"/>
  <c r="AS43" i="6"/>
  <c r="AQ43" i="6"/>
  <c r="AO43" i="6"/>
  <c r="AL43" i="6"/>
  <c r="AB43" i="6"/>
  <c r="AA43" i="6"/>
  <c r="Z43" i="6"/>
  <c r="Y43" i="6"/>
  <c r="X43" i="6"/>
  <c r="W43" i="6"/>
  <c r="DM39" i="6"/>
  <c r="DM44" i="6"/>
  <c r="DL39" i="6"/>
  <c r="DL44" i="6" s="1"/>
  <c r="DK39" i="6"/>
  <c r="DK44" i="6" s="1"/>
  <c r="DJ39" i="6"/>
  <c r="DJ44" i="6" s="1"/>
  <c r="DI39" i="6"/>
  <c r="DI44" i="6"/>
  <c r="DM38" i="6"/>
  <c r="DM43" i="6" s="1"/>
  <c r="DL38" i="6"/>
  <c r="DL43" i="6" s="1"/>
  <c r="DK38" i="6"/>
  <c r="DK43" i="6" s="1"/>
  <c r="DJ38" i="6"/>
  <c r="DJ43" i="6"/>
  <c r="DI38" i="6"/>
  <c r="DI43" i="6" s="1"/>
  <c r="AY37" i="6"/>
  <c r="AW37" i="6"/>
  <c r="AU37" i="6"/>
  <c r="AT37" i="6"/>
  <c r="AS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CH44" i="6"/>
  <c r="BE50"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EU35" i="6" s="1"/>
  <c r="BA35" i="6"/>
  <c r="BD34" i="6"/>
  <c r="G34" i="6" s="1"/>
  <c r="BA34" i="6"/>
  <c r="BA36" i="6"/>
  <c r="BA33" i="6"/>
  <c r="BA32" i="6"/>
  <c r="BA37" i="6"/>
  <c r="Y30" i="6"/>
  <c r="Y29" i="6"/>
  <c r="X30" i="6"/>
  <c r="X29" i="6"/>
  <c r="W30" i="6"/>
  <c r="W29" i="6"/>
  <c r="H30" i="6"/>
  <c r="H29" i="6"/>
  <c r="BD27" i="6"/>
  <c r="G27" i="6" s="1"/>
  <c r="BA27" i="6"/>
  <c r="BD26" i="6"/>
  <c r="BB29" i="6"/>
  <c r="BE15" i="6"/>
  <c r="AL15" i="6"/>
  <c r="AY23" i="6"/>
  <c r="AY22" i="6"/>
  <c r="AW23" i="6"/>
  <c r="AW22" i="6"/>
  <c r="AU23" i="6"/>
  <c r="AU22" i="6"/>
  <c r="AS23" i="6"/>
  <c r="AS22" i="6"/>
  <c r="AQ23"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X23" i="6"/>
  <c r="X22" i="6"/>
  <c r="W23" i="6"/>
  <c r="W22" i="6"/>
  <c r="BF15" i="5"/>
  <c r="H22" i="6"/>
  <c r="AK16" i="6"/>
  <c r="AK15" i="6"/>
  <c r="AJ15" i="6"/>
  <c r="AI16" i="6"/>
  <c r="AI15" i="6"/>
  <c r="AH15" i="6"/>
  <c r="AG16" i="6"/>
  <c r="AG15" i="6"/>
  <c r="AF16" i="6"/>
  <c r="AF15" i="6"/>
  <c r="AE16" i="6"/>
  <c r="AE15" i="6"/>
  <c r="AD16" i="6"/>
  <c r="AD15" i="6"/>
  <c r="AC16" i="6"/>
  <c r="AC15" i="6"/>
  <c r="AB15" i="6"/>
  <c r="AB16" i="6"/>
  <c r="H23" i="6"/>
  <c r="AA16" i="6"/>
  <c r="AA15" i="6"/>
  <c r="Z16" i="6"/>
  <c r="Z15" i="6"/>
  <c r="Y16" i="6"/>
  <c r="Y15" i="6"/>
  <c r="X16" i="6"/>
  <c r="X15" i="6"/>
  <c r="W16" i="6"/>
  <c r="W15" i="6"/>
  <c r="H15" i="6"/>
  <c r="H16" i="6"/>
  <c r="CF59" i="6"/>
  <c r="EM37" i="6"/>
  <c r="EQ36" i="6"/>
  <c r="EP36" i="6"/>
  <c r="EO36" i="6"/>
  <c r="EN36" i="6"/>
  <c r="EM36" i="6"/>
  <c r="EQ35" i="6"/>
  <c r="EP35" i="6"/>
  <c r="EO35" i="6"/>
  <c r="EN35" i="6"/>
  <c r="EM35" i="6"/>
  <c r="EQ34" i="6"/>
  <c r="EP34" i="6"/>
  <c r="EO34" i="6"/>
  <c r="EN34" i="6"/>
  <c r="EM34" i="6"/>
  <c r="EQ33" i="6"/>
  <c r="EP33" i="6"/>
  <c r="EO33" i="6"/>
  <c r="EN33" i="6"/>
  <c r="EM33" i="6"/>
  <c r="EQ32" i="6"/>
  <c r="EP32" i="6"/>
  <c r="EO32" i="6"/>
  <c r="EO37" i="6" s="1"/>
  <c r="EN32" i="6"/>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P30" i="6" s="1"/>
  <c r="EO25" i="6"/>
  <c r="EO30" i="6"/>
  <c r="EN25" i="6"/>
  <c r="EM25" i="6"/>
  <c r="EQ24" i="6"/>
  <c r="EP24" i="6"/>
  <c r="EO24" i="6"/>
  <c r="EN24" i="6"/>
  <c r="EM24" i="6"/>
  <c r="EM23" i="6"/>
  <c r="EQ22" i="6"/>
  <c r="EP22" i="6"/>
  <c r="EO22" i="6"/>
  <c r="EN22" i="6"/>
  <c r="EM22" i="6"/>
  <c r="DM23" i="6"/>
  <c r="DL23" i="6"/>
  <c r="DK23" i="6"/>
  <c r="DJ23" i="6"/>
  <c r="DI23" i="6"/>
  <c r="EQ21" i="6"/>
  <c r="EP21" i="6"/>
  <c r="EO21" i="6"/>
  <c r="EO23" i="6" s="1"/>
  <c r="EN21" i="6"/>
  <c r="EM21" i="6"/>
  <c r="DM22" i="6"/>
  <c r="DL22" i="6"/>
  <c r="DK22" i="6"/>
  <c r="DJ22" i="6"/>
  <c r="DI22" i="6"/>
  <c r="EQ20" i="6"/>
  <c r="EP20" i="6"/>
  <c r="EO20" i="6"/>
  <c r="EN20" i="6"/>
  <c r="EM20" i="6"/>
  <c r="DM21" i="6"/>
  <c r="DM60" i="6"/>
  <c r="DL21" i="6"/>
  <c r="DL60" i="6"/>
  <c r="DK21" i="6"/>
  <c r="DK60" i="6" s="1"/>
  <c r="DJ21" i="6"/>
  <c r="DJ60" i="6" s="1"/>
  <c r="DI21" i="6"/>
  <c r="DI60" i="6"/>
  <c r="BD22" i="6"/>
  <c r="EQ19" i="6"/>
  <c r="EP19" i="6"/>
  <c r="EO19" i="6"/>
  <c r="EN19" i="6"/>
  <c r="EM19" i="6"/>
  <c r="DM20" i="6"/>
  <c r="DL20" i="6"/>
  <c r="DK20" i="6"/>
  <c r="DJ20" i="6"/>
  <c r="DI20" i="6"/>
  <c r="EQ18" i="6"/>
  <c r="EQ23" i="6"/>
  <c r="EP18" i="6"/>
  <c r="EO18" i="6"/>
  <c r="EN18" i="6"/>
  <c r="EN23" i="6" s="1"/>
  <c r="EM18" i="6"/>
  <c r="DM18" i="6"/>
  <c r="DL18" i="6"/>
  <c r="DL59" i="6" s="1"/>
  <c r="DL61" i="6" s="1"/>
  <c r="DK18" i="6"/>
  <c r="DJ18" i="6"/>
  <c r="DI18" i="6"/>
  <c r="EQ17" i="6"/>
  <c r="EP17" i="6"/>
  <c r="EO17" i="6"/>
  <c r="EN17" i="6"/>
  <c r="EM17" i="6"/>
  <c r="DM17" i="6"/>
  <c r="DL17" i="6"/>
  <c r="DK17" i="6"/>
  <c r="DJ17" i="6"/>
  <c r="DI17" i="6"/>
  <c r="EM16" i="6"/>
  <c r="DI16" i="6"/>
  <c r="EQ15" i="6"/>
  <c r="EP15" i="6"/>
  <c r="EO15" i="6"/>
  <c r="EN15" i="6"/>
  <c r="EM15" i="6"/>
  <c r="DM15" i="6"/>
  <c r="DL15" i="6"/>
  <c r="DK15" i="6"/>
  <c r="DJ15" i="6"/>
  <c r="DI15" i="6"/>
  <c r="EQ14" i="6"/>
  <c r="EP14" i="6"/>
  <c r="EO14" i="6"/>
  <c r="EN14" i="6"/>
  <c r="EM14" i="6"/>
  <c r="EQ13" i="6"/>
  <c r="EP13" i="6"/>
  <c r="EO13" i="6"/>
  <c r="EN13" i="6"/>
  <c r="EM13" i="6"/>
  <c r="EQ12" i="6"/>
  <c r="EP12" i="6"/>
  <c r="EO12" i="6"/>
  <c r="EN12" i="6"/>
  <c r="EM12" i="6"/>
  <c r="EQ11" i="6"/>
  <c r="EQ16" i="6" s="1"/>
  <c r="EP11" i="6"/>
  <c r="EP16" i="6" s="1"/>
  <c r="EO11" i="6"/>
  <c r="EO16" i="6" s="1"/>
  <c r="EN11" i="6"/>
  <c r="EM11" i="6"/>
  <c r="DM11" i="6"/>
  <c r="DM59" i="6" s="1"/>
  <c r="DM61" i="6" s="1"/>
  <c r="DM16" i="6"/>
  <c r="DL11" i="6"/>
  <c r="DL16" i="6"/>
  <c r="DK11" i="6"/>
  <c r="DK16" i="6" s="1"/>
  <c r="DJ11" i="6"/>
  <c r="DJ16" i="6" s="1"/>
  <c r="DI11" i="6"/>
  <c r="EQ10" i="6"/>
  <c r="EP10" i="6"/>
  <c r="EO10" i="6"/>
  <c r="EN10" i="6"/>
  <c r="EM10" i="6"/>
  <c r="DM10" i="6"/>
  <c r="DL10" i="6"/>
  <c r="DK10" i="6"/>
  <c r="DJ10" i="6"/>
  <c r="DI10" i="6"/>
  <c r="BC16" i="5"/>
  <c r="EN37" i="6"/>
  <c r="BE22" i="6"/>
  <c r="EQ30" i="6"/>
  <c r="W13" i="5"/>
  <c r="W12" i="5"/>
  <c r="EM58" i="6"/>
  <c r="EQ57" i="6"/>
  <c r="EP57" i="6"/>
  <c r="EO57" i="6"/>
  <c r="EM57" i="6"/>
  <c r="EQ56" i="6"/>
  <c r="EQ58" i="6"/>
  <c r="EP56" i="6"/>
  <c r="EO56" i="6"/>
  <c r="EN56" i="6"/>
  <c r="EM56" i="6"/>
  <c r="EP55" i="6"/>
  <c r="EO55" i="6"/>
  <c r="EN55" i="6"/>
  <c r="EM55" i="6"/>
  <c r="EQ54" i="6"/>
  <c r="EP54" i="6"/>
  <c r="EO54" i="6"/>
  <c r="EN54" i="6"/>
  <c r="EM54" i="6"/>
  <c r="EQ53" i="6"/>
  <c r="EP53" i="6"/>
  <c r="EO53" i="6"/>
  <c r="EO58" i="6" s="1"/>
  <c r="EN53" i="6"/>
  <c r="EN58" i="6" s="1"/>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Q51" i="6" s="1"/>
  <c r="EP46" i="6"/>
  <c r="EO46" i="6"/>
  <c r="EN46" i="6"/>
  <c r="EN51" i="6" s="1"/>
  <c r="EM46" i="6"/>
  <c r="EQ45" i="6"/>
  <c r="EP45" i="6"/>
  <c r="EO45" i="6"/>
  <c r="EN45" i="6"/>
  <c r="EM45" i="6"/>
  <c r="EM44" i="6"/>
  <c r="EQ42" i="6"/>
  <c r="EQ44" i="6" s="1"/>
  <c r="EP42" i="6"/>
  <c r="EO42" i="6"/>
  <c r="EN42" i="6"/>
  <c r="EN44" i="6" s="1"/>
  <c r="EM42" i="6"/>
  <c r="EP41" i="6"/>
  <c r="EO41" i="6"/>
  <c r="EN41" i="6"/>
  <c r="EQ40" i="6"/>
  <c r="EP40" i="6"/>
  <c r="EO40" i="6"/>
  <c r="EN40" i="6"/>
  <c r="EM40" i="6"/>
  <c r="EQ39" i="6"/>
  <c r="EP39" i="6"/>
  <c r="EO39" i="6"/>
  <c r="EN39" i="6"/>
  <c r="EM39" i="6"/>
  <c r="EO38" i="6"/>
  <c r="EQ38" i="6" s="1"/>
  <c r="EQ43" i="6" s="1"/>
  <c r="EN38" i="6"/>
  <c r="EN43" i="6" s="1"/>
  <c r="EM38" i="6"/>
  <c r="EM43" i="6" s="1"/>
  <c r="EP51" i="6"/>
  <c r="AY60" i="6"/>
  <c r="EQ37" i="6"/>
  <c r="BD57" i="6"/>
  <c r="AF58" i="6"/>
  <c r="BB28" i="6"/>
  <c r="BB60" i="6" s="1"/>
  <c r="H491" i="15"/>
  <c r="H498" i="15"/>
  <c r="BA53" i="6"/>
  <c r="E771" i="15"/>
  <c r="BA28" i="6"/>
  <c r="BA60" i="6" s="1"/>
  <c r="DI59" i="6"/>
  <c r="AO61" i="6"/>
  <c r="AU30" i="6"/>
  <c r="H484" i="15"/>
  <c r="BD39" i="6"/>
  <c r="BD44" i="6" s="1"/>
  <c r="H505" i="15"/>
  <c r="BD25" i="6"/>
  <c r="BD59" i="6" s="1"/>
  <c r="BB15" i="6"/>
  <c r="BB22" i="6"/>
  <c r="BD42" i="6"/>
  <c r="BA57" i="6"/>
  <c r="BB57" i="6"/>
  <c r="BB39" i="6"/>
  <c r="BB44" i="6" s="1"/>
  <c r="EP58" i="6"/>
  <c r="EN30" i="6"/>
  <c r="AE60" i="6"/>
  <c r="BD18" i="6"/>
  <c r="BD23" i="6" s="1"/>
  <c r="BD32" i="6"/>
  <c r="BD37" i="6" s="1"/>
  <c r="H486" i="15"/>
  <c r="BA18" i="6"/>
  <c r="BA23" i="6" s="1"/>
  <c r="BA39" i="6"/>
  <c r="E769" i="15"/>
  <c r="H512" i="15"/>
  <c r="AC61" i="6"/>
  <c r="AX61" i="6"/>
  <c r="BB37" i="6"/>
  <c r="N61" i="6"/>
  <c r="V61" i="6"/>
  <c r="Z61" i="6"/>
  <c r="BB25" i="6"/>
  <c r="BB59" i="6" s="1"/>
  <c r="BB49" i="6"/>
  <c r="BB51" i="6" s="1"/>
  <c r="BD53" i="6"/>
  <c r="BD58" i="6"/>
  <c r="EP44" i="6"/>
  <c r="EO44" i="6"/>
  <c r="EN16" i="6"/>
  <c r="EP37" i="6"/>
  <c r="AS16" i="6"/>
  <c r="AF23" i="6"/>
  <c r="BA51" i="6"/>
  <c r="AS59" i="6"/>
  <c r="O61" i="6"/>
  <c r="AU61" i="6"/>
  <c r="BA26" i="6"/>
  <c r="BE40" i="6"/>
  <c r="H495" i="15"/>
  <c r="BA25" i="6"/>
  <c r="BB6" i="6" s="1"/>
  <c r="H503" i="15"/>
  <c r="H509" i="15"/>
  <c r="H523" i="15"/>
  <c r="BD14" i="6"/>
  <c r="BD16" i="6" s="1"/>
  <c r="BE43" i="6"/>
  <c r="BB53" i="6"/>
  <c r="BB58" i="6"/>
  <c r="AF44" i="6"/>
  <c r="AQ58" i="6"/>
  <c r="L61" i="6"/>
  <c r="P61" i="6"/>
  <c r="T61" i="6"/>
  <c r="X61" i="6"/>
  <c r="H61" i="6"/>
  <c r="AH42" i="6"/>
  <c r="AJ42" i="6" s="1"/>
  <c r="AS30" i="6"/>
  <c r="BD49" i="6"/>
  <c r="EU49" i="6" s="1"/>
  <c r="H481" i="15"/>
  <c r="H488" i="15"/>
  <c r="H516" i="15"/>
  <c r="BA15" i="6"/>
  <c r="BA29" i="6"/>
  <c r="BA50" i="6"/>
  <c r="BD45" i="6"/>
  <c r="H485" i="15" s="1"/>
  <c r="BA42" i="6"/>
  <c r="EO51" i="6"/>
  <c r="EP23" i="6"/>
  <c r="BE29" i="6"/>
  <c r="AS51" i="6"/>
  <c r="I61" i="6"/>
  <c r="M61" i="6"/>
  <c r="Q61" i="6"/>
  <c r="U61" i="6"/>
  <c r="Y61" i="6"/>
  <c r="AE61" i="6"/>
  <c r="AP61" i="6"/>
  <c r="AM12" i="6"/>
  <c r="AH21" i="6"/>
  <c r="AJ21" i="6"/>
  <c r="AF60" i="6"/>
  <c r="AS60" i="6"/>
  <c r="AS61" i="6"/>
  <c r="BA14" i="6"/>
  <c r="BA16" i="6" s="1"/>
  <c r="BA58" i="6"/>
  <c r="W61" i="6"/>
  <c r="BG61" i="6"/>
  <c r="AR61" i="6"/>
  <c r="BH61" i="6"/>
  <c r="BL61" i="6"/>
  <c r="BP61" i="6"/>
  <c r="CK61" i="6"/>
  <c r="CO61" i="6"/>
  <c r="CS61" i="6"/>
  <c r="CW61" i="6"/>
  <c r="DA61" i="6"/>
  <c r="DE61" i="6"/>
  <c r="DN61" i="6"/>
  <c r="BK61" i="6"/>
  <c r="BW61" i="6"/>
  <c r="CR61" i="6"/>
  <c r="CZ61" i="6"/>
  <c r="DH61" i="6"/>
  <c r="BM61" i="6"/>
  <c r="BU61" i="6"/>
  <c r="CD61" i="6"/>
  <c r="CM61" i="6"/>
  <c r="CQ61" i="6"/>
  <c r="CU61" i="6"/>
  <c r="CY61" i="6"/>
  <c r="DC61" i="6"/>
  <c r="DG61" i="6"/>
  <c r="BI61" i="6"/>
  <c r="CL61" i="6"/>
  <c r="CT61" i="6"/>
  <c r="DB61" i="6"/>
  <c r="AD61" i="6"/>
  <c r="BR61" i="6"/>
  <c r="BF61" i="6"/>
  <c r="AL28" i="6"/>
  <c r="BE28" i="6" s="1"/>
  <c r="DI61" i="6"/>
  <c r="BC29" i="6"/>
  <c r="AJ53" i="6"/>
  <c r="AL53" i="6" s="1"/>
  <c r="AH35" i="6"/>
  <c r="AJ35" i="6" s="1"/>
  <c r="AL35" i="6" s="1"/>
  <c r="H511" i="15"/>
  <c r="BC40" i="6"/>
  <c r="DK59" i="6"/>
  <c r="DK61" i="6" s="1"/>
  <c r="BE19" i="6"/>
  <c r="H525" i="15"/>
  <c r="BC12" i="6"/>
  <c r="BC19" i="6"/>
  <c r="BE57" i="6"/>
  <c r="AL33" i="6"/>
  <c r="BC33" i="6" s="1"/>
  <c r="H518" i="15"/>
  <c r="BD15" i="6"/>
  <c r="AF37" i="6"/>
  <c r="H483" i="15"/>
  <c r="EO43" i="6"/>
  <c r="DJ59" i="6"/>
  <c r="DJ61" i="6" s="1"/>
  <c r="E768" i="15"/>
  <c r="H490" i="15"/>
  <c r="BD36" i="6"/>
  <c r="BC28" i="6"/>
  <c r="BB30" i="6"/>
  <c r="E766" i="15"/>
  <c r="BA44" i="6"/>
  <c r="AO12" i="6"/>
  <c r="H520" i="15"/>
  <c r="H506" i="15"/>
  <c r="H492" i="15"/>
  <c r="BD51" i="6"/>
  <c r="E767" i="15"/>
  <c r="CH16" i="6"/>
  <c r="CF16" i="6"/>
  <c r="CC60" i="6"/>
  <c r="CC61" i="6" s="1"/>
  <c r="F832" i="15"/>
  <c r="F839" i="15"/>
  <c r="CH58" i="6"/>
  <c r="E845" i="15"/>
  <c r="E844" i="15"/>
  <c r="CE51" i="6"/>
  <c r="E843" i="15"/>
  <c r="E841" i="15"/>
  <c r="E840" i="15"/>
  <c r="E819" i="15"/>
  <c r="E812" i="15"/>
  <c r="E797" i="15"/>
  <c r="E811" i="15"/>
  <c r="E818" i="15"/>
  <c r="E790" i="15"/>
  <c r="E825" i="15"/>
  <c r="CF30" i="6"/>
  <c r="CF51" i="6"/>
  <c r="CF58" i="6"/>
  <c r="CI57" i="6"/>
  <c r="ET57" i="6" s="1"/>
  <c r="CF50" i="6"/>
  <c r="CF36" i="6"/>
  <c r="CI37" i="6"/>
  <c r="CE37" i="6"/>
  <c r="E799" i="15"/>
  <c r="E806" i="15"/>
  <c r="E792" i="15"/>
  <c r="E834" i="15"/>
  <c r="E813" i="15"/>
  <c r="CF23" i="6"/>
  <c r="E810" i="15"/>
  <c r="E824" i="15"/>
  <c r="E831" i="15"/>
  <c r="E803" i="15"/>
  <c r="CF44" i="6"/>
  <c r="CH15" i="6"/>
  <c r="E801" i="15"/>
  <c r="E836" i="15"/>
  <c r="E822" i="15"/>
  <c r="E815" i="15"/>
  <c r="E808" i="15"/>
  <c r="E829" i="15"/>
  <c r="H590" i="15"/>
  <c r="CI16" i="6"/>
  <c r="CI22" i="6"/>
  <c r="ET22" i="6" s="1"/>
  <c r="CE29" i="6"/>
  <c r="CH36" i="6"/>
  <c r="E837" i="15"/>
  <c r="E802" i="15"/>
  <c r="E830" i="15"/>
  <c r="E795" i="15"/>
  <c r="E823" i="15"/>
  <c r="E816" i="15"/>
  <c r="CE59" i="6"/>
  <c r="E832" i="15"/>
  <c r="BE11" i="6" l="1"/>
  <c r="BC11" i="6"/>
  <c r="BC26" i="6"/>
  <c r="BE26" i="6"/>
  <c r="BC47" i="6"/>
  <c r="BE47" i="6"/>
  <c r="AJ49" i="6"/>
  <c r="AL49" i="6" s="1"/>
  <c r="BC49" i="6"/>
  <c r="BD48" i="6" s="1"/>
  <c r="G48" i="6" s="1"/>
  <c r="AH30" i="6"/>
  <c r="AJ25" i="6"/>
  <c r="AH58" i="6"/>
  <c r="AJ56" i="6"/>
  <c r="BD30" i="6"/>
  <c r="BD60" i="6"/>
  <c r="BD61" i="6" s="1"/>
  <c r="BE54" i="6"/>
  <c r="BC54" i="6"/>
  <c r="G28" i="6"/>
  <c r="EV28" i="6" s="1"/>
  <c r="EU28" i="6"/>
  <c r="BC42" i="6"/>
  <c r="AL42" i="6"/>
  <c r="BE42" i="6" s="1"/>
  <c r="BB61" i="6"/>
  <c r="AL14" i="6"/>
  <c r="AJ60" i="6"/>
  <c r="AJ16" i="6"/>
  <c r="AJ39" i="6"/>
  <c r="AH44" i="6"/>
  <c r="BE53" i="6"/>
  <c r="H499" i="15"/>
  <c r="BE33" i="6"/>
  <c r="H489" i="15"/>
  <c r="BA30" i="6"/>
  <c r="BD29" i="6"/>
  <c r="BD43" i="6"/>
  <c r="CA61" i="6"/>
  <c r="AH32" i="6"/>
  <c r="EV27" i="6"/>
  <c r="EU27" i="6"/>
  <c r="EV34" i="6"/>
  <c r="EU34" i="6"/>
  <c r="EV24" i="6"/>
  <c r="EU24" i="6"/>
  <c r="EU52" i="6"/>
  <c r="ER23" i="6"/>
  <c r="ER16" i="6"/>
  <c r="ER30" i="6"/>
  <c r="AH60" i="6"/>
  <c r="H524" i="15"/>
  <c r="EU48" i="6"/>
  <c r="EV48" i="6"/>
  <c r="G17" i="6"/>
  <c r="G22" i="6" s="1"/>
  <c r="EV22" i="6" s="1"/>
  <c r="EU17" i="6"/>
  <c r="ET50" i="6"/>
  <c r="ES36" i="6"/>
  <c r="BC53" i="6"/>
  <c r="AQ12" i="6"/>
  <c r="AS12" i="6" s="1"/>
  <c r="AU12" i="6" s="1"/>
  <c r="AW12" i="6" s="1"/>
  <c r="AY12" i="6" s="1"/>
  <c r="BA12" i="6" s="1"/>
  <c r="H513" i="15"/>
  <c r="H510" i="15"/>
  <c r="AF59" i="6"/>
  <c r="AF61" i="6" s="1"/>
  <c r="EU36" i="6"/>
  <c r="H487" i="15"/>
  <c r="G31" i="6"/>
  <c r="G36" i="6" s="1"/>
  <c r="EV36" i="6" s="1"/>
  <c r="EU31" i="6"/>
  <c r="EU13" i="6"/>
  <c r="BD50" i="6"/>
  <c r="H527" i="15"/>
  <c r="BE21" i="6"/>
  <c r="BA59" i="6"/>
  <c r="BA61" i="6" s="1"/>
  <c r="AH16" i="6"/>
  <c r="EU19" i="6"/>
  <c r="EV19" i="6"/>
  <c r="AL21" i="6"/>
  <c r="BC21" i="6" s="1"/>
  <c r="H496" i="15"/>
  <c r="H482" i="15"/>
  <c r="EP38" i="6"/>
  <c r="EP43" i="6" s="1"/>
  <c r="ER22" i="6"/>
  <c r="ES37" i="6"/>
  <c r="AJ18" i="6"/>
  <c r="EV57" i="6"/>
  <c r="BX61" i="6"/>
  <c r="BE14" i="6"/>
  <c r="AH59" i="6"/>
  <c r="AH61" i="6" s="1"/>
  <c r="H517" i="15"/>
  <c r="AH46" i="6"/>
  <c r="ER43" i="6"/>
  <c r="ER57" i="6"/>
  <c r="EV12" i="6"/>
  <c r="H480" i="15"/>
  <c r="EV20" i="6"/>
  <c r="EU20" i="6"/>
  <c r="G45" i="6"/>
  <c r="G50" i="6" s="1"/>
  <c r="EV50" i="6" s="1"/>
  <c r="EU45" i="6"/>
  <c r="BY61" i="6"/>
  <c r="ER15" i="6"/>
  <c r="EV40" i="6"/>
  <c r="EU40" i="6"/>
  <c r="ET16" i="6"/>
  <c r="ES58" i="6"/>
  <c r="EU38" i="6"/>
  <c r="BZ61" i="6"/>
  <c r="H528" i="15"/>
  <c r="H521" i="15"/>
  <c r="H507" i="15"/>
  <c r="H500" i="15"/>
  <c r="H514" i="15"/>
  <c r="H493" i="15"/>
  <c r="EW13" i="5"/>
  <c r="I13" i="5"/>
  <c r="EX13" i="5" s="1"/>
  <c r="EX14" i="5"/>
  <c r="EW14" i="5"/>
  <c r="EW12" i="5"/>
  <c r="I12" i="5"/>
  <c r="EX12" i="5" s="1"/>
  <c r="CJ61" i="6"/>
  <c r="E833" i="15"/>
  <c r="E854" i="15"/>
  <c r="CH51" i="6"/>
  <c r="CE44" i="6"/>
  <c r="E851" i="15"/>
  <c r="CG16" i="6"/>
  <c r="ES16" i="6" s="1"/>
  <c r="E848" i="15"/>
  <c r="CG50" i="6"/>
  <c r="ES50" i="6" s="1"/>
  <c r="H578" i="15"/>
  <c r="CE36" i="6"/>
  <c r="H606" i="15"/>
  <c r="H585" i="15"/>
  <c r="CE30" i="6"/>
  <c r="CG51" i="6"/>
  <c r="ES51" i="6" s="1"/>
  <c r="CI51" i="6"/>
  <c r="CI60" i="6"/>
  <c r="CI23" i="6"/>
  <c r="F845" i="15"/>
  <c r="F841" i="15"/>
  <c r="CG30" i="6"/>
  <c r="ES30" i="6" s="1"/>
  <c r="F848" i="15"/>
  <c r="CB61" i="6"/>
  <c r="E847" i="15"/>
  <c r="E805" i="15"/>
  <c r="E798" i="15"/>
  <c r="CG29" i="6"/>
  <c r="ES29" i="6" s="1"/>
  <c r="CI29" i="6"/>
  <c r="CG22" i="6"/>
  <c r="EU22" i="6" s="1"/>
  <c r="CI15" i="6"/>
  <c r="ET15" i="6" s="1"/>
  <c r="CH37" i="6"/>
  <c r="ET37" i="6" s="1"/>
  <c r="CI36" i="6"/>
  <c r="ET36" i="6" s="1"/>
  <c r="H592" i="15"/>
  <c r="CF29" i="6"/>
  <c r="CF22" i="6"/>
  <c r="H574" i="15"/>
  <c r="H595" i="15"/>
  <c r="CF57" i="6"/>
  <c r="ES57" i="6" s="1"/>
  <c r="CE57" i="6"/>
  <c r="H581" i="15"/>
  <c r="H588" i="15"/>
  <c r="CH43" i="6"/>
  <c r="CI43" i="6"/>
  <c r="ET43" i="6" s="1"/>
  <c r="CF61" i="6"/>
  <c r="CH30" i="6"/>
  <c r="H569" i="15"/>
  <c r="H576" i="15"/>
  <c r="CE22" i="6"/>
  <c r="H583" i="15"/>
  <c r="CE23" i="6"/>
  <c r="CE61" i="6"/>
  <c r="CI44" i="6"/>
  <c r="ET44" i="6" s="1"/>
  <c r="CG15" i="6"/>
  <c r="ES15" i="6" s="1"/>
  <c r="CI58" i="6"/>
  <c r="ET58" i="6" s="1"/>
  <c r="CH29" i="6"/>
  <c r="CG43" i="6"/>
  <c r="ES43" i="6" s="1"/>
  <c r="F843" i="15"/>
  <c r="CG44" i="6"/>
  <c r="ES44" i="6" s="1"/>
  <c r="CG59" i="6"/>
  <c r="F836" i="15"/>
  <c r="CH23" i="6"/>
  <c r="CH59" i="6"/>
  <c r="CI59" i="6"/>
  <c r="CI30" i="6"/>
  <c r="ET30" i="6" s="1"/>
  <c r="CH60" i="6"/>
  <c r="H599" i="15"/>
  <c r="E791" i="15"/>
  <c r="H597" i="15"/>
  <c r="F844" i="15"/>
  <c r="H601" i="15"/>
  <c r="EU42" i="6" l="1"/>
  <c r="G42" i="6"/>
  <c r="EV42" i="6" s="1"/>
  <c r="BE25" i="6"/>
  <c r="ET29" i="6"/>
  <c r="EU57" i="6"/>
  <c r="EU21" i="6"/>
  <c r="G21" i="6"/>
  <c r="EV21" i="6" s="1"/>
  <c r="EU47" i="6"/>
  <c r="EV47" i="6"/>
  <c r="F771" i="15"/>
  <c r="F764" i="15"/>
  <c r="AJ30" i="6"/>
  <c r="AL25" i="6"/>
  <c r="AL30" i="6" s="1"/>
  <c r="EU14" i="6"/>
  <c r="G14" i="6"/>
  <c r="BC25" i="6"/>
  <c r="EV26" i="6"/>
  <c r="EU26" i="6"/>
  <c r="ET23" i="6"/>
  <c r="EV45" i="6"/>
  <c r="AH37" i="6"/>
  <c r="AJ32" i="6"/>
  <c r="EV33" i="6"/>
  <c r="EU33" i="6"/>
  <c r="AL18" i="6"/>
  <c r="AJ23" i="6"/>
  <c r="AJ44" i="6"/>
  <c r="AL39" i="6"/>
  <c r="AL44" i="6" s="1"/>
  <c r="EU15" i="6"/>
  <c r="AJ58" i="6"/>
  <c r="AL56" i="6"/>
  <c r="AL58" i="6" s="1"/>
  <c r="F758" i="15"/>
  <c r="F765" i="15"/>
  <c r="BC16" i="6"/>
  <c r="ET51" i="6"/>
  <c r="EU50" i="6"/>
  <c r="EU53" i="6"/>
  <c r="G53" i="6"/>
  <c r="EV53" i="6" s="1"/>
  <c r="F743" i="15"/>
  <c r="AL60" i="6"/>
  <c r="BB12" i="6"/>
  <c r="EU29" i="6"/>
  <c r="EV43" i="6"/>
  <c r="EV15" i="6"/>
  <c r="BD12" i="6"/>
  <c r="EU12" i="6" s="1"/>
  <c r="AL16" i="6"/>
  <c r="ES22" i="6"/>
  <c r="EV29" i="6"/>
  <c r="AH51" i="6"/>
  <c r="AJ46" i="6"/>
  <c r="AJ59" i="6" s="1"/>
  <c r="AJ61" i="6" s="1"/>
  <c r="EV31" i="6"/>
  <c r="EV17" i="6"/>
  <c r="BC14" i="6"/>
  <c r="EU43" i="6"/>
  <c r="EV54" i="6"/>
  <c r="EU54" i="6"/>
  <c r="G11" i="6"/>
  <c r="EV11" i="6" s="1"/>
  <c r="EU11" i="6"/>
  <c r="F737" i="15"/>
  <c r="BE16" i="6"/>
  <c r="EU16" i="6" s="1"/>
  <c r="CI61" i="6"/>
  <c r="CG23" i="6"/>
  <c r="ES23" i="6" s="1"/>
  <c r="F847" i="15"/>
  <c r="F840" i="15"/>
  <c r="F833" i="15"/>
  <c r="CG61" i="6"/>
  <c r="CH61" i="6"/>
  <c r="BE39" i="6" l="1"/>
  <c r="EU25" i="6"/>
  <c r="G25" i="6"/>
  <c r="G30" i="6" s="1"/>
  <c r="BE30" i="6"/>
  <c r="F739" i="15"/>
  <c r="BC60" i="6"/>
  <c r="EV14" i="6"/>
  <c r="BC39" i="6"/>
  <c r="BC56" i="6"/>
  <c r="BC58" i="6" s="1"/>
  <c r="AL23" i="6"/>
  <c r="AL59" i="6"/>
  <c r="AL61" i="6" s="1"/>
  <c r="G16" i="6"/>
  <c r="EV16" i="6" s="1"/>
  <c r="AJ51" i="6"/>
  <c r="AL46" i="6"/>
  <c r="AL51" i="6" s="1"/>
  <c r="BE46" i="6"/>
  <c r="BC30" i="6"/>
  <c r="F767" i="15"/>
  <c r="F760" i="15"/>
  <c r="BC46" i="6"/>
  <c r="BE56" i="6"/>
  <c r="BE18" i="6"/>
  <c r="AL32" i="6"/>
  <c r="AJ37" i="6"/>
  <c r="BC18" i="6"/>
  <c r="EU56" i="6" l="1"/>
  <c r="G56" i="6"/>
  <c r="EV56" i="6" s="1"/>
  <c r="BE60" i="6"/>
  <c r="BE58" i="6"/>
  <c r="EU58" i="6" s="1"/>
  <c r="F763" i="15"/>
  <c r="F770" i="15"/>
  <c r="BC51" i="6"/>
  <c r="EU18" i="6"/>
  <c r="EV18" i="6"/>
  <c r="G18" i="6"/>
  <c r="F738" i="15"/>
  <c r="BE23" i="6"/>
  <c r="BE59" i="6"/>
  <c r="BE61" i="6" s="1"/>
  <c r="BC23" i="6"/>
  <c r="F766" i="15"/>
  <c r="F759" i="15"/>
  <c r="BC59" i="6"/>
  <c r="BC61" i="6" s="1"/>
  <c r="G46" i="6"/>
  <c r="G51" i="6" s="1"/>
  <c r="EU46" i="6"/>
  <c r="EV46" i="6"/>
  <c r="BE51" i="6"/>
  <c r="F742" i="15"/>
  <c r="EV25" i="6"/>
  <c r="EV30" i="6"/>
  <c r="EU30" i="6"/>
  <c r="AL37" i="6"/>
  <c r="BE32" i="6"/>
  <c r="BC32" i="6"/>
  <c r="F762" i="15"/>
  <c r="F769" i="15"/>
  <c r="BC44" i="6"/>
  <c r="EU39" i="6"/>
  <c r="G39" i="6"/>
  <c r="G44" i="6" s="1"/>
  <c r="BE44" i="6"/>
  <c r="EU44" i="6" s="1"/>
  <c r="F741" i="15"/>
  <c r="EV51" i="6" l="1"/>
  <c r="EU51" i="6"/>
  <c r="F761" i="15"/>
  <c r="F768" i="15"/>
  <c r="BC37" i="6"/>
  <c r="EU23" i="6"/>
  <c r="G32" i="6"/>
  <c r="G37" i="6" s="1"/>
  <c r="EV37" i="6" s="1"/>
  <c r="EU32" i="6"/>
  <c r="BE37" i="6"/>
  <c r="EU37" i="6" s="1"/>
  <c r="F740" i="15"/>
  <c r="EV44" i="6"/>
  <c r="G23" i="6"/>
  <c r="EV23" i="6" s="1"/>
  <c r="G59" i="6"/>
  <c r="G60" i="6"/>
  <c r="G58" i="6"/>
  <c r="EV58" i="6" s="1"/>
  <c r="EV39" i="6"/>
  <c r="G61" i="6" l="1"/>
  <c r="EV3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9BA84009-2AF8-471B-8152-FCEA91419BC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FE416A93-8C66-4B1D-917E-FD9047437956}">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EB1B44E1-ECB9-417B-AD46-C07A79F39EB1}">
      <text>
        <r>
          <rPr>
            <b/>
            <sz val="9"/>
            <color indexed="81"/>
            <rFont val="Tahoma"/>
            <family val="2"/>
          </rPr>
          <t>YULIED.PENARANDA:</t>
        </r>
        <r>
          <rPr>
            <sz val="9"/>
            <color indexed="81"/>
            <rFont val="Tahoma"/>
            <family val="2"/>
          </rPr>
          <t xml:space="preserve">
Relacionar el período del reporte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F6733FA-73A2-724B-ABFC-67B9C3104201}">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B68C00BB-084D-9443-B13E-B491F0778A07}">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75" authorId="0" shapeId="0" xr:uid="{F6E9F0F5-A5D7-A24D-A3F3-1C85B8959411}">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76" authorId="0" shapeId="0" xr:uid="{53217967-004A-F14F-93BB-4C9B3F122A32}">
      <text>
        <r>
          <rPr>
            <b/>
            <sz val="9"/>
            <color indexed="81"/>
            <rFont val="Tahoma"/>
            <family val="2"/>
          </rPr>
          <t>YULIED.PENARANDA:</t>
        </r>
        <r>
          <rPr>
            <sz val="9"/>
            <color indexed="81"/>
            <rFont val="Tahoma"/>
            <family val="2"/>
          </rPr>
          <t xml:space="preserve">
Vigencia a reportar</t>
        </r>
      </text>
    </comment>
    <comment ref="C376" authorId="0" shapeId="0" xr:uid="{2166896D-87B3-8940-9FB5-DD5C59AD4817}">
      <text>
        <r>
          <rPr>
            <b/>
            <sz val="9"/>
            <color indexed="81"/>
            <rFont val="Tahoma"/>
            <family val="2"/>
          </rPr>
          <t>YULIED.PENARANDA:</t>
        </r>
        <r>
          <rPr>
            <sz val="9"/>
            <color indexed="81"/>
            <rFont val="Tahoma"/>
            <family val="2"/>
          </rPr>
          <t xml:space="preserve">
Apropiación inicial acorde con la herramienta oficial de la SDH</t>
        </r>
      </text>
    </comment>
    <comment ref="D376" authorId="0" shapeId="0" xr:uid="{A9D5F9DD-5BB0-E941-B7B7-E79370B7330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76" authorId="0" shapeId="0" xr:uid="{4CE2202D-DBF1-D540-8A32-2E88EB5EDBE7}">
      <text>
        <r>
          <rPr>
            <b/>
            <sz val="9"/>
            <color indexed="81"/>
            <rFont val="Tahoma"/>
            <family val="2"/>
          </rPr>
          <t>YULIED.PENARANDA:</t>
        </r>
        <r>
          <rPr>
            <sz val="9"/>
            <color indexed="81"/>
            <rFont val="Tahoma"/>
            <family val="2"/>
          </rPr>
          <t xml:space="preserve">
Valores contenidos en los Registros Presupuestales de Compromisos</t>
        </r>
      </text>
    </comment>
    <comment ref="F376" authorId="0" shapeId="0" xr:uid="{28FA0219-1A6D-0E4E-A0BE-07230385774B}">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76" authorId="0" shapeId="0" xr:uid="{8C0FAE34-47D3-3649-AFEC-2C527F3CC426}">
      <text>
        <r>
          <rPr>
            <b/>
            <sz val="9"/>
            <color indexed="81"/>
            <rFont val="Tahoma"/>
            <family val="2"/>
          </rPr>
          <t>YULIED.PENARANDA:</t>
        </r>
        <r>
          <rPr>
            <sz val="9"/>
            <color indexed="81"/>
            <rFont val="Tahoma"/>
            <family val="2"/>
          </rPr>
          <t xml:space="preserve">
Extinción de la obligación a cargo de la SDA.</t>
        </r>
      </text>
    </comment>
    <comment ref="A390" authorId="0" shapeId="0" xr:uid="{B15E405F-EF2D-ED4E-903F-B90C4B354D2E}">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91" authorId="0" shapeId="0" xr:uid="{B921F9F9-13B0-9E48-BAEF-C9DF2DD3F5CD}">
      <text>
        <r>
          <rPr>
            <b/>
            <sz val="9"/>
            <color indexed="81"/>
            <rFont val="Tahoma"/>
            <family val="2"/>
          </rPr>
          <t>YULIED.PENARANDA:</t>
        </r>
        <r>
          <rPr>
            <sz val="9"/>
            <color indexed="81"/>
            <rFont val="Tahoma"/>
            <family val="2"/>
          </rPr>
          <t xml:space="preserve">
Vigencia a reportar</t>
        </r>
      </text>
    </comment>
    <comment ref="C391" authorId="0" shapeId="0" xr:uid="{5C5EF798-3AC3-D640-9342-041142A5F563}">
      <text>
        <r>
          <rPr>
            <b/>
            <sz val="9"/>
            <color indexed="81"/>
            <rFont val="Tahoma"/>
            <family val="2"/>
          </rPr>
          <t>YULIED.PENARANDA:</t>
        </r>
        <r>
          <rPr>
            <sz val="9"/>
            <color indexed="81"/>
            <rFont val="Tahoma"/>
            <family val="2"/>
          </rPr>
          <t xml:space="preserve">
Apropiación inicial acorde con la herramienta oficial de la SDH</t>
        </r>
      </text>
    </comment>
    <comment ref="D391" authorId="0" shapeId="0" xr:uid="{2422C830-AE6C-664D-BB40-61045224E98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91" authorId="0" shapeId="0" xr:uid="{36D48BC0-2852-FB47-9C9F-DE531BAE1881}">
      <text>
        <r>
          <rPr>
            <b/>
            <sz val="9"/>
            <color indexed="81"/>
            <rFont val="Tahoma"/>
            <family val="2"/>
          </rPr>
          <t>YULIED.PENARANDA:</t>
        </r>
        <r>
          <rPr>
            <sz val="9"/>
            <color indexed="81"/>
            <rFont val="Tahoma"/>
            <family val="2"/>
          </rPr>
          <t xml:space="preserve">
Valores contenidos en los Registros Presupuestales de Compromisos</t>
        </r>
      </text>
    </comment>
    <comment ref="F391" authorId="0" shapeId="0" xr:uid="{2DE99689-B01D-6942-9B72-D0E811D4F20D}">
      <text>
        <r>
          <rPr>
            <b/>
            <sz val="9"/>
            <color indexed="81"/>
            <rFont val="Tahoma"/>
            <family val="2"/>
          </rPr>
          <t>YULIED.PENARANDA:</t>
        </r>
        <r>
          <rPr>
            <sz val="9"/>
            <color indexed="81"/>
            <rFont val="Tahoma"/>
            <family val="2"/>
          </rPr>
          <t xml:space="preserve">
Corresponde al pago </t>
        </r>
      </text>
    </comment>
    <comment ref="G391" authorId="0" shapeId="0" xr:uid="{1F11D9A1-EC93-B04A-8A44-50568845C628}">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<sst xmlns="http://schemas.openxmlformats.org/spreadsheetml/2006/main" count="4054" uniqueCount="712">
  <si>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</si>
  <si>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</si>
  <si>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</si>
  <si>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</si>
  <si>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</si>
  <si>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</si>
  <si>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</si>
  <si>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</si>
  <si>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</si>
  <si>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</si>
  <si>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</si>
  <si>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</si>
  <si>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</si>
  <si>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</si>
  <si>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</si>
  <si>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</si>
  <si>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</si>
  <si>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</si>
  <si>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</si>
  <si>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</si>
  <si>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</si>
  <si>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</si>
  <si>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</si>
  <si>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</si>
  <si>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</si>
  <si>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</si>
  <si>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</si>
  <si>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</si>
  <si>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</si>
  <si>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</si>
  <si>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</si>
  <si>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</si>
  <si>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</si>
  <si>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</si>
  <si>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</si>
  <si>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</si>
  <si>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</si>
  <si>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</si>
  <si>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</si>
  <si>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</si>
  <si>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</si>
  <si>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</si>
  <si>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</si>
  <si>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</si>
  <si>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</si>
  <si>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</si>
  <si>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</si>
  <si>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</si>
  <si>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</si>
  <si>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</si>
  <si>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</si>
  <si>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</si>
  <si>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</si>
  <si>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</si>
  <si>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</si>
  <si>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</si>
  <si>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</si>
  <si>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</si>
  <si>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</si>
  <si>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</si>
  <si>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</si>
  <si>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</si>
  <si>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</si>
  <si>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</si>
  <si>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</si>
  <si>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</si>
  <si>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</si>
  <si>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</si>
  <si>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</si>
  <si>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</si>
  <si>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</si>
  <si>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</si>
  <si>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</si>
  <si>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</si>
  <si>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</si>
  <si>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</si>
  <si>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</si>
  <si>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</si>
  <si>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</si>
  <si>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</si>
  <si>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</si>
  <si>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</si>
  <si>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</si>
  <si>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</si>
  <si>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</si>
  <si>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</si>
  <si>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</si>
  <si>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</si>
  <si>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</si>
  <si>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</si>
  <si>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</si>
  <si>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</si>
  <si>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</si>
  <si>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</si>
  <si>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</si>
  <si>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</si>
  <si>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</si>
  <si>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</si>
  <si>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</si>
  <si>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</si>
  <si>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</si>
  <si>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</si>
  <si>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</si>
  <si>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</si>
  <si>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</si>
  <si>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</si>
  <si>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</si>
  <si>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</si>
  <si>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</si>
  <si>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</si>
  <si>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</si>
  <si>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</si>
  <si>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</si>
  <si>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</si>
  <si>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</si>
  <si>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</si>
  <si>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</si>
  <si>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</si>
  <si>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</si>
  <si>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</si>
  <si>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</si>
  <si>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</si>
  <si>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</si>
  <si>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</si>
  <si>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</si>
  <si>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</si>
  <si>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</si>
  <si>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</si>
  <si>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</si>
  <si>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</si>
  <si>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</si>
  <si>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</si>
  <si>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</si>
  <si>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</si>
  <si>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</si>
  <si>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</si>
  <si>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</si>
  <si>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</si>
  <si>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</si>
  <si>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</si>
  <si>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</si>
  <si>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</si>
  <si>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</si>
  <si>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</si>
  <si>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</si>
  <si>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</si>
  <si>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</si>
  <si>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</si>
  <si>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</si>
  <si>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</si>
  <si>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</si>
  <si>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</si>
  <si>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</si>
  <si>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</si>
  <si>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</si>
  <si>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</si>
  <si>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</si>
  <si>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</si>
  <si>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</si>
  <si>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</si>
  <si>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</si>
  <si>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</si>
  <si>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</si>
  <si>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</si>
  <si>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</si>
  <si>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</si>
  <si>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</si>
  <si>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</si>
  <si>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</si>
  <si>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</si>
  <si>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</si>
  <si>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</si>
  <si>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</si>
  <si>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</si>
  <si>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</si>
  <si>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</si>
  <si>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</si>
  <si>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</si>
  <si>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</si>
  <si>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</si>
  <si>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</si>
  <si>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</si>
  <si>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</si>
  <si>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</si>
  <si>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</si>
  <si>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</si>
  <si>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</si>
  <si>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</si>
  <si>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</si>
  <si>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</si>
  <si>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</si>
  <si>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</si>
  <si>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</si>
  <si>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</si>
  <si>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</si>
  <si>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</si>
  <si>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</si>
  <si>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</si>
  <si>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</si>
  <si>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</si>
  <si>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</si>
  <si>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</si>
  <si>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</si>
  <si>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</si>
  <si>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</si>
  <si>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</si>
  <si>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</si>
  <si>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</si>
  <si>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</si>
  <si>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</si>
  <si>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</si>
  <si>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</si>
  <si>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</si>
  <si>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</si>
  <si>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</si>
  <si>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</si>
  <si>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</si>
  <si>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</si>
  <si>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</si>
  <si>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</si>
  <si>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</si>
  <si>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</si>
  <si>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</si>
  <si>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</si>
  <si>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</si>
  <si>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</si>
  <si>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</si>
  <si>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</si>
  <si>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</si>
  <si>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</si>
  <si>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</si>
  <si>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</si>
  <si>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</si>
  <si>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</si>
  <si>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</si>
  <si>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</si>
  <si>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</si>
  <si>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</si>
  <si>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</si>
  <si>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</si>
  <si>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</si>
  <si>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</si>
  <si>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</si>
  <si>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</si>
  <si>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</si>
  <si>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</si>
  <si>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</si>
  <si>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</si>
  <si>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</si>
  <si>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</si>
  <si>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</si>
  <si>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</si>
  <si>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</si>
  <si>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</si>
  <si>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</si>
  <si>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</si>
  <si>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</si>
  <si>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</si>
  <si>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</si>
  <si>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</si>
  <si>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</si>
  <si>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</si>
  <si>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</si>
  <si>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</si>
  <si>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</si>
  <si>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</si>
  <si>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</si>
  <si>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</si>
  <si>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</si>
  <si>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</si>
  <si>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</si>
  <si>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</si>
  <si>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</si>
  <si>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</si>
  <si>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</si>
  <si>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</si>
  <si>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</si>
  <si>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</si>
  <si>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</si>
  <si>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</si>
  <si>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</si>
  <si>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</si>
  <si>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</si>
  <si>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</si>
  <si>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</si>
  <si>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</si>
  <si>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</si>
  <si>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</si>
  <si>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</si>
  <si>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</si>
  <si>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</si>
  <si>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</si>
  <si>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</si>
  <si>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</si>
  <si>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</si>
  <si>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</si>
  <si>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</si>
  <si>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</si>
  <si>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</si>
  <si>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</si>
  <si>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</si>
  <si>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</si>
  <si>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</si>
  <si>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</si>
  <si>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</si>
  <si>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</si>
  <si>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</si>
  <si>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</si>
  <si>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</si>
  <si>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</si>
  <si>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</si>
  <si>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</si>
  <si>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</si>
  <si>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</si>
  <si>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</si>
  <si>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</si>
  <si>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</si>
  <si>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</si>
  <si>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</si>
  <si>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</si>
  <si>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</si>
  <si>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</si>
  <si>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</si>
  <si>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</si>
  <si>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Todas las Localidades (19).</t>
  </si>
  <si>
    <t>N.A</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</si>
  <si>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</si>
  <si>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</si>
  <si>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</si>
  <si>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</si>
  <si>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</si>
  <si>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</si>
  <si>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</si>
  <si>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</si>
  <si>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</si>
  <si>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</si>
  <si>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</si>
  <si>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</si>
  <si>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</si>
  <si>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Realizar 8 informes de acciones de evaluación, control y seguimiento a fuentes fijas y fuentes móviles incluidos centros de diagnóstico automotor que operan en el distrito capital.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</si>
  <si>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</si>
  <si>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</si>
  <si>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</si>
  <si>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</si>
  <si>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</si>
  <si>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</si>
  <si>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</si>
  <si>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</si>
  <si>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</si>
  <si>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</si>
  <si>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</si>
  <si>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</si>
  <si>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</si>
  <si>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</si>
  <si>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</si>
  <si>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</si>
  <si>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</si>
  <si>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</si>
  <si>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</si>
  <si>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</si>
  <si>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</si>
  <si>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</si>
  <si>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</si>
  <si>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</si>
  <si>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</si>
  <si>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</si>
  <si>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</si>
  <si>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</si>
  <si>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</si>
  <si>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</si>
  <si>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</si>
  <si>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</si>
  <si>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</si>
  <si>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</si>
  <si>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</si>
  <si>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</si>
  <si>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</si>
  <si>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</si>
  <si>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</si>
  <si>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</si>
  <si>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</si>
  <si>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</si>
  <si>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</si>
  <si>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</si>
  <si>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</si>
  <si>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</si>
  <si>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</si>
  <si>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</si>
  <si>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</si>
  <si>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</si>
  <si>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</si>
  <si>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</si>
  <si>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</si>
  <si>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</si>
  <si>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</si>
  <si>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</si>
  <si>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</si>
  <si>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</si>
  <si>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</si>
  <si>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</si>
  <si>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</si>
  <si>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</si>
  <si>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</si>
  <si>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</si>
  <si>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</si>
  <si>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</si>
  <si>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</si>
  <si>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</si>
  <si>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</si>
  <si>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</si>
  <si>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</si>
  <si>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</si>
  <si>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</si>
  <si>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</si>
  <si>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</si>
  <si>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</si>
  <si>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</si>
  <si>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</si>
  <si>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</si>
  <si>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</si>
  <si>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</si>
  <si>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</si>
  <si>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</si>
  <si>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</si>
  <si>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</si>
  <si>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</si>
  <si>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</si>
  <si>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</si>
  <si>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</si>
  <si>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</si>
  <si>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</si>
  <si>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</si>
  <si>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</si>
  <si>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</si>
  <si>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</si>
  <si>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</si>
  <si>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</si>
  <si>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</si>
  <si>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</si>
  <si>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</si>
  <si>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</si>
  <si>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</si>
  <si>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</si>
  <si>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</si>
  <si>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</si>
  <si>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</si>
  <si>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</si>
  <si>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</si>
  <si>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</si>
  <si>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</si>
  <si>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</si>
  <si>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</si>
  <si>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</si>
  <si>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</si>
  <si>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</si>
  <si>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</si>
  <si>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</si>
  <si>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</si>
  <si>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</si>
  <si>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</si>
  <si>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</si>
  <si>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</si>
  <si>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</si>
  <si>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</si>
  <si>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</si>
  <si>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</si>
  <si>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</si>
  <si>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</si>
  <si>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</si>
  <si>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</si>
  <si>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Mapas de Plan Aire ( Anexo SHAPE FILE)</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</si>
  <si>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</si>
  <si>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</si>
  <si>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</si>
  <si>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</si>
  <si>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</si>
  <si>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</si>
  <si>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</si>
  <si>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</si>
  <si>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</si>
  <si>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</si>
  <si>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</si>
  <si>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</si>
  <si>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</si>
  <si>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</si>
  <si>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</si>
  <si>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</si>
  <si>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</si>
  <si>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</si>
  <si>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</si>
  <si>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</si>
  <si>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</si>
  <si>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</si>
  <si>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</si>
  <si>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</si>
  <si>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</si>
  <si>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</si>
  <si>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</si>
  <si>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</si>
  <si>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</si>
  <si>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</si>
  <si>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</si>
  <si>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</si>
  <si>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</si>
  <si>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</si>
  <si>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</si>
  <si>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</si>
  <si>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</si>
  <si>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</si>
  <si>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</si>
  <si>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EJECUTADO ACUMULADO  SEGPLAN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</si>
  <si>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</si>
  <si>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</si>
  <si>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</si>
  <si>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</si>
  <si>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</si>
  <si>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</si>
  <si>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</si>
  <si>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</si>
  <si>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</si>
  <si>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</si>
  <si>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</si>
  <si>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</si>
  <si>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</si>
  <si>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</si>
  <si>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</si>
  <si>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Reporte de mantenimientos preventivos y correctivos: Software Gestor RMCAB http://201.245.192.252:82
Informes de calidad del aire de Bogotá: http://rmcab.ambientebogota.gov.co
Validación y análisis: Software ENVISTA RMCAB
Otros documentos: Servidor SDA - Carpeta RMCAB.</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</si>
  <si>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</si>
  <si>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</si>
  <si>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</si>
  <si>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</si>
  <si>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</si>
  <si>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</si>
  <si>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</si>
  <si>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</si>
  <si>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En la vigencia 2022, se presenta un avance en el desarrollo de 11 actuaciones técnicas correspondiente a:
El avance 2022 es: 7 visitas y 4 actuaciones de otros documentos técnicos
Total, Actuaciones acumuladas en el PDD 1.399 actuaciones.</t>
  </si>
  <si>
    <t>La evidencia esta cargada en el servidor de la SCAAV. ISOLUCION - Sistema de Información Ambiental de la Entidad FOREST.</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</si>
  <si>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</si>
  <si>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</si>
  <si>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&lt;</t>
  </si>
  <si>
    <t>1, 5. PROGRAMACIÓN INICIAL AÑO 2022</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</si>
  <si>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</si>
  <si>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</si>
  <si>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</si>
  <si>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</si>
  <si>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</si>
  <si>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</si>
  <si>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5, PONDERACIÓN HORIZONTAL AÑO: 2022</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</si>
  <si>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</si>
  <si>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</si>
  <si>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</si>
  <si>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</si>
  <si>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</si>
  <si>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</si>
  <si>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</si>
  <si>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</si>
  <si>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</si>
  <si>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</si>
  <si>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</si>
  <si>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</si>
  <si>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</si>
  <si>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</si>
  <si>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</si>
  <si>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</si>
  <si>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</si>
  <si>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</si>
  <si>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</si>
  <si>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</si>
  <si>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</si>
  <si>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</si>
  <si>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</si>
  <si>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</si>
  <si>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</si>
  <si>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</si>
  <si>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</si>
  <si>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</si>
  <si>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</si>
  <si>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</si>
  <si>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</si>
  <si>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</si>
  <si>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</si>
  <si>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</si>
  <si>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</si>
  <si>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</si>
  <si>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</si>
  <si>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</si>
  <si>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</si>
  <si>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</si>
  <si>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</si>
  <si>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</si>
  <si>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</si>
  <si>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</si>
  <si>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</si>
  <si>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</si>
  <si>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</si>
  <si>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</si>
  <si>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</si>
  <si>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</si>
  <si>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</si>
  <si>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</si>
  <si>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</si>
  <si>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</si>
  <si>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</si>
  <si>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</si>
  <si>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</si>
  <si>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</si>
  <si>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</si>
  <si>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</si>
  <si>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</si>
  <si>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Durante el mes de Octubre, se realizaron ciento tres (103) acciones en cumplimiento de la meta:
- Diez (10) operativos de control a las zonas de Resto del Distrito
- Once (11) visitas de evaluación a elementos mayores.
- Seis (6) documentos técnicos firmados para el resto del Distrito.
- Un (01) cargue de información a la plataforma SIIPEV.
- Setenta y cinco (75) evaluaciones a solicitudes de elementos de publicidad exterior visual.
Para la vigencia del Proyecto de Inversión del año 2022 se han realizado novecientos ochenta y cinco (985) acciones de evaluación, control y seguimiento:
- Cuarenta y nueve (49) operativos de control a zonas de Resto del Distrito.
- Ciento setenta y ocho (178) visitas de evaluación a elementos mayores.
- Setenta y siete (77) documentos técnicos firmados para el resto del Distrito.
- Nueve (09) cargues de información a la plataforma SIIPEV.
- Seiscientos setenta y dos (672) evaluaciones a solicitudes de elementos de publicidad exterior visual.
Lo anterior, dando un avance para el cuatrienio de 7.227 acciones de evaluación, control y seguimiento: 163 operativos de control y seguimiento, 428 visitas de evaluación a elementos mayores, 284 documentos técnicos, 54 visitas a elementos menores, 22 cargues de información a la plataforma SIIPEV, 6.276 evaluaciones a solicitudes de elementos de publicidad exterior visual.</t>
  </si>
  <si>
    <t>Total, vigencia 2022; 1203 acciones, 86,7% de lo planeado año y 55,1% del PDD.
o	I trimestre: 28 con medición, 12 sin medición, 39 cerrar el caso y 117 reprogramar. Otras acciones 9 informes acciones populares AP, 4 estudio de ruido, 10 mesas de trabajo, 3 socializaciones y 27 SUGA.
o	II trimestre: 23 con medición, 191 sin medición (141, sensibilizaciones, actos administrativos y 50 cerrar el caso) y 169 reprogramar. Otras acciones 15 informes AP, 4 socializaciones, 7 estudios de ruido, 16 mesas de trabajo, 11 SUGA.
o	III trimestre: 17 con medición, 160 sin medición (93 sensibilizaciones, actos administrativos y 67 cierre de caso) y 165 para reprogramar. Otras acciones 15 informes AP, 5 socializaciones, 8 estudios de ruido, 12 mesas de trabajo, 15 SUGA.
o	Octubre: 2 con medición 47 sin medición (33 sensibilizaciones, actos administrativos y 14 cerrar el caso) y 52 no efectivas para reprogramar. Otras acciones 5 informes AP, 1 presentaciones, 3 estudios de ruido, 4 mesas de trabajo y 7 oficios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</si>
  <si>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t>
  </si>
  <si>
    <t>Se realizaron mantenimientos preventivos y correctivos, validación y análisis de datos y publicación de informes periódicos.
Para el mes de Octubre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Octubre se completó el análisis de datos y la redacción del  informe mensual, completando su elaboración y posterior publicación.</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</si>
  <si>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</si>
  <si>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La Secretaría Distrital de Ambiente del 01 de enero al 31 de octubre de 2022 atendió el 92,85%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1498
No de Conceptos Técnicos acogidos jurídicamente mediante acto administrativo: 1391
Avance total corte 31 de octubre de 2022 (Vigencia): 92,85%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</si>
  <si>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Formular 30 documentos técnicos de formulación, seguimiento o evaluación de la gestión integral de la calidad del aire de Bogotá</t>
  </si>
  <si>
    <t>En la vigencia del Año 2022; 1340 acciones 92,3% planeado y 58,0% del PDD.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Octubre: 2 con medición 47 sin medición (33 sensibilizaciones, sancionatorio, 14 cerrar caso), 52 reprogramar. Otras acciones 5 AP, 1 presentaciones, 3 ER, 4 mesa de trabajo, 7 SUGA
Noviembre: 5 con medición, 56 sin medición (39 sensibilizaciones, sancionatorio, 17 cerrar caso) y 56 reprogramar. Otras acciones 6 AP, 1 presentación, 5 mesa de trabajo, 8 SUGA.</t>
  </si>
  <si>
    <t>Durante el mes de Noviembre, se realizaron noventa y cuatro (94) acciones en cumplimiento de la meta:
- Cuatro (04) operativos de control a las zonas de Resto del Distrito
- Trece (13) visitas de evaluación a elementos mayores.
- Once (11) documentos técnicos firmados para el resto del Distrito.
- Un (01) cargue de información a la plataforma SIIPEV.
- Sesenta y cinco (65) evaluaciones a solicitudes de elementos de publicidad exterior visual.
Para la vigencia del Proyecto de Inversión del año 2022 se han realizado un mil setenta y nueve (1.079) acciones de evaluación, control y seguimiento:
- Cincuenta y tres (53) operativos de control a zonas de Resto del Distrito.
- Ciento noventa y uno (191) visitas de evaluación a elementos mayores.
- Ochenta y ocho (88) documentos técnicos firmados para el resto del Distrito.
- Diez (10) cargues de información a la plataforma SIIPEV.
- Setecientos treinta y siete (737) evaluaciones a solicitudes de elementos de publicidad exterior visual.
Lo anterior, dando un avance para el cuatrienio de 7.321 acciones de evaluación, control y seguimiento: 167 operativos de control y seguimiento, 441 visitas de evaluación a elementos mayores, 295 documentos técnicos, 54 visitas a elementos menores, 23 cargues de información a la plataforma SIIPEV, 6.341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</si>
  <si>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el desmonte de 20 estaciones de monitoreo de ruido ambiental ubicadas en los CAI de la ciudad con el objetivo de salvaguarda su integridad física, se genera informe de los indicadores relacionados con el día sin carro y moto en la ciudad de Bogotá.</t>
  </si>
  <si>
    <t>La Secretaría Distrital de Ambiente del 01 de enero al 30 de noviembre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1.593
No de Conceptos Técnicos acogidos jurídicamente mediante acto administrativo: 1.593
Avance total corte 30 de noviembre de 2022 (Vigencia): 100%  
Acorde con la programación establecida, durante el mes de enero a noviembre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</si>
  <si>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 xml:space="preserve">Sistema de Información Ambiental FOREST 
Archivos de la Dirección de Control Ambiental.
</t>
  </si>
  <si>
    <t>Se realizaron mantenimientos preventivos y correctivos, validación y análisis de datos y publicación de informes periódicos.
Para el mes de Noviembre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Para el mes de Noviembre se completó el análisis de datos y la redacción del  informe mensual, completando su elaboración y posterior publicación.</t>
  </si>
  <si>
    <t xml:space="preserve">Formular 30 documentos técnicos de formulación, seguimiento o evaluación de la gestión integral de la calidad del aire de Bogotá
</t>
  </si>
  <si>
    <t>En el marco de la gestión integral de la calidad del aire de Bogotá, para el año 2022 se contempla la entrega de siete (7)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 ha venido trabajando en el desarrollo de los cuatro (4)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Un (01) documento del análisis de las acciones resultado del impacto del mantenimiento de la malla vial en la Calidad del Aire.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avanzando en las gráficas de incendios para los contaminantes de SO2, CO y NOx, teniendo el impacto por departamentos de las emisiones provenientes de incendios que inciden en la calidad del aire.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</si>
  <si>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Noviembre del año en curso, el acumulado es de 1,85 de avance en la ejecución de la meta.</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</si>
  <si>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Diciembre del año en curso, el acumulado es de 2 (100%) de avance en la ejecución de la meta.  con un total de 841 actuaciones técnicas entre conceptos, informes técnicos y oficios producto de 629 vistas técnicas en atención a  1471 solicitudes.</t>
  </si>
  <si>
    <t>Durante el Primer Semestre de 2022 se realizó intervención mediante la generación de actuaciones técnicas, producto de 630 visitas de Inspección, Vigilancia, Control y Operativos en Bogotá, dada la declaratoria de Alerta Fase 1 de la Res. 00135 de 2022, así como, en el ejercicio misional propio de la Entidad a las fuentes fijas de emisión.; atendiendo tramites de la siguiente manera 478 DP, 116PQR, 34 IAS y 1009 radicados para un total de 1637 solicitudes, generando un total de 859 actuaciones técnicas.
Durante el segundo Semestre de 2022 se realizó intervención mediante la generación de actuaciones técnicas, producto de 629   producto del ejercicio misional propio de la Entidad a las fuentes fijas de emisión.; atendiendo tramites de la siguiente manera 478 DP, 116PQR, 34 IAS y 1009 radicados para un total de 1637 solicitudes, generando un total de 841 actuaciones técnicas.
En el mes de Diciembre de 2022 se atendieron procesos de la siguiente manera 35 DP, 14 PQR, y 95 radicados para un total de 144 solicitudes, generando un total de 48 actuaciones técnicas (conceptos técnicos e informes).</t>
  </si>
  <si>
    <t>Durante el Primer Semestre de 2022 se realizó intervención mediante la generación de actuaciones técnicas, producto de 630 visitas de Inspección, Vigilancia, Control y Operativos en el ejercicio misional propio de la Entidad a las fuentes fijas de emisión.; atendiendo tramites de la siguiente manera 478 DP, 116PQR, 34 IAS y 1009 radicados para un total de 1637 solicitudes.
Diciembre: Con el fin de construir el informe correspondiente al segundo semestre de 2022, se realizó intervención mediante la generación de actuaciones técnicas, producto de 87 visitas de Inspección, Vigilancia y Control en el ejercicio misional propio de la Entidad a las fuentes fijas de emisión. Por otro lado, se atendieron procesos de la siguiente manera 35 DP, 14 PQR, y 95 radicados para un total de 144 solicitudes, generando un total de 48 actuaciones técnicas (conceptos técnicos e informes.</t>
  </si>
  <si>
    <t>I trimestre, planeadas 192, ejecutadas 196: 4 enero, 106 febrero y 86 marzo, así:  28 efectiva medición, 12 efectivas sin medición relacionadas con, sensibilizaciones, a actos administrativos, 39 efectivas para cerrar el caso y 117 reprogramar
II trimestre, planeadas 330, ejecutadas 383:  95 abril, 175 mayo y 113 junio. así: 23 efectiva medición, 191 efectivas sin medición relacionadas con, sensibilizaciones, a actos administrativos y cerrar el caso, 169 reprogramar
III trimestre, planeadas 330, ejecutadas 342: 120 julio, 100 agosto, 122 septiembre. así: 17 efectiva medición, 160 efectivas sin medición (93 sensibilizaciones, actos administrativos y 67 cerrar el caso) y 165 reprogramar
IV trimestre, planeadas 220, ejecutadas 281: 101 octubre, 117 noviembre, 63 diciembre así: 12 efectiva medición, 129 efectivas sin medición (80 sensibilizaciones, actos administrativos y 49 cerrar el caso) y 140 reprogramar
Consolidado año 1072 planeadas, 1202 ejecutadas.</t>
  </si>
  <si>
    <t>I trimestre: planeadas 40 otras acciones y ejecutado fue 53.de los cuales, 9 informes de acciones populares, 4 estudios de ruido, 10 reuniones o mesas de trabajo, 3 presentaciones o socializaciones y 27 oficios SUGA.
II trimestre: planeados 60 otras acciones y ejecutadas 53 de las cuales 15 informes de acciones populares, 4 presentaciones o socializaciones, 7 estudios de ruido, 16 reuniones o mesas de trabajo y 11 oficios SUGA.
III trimestre: planeadas 60 otras acciones de gestión y ejecutadas 55, de las cuales 15 informes de acciones populares, 5 presentaciones, 8 estudios de ruido, 12 reuniones o mesas de trabajo y 15 oficios SUGA.
IV trimestre: planeadas 40 otras acciones de gestión y ejecutadas 55 de las cuales 17 informes de acciones populares, 3 presentaciones, 3 estudios de ruido, 17 mesas de trabajo, 15 oficios SUGA
Consolidado año 200 planeadas, 216 ejecutadas.</t>
  </si>
  <si>
    <t xml:space="preserve">Año 2022:  1418 acciones, 80 con medicion, 531 sin medicion (327 sensibilizaciones, inventarios, actos administrativos, 204 cerrar el caso), 591 no efectivas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</si>
  <si>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Durante el mes de Diciembre, se realizaron ciento cuatro (104) acciones en cumplimiento de la meta:
- Diecinueve (19) operativos de control a las zonas de Resto del Distrito
- Veinte (20) visitas de evaluación a elementos mayores.
- Veinte (20) documentos técnicos firmados para el resto del Distrito.
- Un (01) cargue de información a la plataforma SIIPEV.
- Cuarenta y cuatro (44)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</si>
  <si>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Para el mes de Diciembre de 2022, se realizaron diecinueve (19) operativos sobre una zona del resto del distrito, diferente a las zonas de mayor saturación.
Fontibón: 12 operativos en la UPZ Modelia
Teusaquillo: 07 operativos en la UPZ Galerías
Acumulado:
Primer Trimestre: 01 operativo de control.
Enero: 00 operativos
Febrero: 00 operativos
Marzo: 01 operativos
Segundo Trimestre: 21 operativos de control.
Abril: 05 operativos
Mayo: 13 operativos
Junio: 03 operativos
Tercer Trimestre: 17 operativo de control.
Julio: 01 operativos
Agosto: 01 operativos
Septiembre: 15 operativos
Cuarto Trimestre: 33 operativo de control.
Octubre: 10 operativos de control
Noviembre: 04 operativos de control
Diciembre: 19 operativos de control.</t>
  </si>
  <si>
    <t>Para el mes de Diciembre fueron realizadas un total de veinte (20) visitas de evaluación a elementos mayores de PEV como sigue:
Barrios Unidos: 05 visitas en las UPZ Los Alcázares y Los Andes
Engativá: 04 visitas en las UPZ Boyacá Real, Las Ferias y Santa Cecilia
Chapinero: 02 visitas en la UPZ Chicó Lago
Usaquén: 03 visitas en la UPZ Santa Barbara
Fontibón: 01 visita en la UPZ Fontibón
Teusaquillo: 02 visitas en las UPZ Quinta Paredes y Teusaquillo
Suba: 03 visitas en las UPZ Britalia, El Rincón y El Prado
Acumulado:
Primer Trimestre: 27 visitas de evaluación a elementos mayores.
Enero: 0 visitas
Febrero: 19 visitas
Marzo: 08 visitas
Segundo Trimestre: 72 visitas de evaluación a elementos mayores.
Abril: 23 visitas
Mayo: 25 visitas
Junio: 24 visitas
Tercer Trimestre: 68 visitas de evaluación a elementos mayores.
Julio: 28 visitas
Agosto: 21 visitas
Septiembre: 19 visitas
Cuarto Trimestre: 44 visitas de evaluación a elementos mayores.
Octubre: 11 visitas
Noviembre: 13 visitas
Diciembre: 20 visitas.</t>
  </si>
  <si>
    <t>Se realizó el seguimiento al Sistema Integrado de Información de Publicación Exterior Visual – SIIPEV y se validó el cargue de la información contenida en la plataforma.
Acumulado:
Primer Trimestre: 02 cargues en el SIIPEV.
Enero: 00 cargue de información.
Febrero: 01 cargue de información.
Marzo: 01 cargue de información.
Segundo Trimestre: 03 cargues en el SIIPEV.
Abril: 01 cargue de información.
Mayo: 01 cargue de información.
Junio: 01 cargue de información.
Tercer Trimestre: 03 cargues en el SIIPEV.
Julio: 01 cargue de información. 
Agosto: 01 cargue de información.
Septiembre: 01 cargue de información.
Cuarto Trimestre: 03 cargues en el SIIPEV.
Octubre: 01 cargue de información.
Noviembre: 01 cargue de información.
Diciembre: 01 cargue de información.</t>
  </si>
  <si>
    <t>Se realizó la evaluación de (44) solicitudes de registro dentro de la vigencia 2022 que dejaron como resultado: 44 registros.</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</si>
  <si>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la vigencia 2022 Se reporta la realización del 100% de las actividades de soporte y mantenimiento realizado a las estaciones de monitoreo de ruido, se envía informe de Laboratorio Ambiental. Se realiza seguimiento a los contratos del personal de la RMRAB. En lo referente a materia de acreditación ante el IDEAM y la NTC ISO/IEC 17025, se adelantó la generación y revisión de documentos requeridos en la lista de chequeo, se presenta los nuevos procedimientos de la RMRAB ante el Laboratorio Ambiental de la SDA, se realizó ajustes al Estudio previo para la adquisición de baterías secas de 12 voltios, estaciones meteorológicas y calibración de Sonómetros. 
Además, se generó el informe de los indicadores relacionados con el día sin carro y moto en la ciudad de Bogotá, se generó acta de pago relacionada con el deducible de las estaciones vandalizadas.</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</si>
  <si>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y cuarto trimestre según lo proyecto se realiza la entrega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el cual se encuentra en la etapa de revisión final para su debida publicación.</t>
  </si>
  <si>
    <t>Diciembre: Conforme a lo ejecutado en el segundo semestre del 2022 se realizó el debido seguimiento y reporte de los avances de los 41 proyectos en implementación del Plan Aire 2030, arrojando como resultado para el presente corte, la elaboración y presentación de los dos (02) documentos técnicos de seguimiento al Plan Aire.</t>
  </si>
  <si>
    <t>Diciembre: Durante el mes de diciembre se realiza la consolidación de toda la información y revisión final del documento del Inventario de emisiones correspondiente a la información del año 2021, para presentar el documento a revisión por parte de los coordinadores de los grupos SMA y Plan Aire con el fin de finalizar el proceso con la publicación de este documento. Se completo la elaboración y presentación de los informes correspondientes a la vigencia 2022.</t>
  </si>
  <si>
    <t>Diciembre: Para el mes de diciembre se realiza la entrega del segundo Informe semestral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t>
  </si>
  <si>
    <t>Para el segundo semestre 2022 se evidenció un acumulado de 64,39%, corresponde a 12982 pruebas de emisión a fuentes móviles efectuadas en el periodo (julio - diciembre), de las cuales 4963 aprobadas, 8019 rechazadas, 5915 comparendos, 1324 inmovilizados; de las pruebas realizadas 7768 tipo OTTO, 4960 tipo DIESEL y 254 tipo MOTOS. 
Para el mes de diciembre se realizaron un total de 1621 revisiones (624 aprobadas, 997 rechazadas, 690 comparendos, 170 inmovilizados) las cuales corresponden a 881 tipo otto, 721 tipo diésel y 19 tipo motos.</t>
  </si>
  <si>
    <t>Para el mes de diciembre de 2022 y con el fin de construir el informe correspondiente al segundo semestre, se realizaron seis (6) visitas de certificación, a los Centros de Diagnóstico Automotor: CDA CHAPINERO, CDA CAPITAL, CDA BOGOTA NORTE, CDA RUTA 68, CDA REVIAUTOS Y MOTOS BOSA, CDA NUEVO CDA.</t>
  </si>
  <si>
    <t>Para el Proyecto de Seguimiento y control ambiental a tecnologías vehiculares nuevas y en uso, bajo métodos de medición actualizados, en relación al convenio de cooperación especial con la Universidad de la Sabana y la Secretaría Distrital de Ambiente, se realizó una reunión con el líder técnico de la universidad y el operador de transporte de la SDA para presentar el dispositivo IVDR que se conectará al puerto OBD II de los vehículos, en el proyecto de sensores remotos, se realizó la actualización del Anexo Técnico y los Estudios Previos del convenio de cooperación entre la SDA y el ICC, en los temas relacionados al valor estimado de los aportes por parte de ICCT, la tecnología a utilizar para realizar la medición de emisiones cambió de sensores remotos verticales a sensores remotos horizontales, para el proyecto de Etiquetado Vehicular Ambiental – EVA, se enviaron a la Dirección Legal Ambiental el Documento Técnico de Soporte, la resolución y el Anexo del EVA, con el fin de surtir el proceso administrativo, dando como resultado el aval para publicar el proyecto resolución en el Portal LegalBog.</t>
  </si>
  <si>
    <t>Para el segundo semestre del 2022, se aseguró la continua operación de la RMRAB realizando el cronograma de mantenimiento de las estaciones y pago de los arriendos.</t>
  </si>
  <si>
    <t>Para el segundo semestre del 2022 se llevó a cabo la revisión y verificación de los documentos pertenecientes al procedimiento PA10-PR14 en cumplimiento a lo establecido en la ISO/IEC17025.</t>
  </si>
  <si>
    <t>Dando cumplimiento a la meta de la red de monitoreo de ruido se actualizaron 32 Mapas Estratégicos de Ruido -MER.</t>
  </si>
  <si>
    <t>El segundo semestre del 2022, se ha realizado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mantenimiento.</t>
  </si>
  <si>
    <t>La Secretaría Distrital de Ambiente del 01 de enero al 31 de diciembre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1.766
No de Conceptos Técnicos acogidos jurídicamente mediante acto administrativo: 1.766.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</si>
  <si>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31 de diciembre de 2022 atendió el 100% de los conceptos técnicos generados por afectación al recurso aire, auditiva y visual en el Distrito Capital y que recomiendan actuaciones administrativas sancionatoria, como se relaciona a continuación:
No de Conceptos Técnicos que recomiendan actuaciones administrativas sancionatorias: 1.766
No de Conceptos Técnicos acogidos jurídicamente mediante acto administrativo: 1.766</t>
  </si>
  <si>
    <t>Del 01 de enero al 31 de diciembre de 2022 se realizaron 34.171 acciones archivísticas asociadas al proceso de organización y administración documental relacionado con el recurso aire, auditiva y visual; así:
Apertura 2002
Inserción 4387
Encarpetado de expedientes 1912
Préstamo de expedientes 6044
Ordenación 1902
FUID 3328
Hoja de control 5503
Levantamiento base de datos inserciones DCA 98
Asociación de radicados- FOREST  579
Apoyo saneamiento jurídico 343
Foliación 3782
Control de Calidad 317
Inserciones expedientes sancionatorios 3876
Digitalización expedientes 13
Atención ventanilla 85.</t>
  </si>
  <si>
    <t>Durante el periodo comprendido entre el 01 de enero al 31 de diciembre del 2022, se notificaron 4.336 actuaciones administrativas derivadas de las acciones del trámite sancionatorio.</t>
  </si>
  <si>
    <t>Del 1 de enero al 31 de diciembre de 2022 se ejecutaron las siguientes actividades asociadas al proceso de seguimiento y control al recurso aire, auditiva y visual:
Aprobación y firma de 70 Informes Técnicos de Criterios con los cuales se determina la sanción ambiental a establecer al infractor del recurso ambiental.</t>
  </si>
  <si>
    <t>Se realizaron mantenimientos preventivos y correctivos, validación y análisis de datos y publicación de informes periódicos.
Para el mes de Diciembre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fue del 100% el cual es promedio de los datos validos de todos los parámetros de la red en las estaciones que se genera a través de Envista.  Para el mes de Diciembre se completó el análisis de datos y la redacción del informe mensual de Noviembre de 2022, completando su elaboración y posterior publicación.</t>
  </si>
  <si>
    <t>En la vigencia 2022; se han realizado los mantenimientos mensuales a todos los equipos de todas las estaciones de monitoreo de la red.
En diciembre, se han realizado los mantenimientos mensuales a todos los equipos de todas las estaciones de monitoreo de la red, completando un acumulado para la vigencia 2022 del 83.3%, debido a los mantenimientos que no se pudieron realizar al inicio del año por falta de personal y a que este indicador está sujeto a factores logísticos que pueden generar retrasos en la realización de los mismos, lo cual se castiga como parte de la metodología, pero no significa que no se realicen, es decir, la RMCAB realiza el 100% de sus mantenimientos de forma permanente mientras se tenga las condiciones de operación normal, pero ligeros retrasos en la ejecución de las actividades afectan el indicador.
Acumulado 2022: 10%</t>
  </si>
  <si>
    <t>Durante la vigencia del año 2022; se realizó la validación diaria de los datos de concentraciones de contaminantes criterio y parámetros meteorológicos que monitorea la RMCAB. El reporte de operatividad para el mes de noviembre debido a que se presentaron fallas en aires acondicionados y sensores de temperatura interna que obligaron a invalidar un número importante o todos los datos de la estación donde se presentaron, fue del 100% el cual es promedio de los datos validos de todos los parámetros de la red en las estaciones que se genera a través de Envista. 
Para el mes de diciembre se completó el análisis de datos y la redacción del informe mensual de noviembre y trimestral Julio - septiembre de 2022 completando su elaboración y posterior publicación. 
Acumulado 2022: 100%</t>
  </si>
  <si>
    <t>En el año 2022, se completó el análisis de datos y la redacción de informes de 2022 completando su elaboración y posterior publicación. 
En diciembre, se completó el análisis de datos y la redacción del informe mensual de noviembre y trimestral Julio - septiembre de 2022, completando su elaboración y posterior publicación, lo que permitió alcanzar un acumulado para la vigencia 2022 del 100%, se cumplió con la publicación de la totalidad de los informes proyectados para la vigencia 2022 que correspondía a 17 documentos.</t>
  </si>
  <si>
    <t>Para el primer trimestre de la vigencia 2022, se construyó por parte de la SDA un documento técnico en el cual se establece cuáles son los beneficios de la integración de las Redes SDA-CAR y la articulación requerida.
Para el segundo trimestre de la vigencia 2022, se realizó una reunión entre delegados de la SDA y la CAR, la cual tuvo como objetivo realizar la revisión de avances para la articulación de las medidas a fuentes fijas en Bogotá y la región.
Para el tercer trimestre de la vigencia 2022, se mantienen las conversaciones entre las áreas técnicas de la CAR y la SDA para atender los requerimientos en lo relacionados con el convenio, se avanza en la revisión de avances para la articulación de las medidas a fuentes fijas en Bogotá y la región.  
No se realizaron avances en el mes de noviembre, tal como se había proyectado.
Acumulado 75%
Para el mes de diciembre se atendieron los requerimientos asociados al proceso de integración con la CAR, así como durante todo el 2022, lo que permite completar el 100% proyectado para la vigencia.
Acumulado 2022: 100%.</t>
  </si>
  <si>
    <t>Para la vigencia 2022, se mantiene la verificación de los sensores instalados, se apoyó el lanzamiento de la red colaborativa de microsensores en el marco de un taller de cooperación con C40, adicionalmente se han realizado otros montajes en la estación Las Ferias para evaluar diferentes sensores.
Para el mes de diciembre se atendieron los requerimientos asociados al proceso de evaluación de microsensores y se apoyó técnicamente todo lo requerido desde la RMCAB para el proceso de implementación de la Red Colaborativa de Microsensores de la SDA durante todo el 2022, lo que permite completar el 100% proyectado para la vigencia.
Acumulado 2022: 100%.</t>
  </si>
  <si>
    <r>
      <t>7, LOGROS CORTE A</t>
    </r>
    <r>
      <rPr>
        <b/>
        <u/>
        <sz val="10"/>
        <rFont val="Arial"/>
        <family val="2"/>
      </rPr>
      <t xml:space="preserve">  DICIEMBRE</t>
    </r>
    <r>
      <rPr>
        <b/>
        <sz val="10"/>
        <rFont val="Arial"/>
        <family val="2"/>
      </rPr>
      <t xml:space="preserve"> AÑO 2022</t>
    </r>
  </si>
  <si>
    <t>En el mes de abril, se entregaría el documento 7, que correspondería al resultado del estudio de material resuspendido en la zona suroccidente de Bogotá.</t>
  </si>
  <si>
    <t>Debido a que en el marco del convenio con el FDL de ciudad bolivar y SDA relacionado con el estudio de material resuspendido en la zona suroccidente de Bogotá, el documento resultado de dicho estudio está contemplado para entgregar en el mes de abril del 2023</t>
  </si>
  <si>
    <t>En el marco de la gestión integral de la calidad del aire de Bogotá, para el año 2022 se contempla la entrega de siete (7) documentos técnicos, de los cuales, tres (3) se presentaron en el primer y segundo trimestre del año, siendo para el primer semestre el: 1) Informe semestral de Seguimiento al Plan Estratégico para la Gestión Integral de la Calidad del Aire – Plan Aire 2030 (I-2022),  2Informe semestral (I-2022) de gestión del Sistema de Alertas Tempranas Ambientales en su componente aire y 3) Informe Técnico Anual de Modelación Atmosférica de Bogotá 2021. Para el segundo semestre se realiza la entrega de los otros documentos que son: 4. Informe semestral de Seguimiento al Plan Estratégico para la Gestión Integral de la Calidad del Aire – Plan Aire 2030 (II-2022) donde se contempla el debido seguimiento y reporte de los avances de los 41 proyectos en implementación del Plan Aire 2030. 5.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y 6. Inventario de emisiones correspondiente a la información del año 2021.
Respecto a lo corrido del cuatrienio, se llevan 18 documentos</t>
  </si>
  <si>
    <t>En el cumplimiento de los dos (02) informes de gestión programados para la vigencia 2022; se ha alcanzado un avance del 100%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En consecuencia, para el mes de Diciembre del año en curso, el acumulado es de 2 (100%) de avance en la ejecución de la meta.  con un total de 841 actuaciones técnicas entre conceptos, informes técnicos y oficios producto de 629 vistas técnicas en atención a  1471 solicitudes.
Respecto al cuatrienio, se lleva un acumulado de 5 informes.</t>
  </si>
  <si>
    <t xml:space="preserve">Año 2022:  1418 acciones discriminadas así:  80 con medicion, 531 sin medicion (327 sensibilizaciones, inventarios, actos administrativos, 204 cerrar el caso), 591 no efectivas  y 216 otras acciones, discriminadas asi:
I trimestre: 28 con medición, 12 sin medición, 39 cerrar caso, 117 reprogramar. Otras acciones 9 informes acciones populares AP, 4 estudio de ruido ER, 10 mesa de trabajo, 3 socializaciones, 27 SUGA
II trimestre: 23 con medición, 191 sin medición (141 sensibilizaciones, sancionatorio, 50 cerrar caso), 169 reprogramar. Otras acciones 15 AP, 4 socializaciones, 7 ER, 16 mesa de trabajo, 11 SUGA
III trimestre: 17 con medición, 160 sin medición (93 sensibilizaciones, sancionatorio, 67 cerrar caso), 165 reprogramar. Otras acciones 15 AP, 5 socializaciones, 8 ER, 12 mesa de trabajo, 15 SUGA
IV trimestre: 12 con medición, 129 sin medición (80 sensibilizaciones, sancionatorio, 49 cerrar caso), 140 reprogramar. Otras acciones 17 AP, 3 presentaciones, 3 estudios de ruido, 17 mesa de trabajo, 15 SUGA.
Respecto al cuatrienio 2.806  acciones.
</t>
  </si>
  <si>
    <t>Para la vigencia del Proyecto de Inversión del año 2022 se han realizado un mil ciento ochenta y tres (1.183) acciones de evaluación, control y seguimiento:
- Setenta y dos (72) operativos de control a zonas de Resto del Distrito.
- Doscientos once (211) visitas de evaluación a elementos mayores.
- Ciento ocho (108) documentos técnicos firmados para el resto del Distrito.
- Once (11) cargues de información a la plataforma SIIPEV.
- Setecientos ochenta y uno (781) evaluaciones a solicitudes de elementos de publicidad exterior visual. 
Lo anterior, dando un avance para el cuatrienio de 7.425 acciones de evaluación, control y seguimiento: 186 operativos de control y seguimiento, 461 visitas de evaluación a elementos mayores, 315 documentos técnicos, 54 visitas a elementos menores, 24 cargues de información a la plataforma SIIPEV, 6.385 evaluaciones a solicitudes de elementos de publicidad exterior visual.</t>
  </si>
  <si>
    <t>La Secretaría Distrital de Ambiente, en el marco de las acciones de seguimiento y control sobre los elementos de Publicidad Exterior Visual- PEV en las zonas con mayor densidad, ha avanzado al Plan de Desarrollo en 2.223 acciones (817 operativos de sensibilización y control, 344 visitas a elementos mayores de PEV y 1.062 documentos técnicos.), de estos corresponden (195) para la vigencia 2020, (794) acciones para la vigencia 2021, y (1.234) para la vigencia 2022.
Para el 2022, el acumulado anual de: (418) operativos de sensibilización y control, (172) visitas a elementos mayores de PEV, y (644) documentos técnicos.</t>
  </si>
  <si>
    <t xml:space="preserve">El cumplimiento de la meta, el acumulado PDD es 2806 acciones: 
• Vigencia 2021: 897 acciones, entre 761 visitas y 136 otras acciones de gestión
• Vigencia 2020: 491 acciones, entre 374 visitas y 117 otras acciones de gestión.
• Vigencia 2022:  1418 acciones entre 1202 visitas y 216 otras acciones de gestión
</t>
  </si>
  <si>
    <t>La Secretaría Distrital de Ambiente, en el marco del cumplimiento de la meta de la concentración promedio ponderado de ciudad de material particulado PM10. Los avances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31 de diciembre: Reducción del 2.58% del material particulado PM10 equivalente a 1.2 microgramos por metro cubico respecto a la línea base, lo que indica una concentración de 37.1 microgramos por metro cubico al cierre de 2022.</t>
  </si>
  <si>
    <t>La Secretaría Distrital de Ambiente, en el marco del cumplimiento de la meta de la concentración promedio ponderado de ciudad de material particulado PM 2.5. Los avances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31 de diciembre: Reducción del 2.58% del material particulado PM2.5 equivalente a 0.6 microgramos por metro cubico respecto a la línea base, lo que indica una concentración de 19.1 microgramos por metro cubico al cierre de 2022.</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</si>
  <si>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</si>
  <si>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</si>
  <si>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</si>
  <si>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 xml:space="preserve">4. Realizar acciones encaminadas a la integración de las redes de monitoreo de calidad del aire de la CAR y de la RMCAB.
</t>
  </si>
  <si>
    <t xml:space="preserve">5. Apoyar técnicamente la evaluación y selección de sensores de bajo costo, útiles para el establecimiento de una red de monitoreo de exposición a la contaminación. </t>
  </si>
  <si>
    <t>6. Avance en la elaboraracion de los dos (02) Documentos de seguimiento semestral Plan Aire 2030 (I, II - 2022).  Y Un (01) documento del analisis de las acciones resultadod el impacto del mantenimiento de la malla vial en la Calidad del Aire.</t>
  </si>
  <si>
    <t>7. Avance en la elaboración de dos (02) documentos técnicos, así; 1. Informe De Modelación De Calidad De Aire Sobre Bogotá Del 2022.
2.Inventario De Emisiones De Bogotá Contaminantes Atmosféricos Del 2022.</t>
  </si>
  <si>
    <t>8. Avance en la elaboración de dos (02) documentos técnicos de Informe semestral de gestión del SATAB (I - II - 2022).</t>
  </si>
  <si>
    <t>9. Realizar la intervención a las Fuentes Fijas  ubicadas en el Distrito Capital, a través de las acciones de evaluación, control,  seguimiento y monitoreo.</t>
  </si>
  <si>
    <t>10. Atender las solicitudes de quejas, derechos de petición, entes de control y radicados allegadas a la Entidad a través de vistas de inspección, vigilancia y control.</t>
  </si>
  <si>
    <t>11. Realizar las mediciones a los vehículos durante los operativos de evaluación, control y seguimiento a las fuentes móviles.</t>
  </si>
  <si>
    <t>12. Programar  y ejecutar las visitas técnicas del programa de auditoria a los centros de diagnóstico automotor que operan en el distrito capital.</t>
  </si>
  <si>
    <t xml:space="preserve">13. Estructurar y evaluar estrategias alternativas de seguimiento y control a fuentes móviles </t>
  </si>
  <si>
    <t>14. Realizar documentos técnicos de evaluación y seguimiento de emisión de ruido a establecimientos de comercio, industria y servicio, generados por visitas con medición/sin medición y  no efectivas.</t>
  </si>
  <si>
    <t>15. Realizar documentos técnicos: oficios evaluación de estudios de emisión de ruido conceptos técnicos aclaratorio y demás documentos relacionados que no requieren visita técnica.</t>
  </si>
  <si>
    <t>16. Asegurar la continua operación y comunicación de las estaciones de monitoreo que conforman la red de monitoreo de ruido ambiental del Distrito</t>
  </si>
  <si>
    <t>17. Gestionar los procesos relacionados con la acreditación de la metodología de medición de ruido ambiental ISO 1996 llevado a cabo por la SDA ante el IDEAM</t>
  </si>
  <si>
    <t>18. Actualizar los mapas estratégicos de ruido de todas las localidades urbanas del Distrito.</t>
  </si>
  <si>
    <t>19. Elaborar un informe técnico semestral de ruido ambiental que sirva como insumo para la identificación del porcentaje Urbano de Afectados por Ruido (%PUAR)</t>
  </si>
  <si>
    <t>20. Avance en el desarrollo de  actividades de control y sensibilización de los elementos Publicidad Exteriores Visual - PEV. Por medio de Operativos De Control Y Sensibilización.</t>
  </si>
  <si>
    <t>21. Avance en la evaluación a Vallas Tubulares , a través de la realización de visitas de control y seguimiento a los elementos mayores dentro del Distrito Capital.</t>
  </si>
  <si>
    <t>22. Avance en la elaboración de los documentos técnicos requeridos para el adecuado proceso interno de los elementos Publicidad Exteriores Visual - PEV ilegales en el Distrito Capital con la generación de Documentos De Operativos De Control.</t>
  </si>
  <si>
    <r>
      <t xml:space="preserve">Acumulado anual de la vigencia 2022 RD
</t>
    </r>
    <r>
      <rPr>
        <b/>
        <sz val="10"/>
        <color rgb="FF7030A0"/>
        <rFont val="Arial"/>
        <family val="2"/>
      </rPr>
      <t xml:space="preserve">Enero (00) documentos técnicos pendientes por firma para reportar.
Febrero (00) documentos técnicos pendientes por firma para reportar.
Marzo (00) documentos técnicos pendientes por firma para reportar.
Abril (00) documentos técnicos pendientes por firma para reportar.
</t>
    </r>
    <r>
      <rPr>
        <b/>
        <sz val="10"/>
        <rFont val="Arial"/>
        <family val="2"/>
      </rPr>
      <t>Mayo (11) documentos técnicos con firma para reportar.
Junio (15) documentos técnicos con firma para reportar.
Julio (17) documentos técnicos con firma para reportar.
Agosto (13) documentos técnicos con firma para reportar.
Septiembre (15) documentos técnicos con firma para reportar.
Octubre (06) documentos técnicos con firma para reportar.
Noviembre (11) documentos técnicos con firma para reportar.
Diciembre (20) documentos técnicos con firma para reportar.</t>
    </r>
  </si>
  <si>
    <t>23. Realizar el seguimiento y actualización mensual de la información contenida en el Sistema Integrado de Información de Publicidad Exterior Visual - SIIPEV para dar cumplimiento al Acuerdo 610/2015.</t>
  </si>
  <si>
    <t>24. Evaluación técnica a las solicitudes de registro de los elementos de publicidad exterior visual. - PEV, de acuerdo con las Peticiones y Quejas que alleguen a grupo.</t>
  </si>
  <si>
    <t>25. Acoger jurídicamente los conceptos técnicos mediante la proyección de los actos administrativos ambientales de carácter sancionatorio.</t>
  </si>
  <si>
    <t>26. Realizar el proceso de organización y administración de los documentos de archivos y expedientes sancionatorios.</t>
  </si>
  <si>
    <t>27. Notificar los actos administrativos en cumplimiento de la normatividad establecida.</t>
  </si>
  <si>
    <t>28. Realizar acciones de seguimiento y control ambiental en el marco del trámite sancionatorio.</t>
  </si>
  <si>
    <r>
      <t xml:space="preserve">Formular </t>
    </r>
    <r>
      <rPr>
        <sz val="10"/>
        <color rgb="FFFF0000"/>
        <rFont val="Arial"/>
        <family val="2"/>
      </rPr>
      <t>30</t>
    </r>
    <r>
      <rPr>
        <sz val="10"/>
        <rFont val="Arial"/>
        <family val="2"/>
      </rPr>
      <t xml:space="preserve"> documentos técnicos de formulación, seguimiento o evaluación de la gestión integral de la calidad del aire de Bogotá.
</t>
    </r>
  </si>
  <si>
    <t xml:space="preserve">TOTAL </t>
  </si>
  <si>
    <t>Bogotá D.C. Nota: El Plan de Gestión Integral de Calidad del Aire se encuentra enmarcado en las acciones de monitoreo, control y gestión a la calidad del aire, las cuales serán realizadas conjuntamente como ciudad en el marco del desarrollo de gobernanza,</t>
  </si>
  <si>
    <t>Guaymaral	GYR	4°47'1.52"N	74°2'39.06"W
Usaquén	USQ	4°42'37.26"N	74°1'49.50"W
Suba	SUB	4°45'40.49"N	74° 5'36.46"W
Bolivia	BOL	4°44'9.12"N	74°7'33.18"W
Las Ferias	LFR	4°41'26.52"N	74°4'56.94"W
Centro de Alto Rendimiento	CDAR	4°39'30.48"N	74°5'2.28"W
Estació</t>
  </si>
  <si>
    <t>El Plan Estratégico para la Gestión Integral de la Calidad del Aire – Plan Aire 2030, se encuentra enmarcado en el desarrollo de las acciones de monitoreo, control y gestión a la calidad del aire en la ciudad de Bogotá; las cuales serán realizadas conjunt</t>
  </si>
  <si>
    <t xml:space="preserve">Distrito Capital:  Fuentes Fijas
En la ejecución de la meta del PDD y en particular en la meta del Proyecto de Inversión para el caso de los informes de la meta plan de desarrollo y su territorialización especifica se dificulta en algunos casos puntuales </t>
  </si>
  <si>
    <t>Bogotá D.C. 
Ruido ambiental, de acuerdo con lo establecido en la Resolución 0627 de 2006 del entonces Ministerio de Ambiente, Vivienda y Desarrollo Territorial, se constituyó la Red de Monitoreo de Ruido Ambiental de Bogotá – RMRAB, la cual consiste en u</t>
  </si>
  <si>
    <t>1	CAI La Aurora	4,520859002	-74,122551	USME	UPZ57	GRAN YOMASA	Carrera 14L No. 71-03 Sur
2	CAI 20 De Julio	4,572536002	-74,092696	SAN CRISTOBAL	UPZ34	20 DE JULIO	calle 20 a sur No. 6A-46
3	CAI Ciudad Berna	4,582926002	-74,090467	ANTONIO NARIÑO	UPZ35	CIUDAD</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</si>
  <si>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t>
  </si>
  <si>
    <r>
      <rPr>
        <b/>
        <u/>
        <sz val="10"/>
        <rFont val="Arial"/>
        <family val="2"/>
      </rPr>
      <t>DISTRITO</t>
    </r>
    <r>
      <rPr>
        <sz val="10"/>
        <rFont val="Arial"/>
        <family val="2"/>
      </rPr>
      <t>:
Bogotá D.C. Nota: La ejecución y cumplimiento de la meta del Proyecto de Inversión, se desarrolla sobre el Distrito Capital toda vez que su acción de evaluación, control y seguimiento no se delimitan a una o varias zonas especificas, la medición</t>
    </r>
  </si>
  <si>
    <t>Formato: Programación, Actualización y Seguimiento del Plan de Acción - Componente de  Territorialización</t>
  </si>
  <si>
    <t>PERIODO:</t>
  </si>
  <si>
    <t>CORTE A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</si>
</sst>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0_ ;[Red]\-#,##0\ "/>
  </numFmts>
  <fonts count="9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b/>
      <sz val="18"/>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indexed="8"/>
      <name val="Arial"/>
      <family val="2"/>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11"/>
      <color theme="1"/>
      <name val="Arial Narrow"/>
      <family val="2"/>
    </font>
    <font>
      <b/>
      <sz val="10"/>
      <name val="Calibri"/>
      <family val="2"/>
      <scheme val="minor"/>
    </font>
    <font>
      <sz val="7"/>
      <name val="Arial"/>
      <family val="2"/>
    </font>
    <font>
      <b/>
      <sz val="10"/>
      <color rgb="FFFF0000"/>
      <name val="Arial"/>
      <family val="2"/>
    </font>
    <font>
      <sz val="11"/>
      <color theme="1"/>
      <name val="Arial"/>
      <family val="2"/>
    </font>
    <font>
      <b/>
      <sz val="10"/>
      <color rgb="FF7030A0"/>
      <name val="Arial"/>
      <family val="2"/>
    </font>
    <font>
      <sz val="10"/>
      <color rgb="FFFF0000"/>
      <name val="Arial"/>
      <family val="2"/>
    </font>
    <font>
      <sz val="11"/>
      <color indexed="8"/>
      <name val="Arial"/>
      <family val="2"/>
    </font>
    <font>
      <b/>
      <sz val="11"/>
      <name val="Arial"/>
      <family val="2"/>
    </font>
    <font>
      <sz val="10"/>
      <color theme="0"/>
      <name val="Calibri"/>
      <family val="2"/>
      <scheme val="minor"/>
    </font>
    <font>
      <b/>
      <sz val="22"/>
      <color theme="1"/>
      <name val="Calibri"/>
      <family val="2"/>
      <scheme val="minor"/>
    </font>
    <font>
      <b/>
      <sz val="22"/>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rgb="FF669900"/>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indexed="64"/>
      </bottom>
      <diagonal/>
    </border>
  </borders>
  <cellStyleXfs count="286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20"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20"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4" fillId="0" borderId="0"/>
    <xf numFmtId="0" fontId="73" fillId="0" borderId="0" applyNumberFormat="0" applyFill="0" applyBorder="0" applyAlignment="0" applyProtection="0"/>
    <xf numFmtId="164" fontId="20" fillId="0" borderId="0" applyFont="0" applyFill="0" applyBorder="0" applyAlignment="0" applyProtection="0"/>
  </cellStyleXfs>
  <cellXfs count="695">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7" fillId="0" borderId="0" xfId="0" applyFont="1"/>
    <xf numFmtId="0" fontId="29" fillId="0" borderId="0" xfId="0" applyFont="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3" fillId="0" borderId="0" xfId="0" applyFont="1"/>
    <xf numFmtId="4" fontId="43"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2"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4" fontId="4"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ill="1" applyBorder="1" applyAlignment="1">
      <alignment horizontal="center" vertical="center" wrapText="1"/>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4"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2" fillId="16" borderId="1" xfId="0" applyFont="1" applyFill="1" applyBorder="1" applyAlignment="1">
      <alignment horizontal="center" vertical="center" wrapText="1"/>
    </xf>
    <xf numFmtId="42" fontId="5" fillId="0" borderId="0" xfId="2865" applyFont="1" applyFill="1" applyAlignment="1">
      <alignment horizontal="center"/>
    </xf>
    <xf numFmtId="0" fontId="43" fillId="15" borderId="0" xfId="0" applyFont="1" applyFill="1" applyAlignment="1">
      <alignment horizontal="center" vertical="center"/>
    </xf>
    <xf numFmtId="180" fontId="5" fillId="0" borderId="0" xfId="0" applyNumberFormat="1" applyFont="1" applyAlignment="1">
      <alignment horizontal="center"/>
    </xf>
    <xf numFmtId="0" fontId="28"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7"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2" fillId="0" borderId="0" xfId="0" applyNumberFormat="1" applyFont="1" applyAlignment="1">
      <alignment horizontal="center" vertical="center"/>
    </xf>
    <xf numFmtId="181" fontId="0" fillId="0" borderId="0" xfId="0" applyNumberFormat="1"/>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180" fontId="0" fillId="0" borderId="0" xfId="0" applyNumberFormat="1" applyAlignment="1">
      <alignment horizontal="center" vertical="center"/>
    </xf>
    <xf numFmtId="3" fontId="57" fillId="0" borderId="0" xfId="0" applyNumberFormat="1" applyFont="1"/>
    <xf numFmtId="181" fontId="5" fillId="0" borderId="0" xfId="0" applyNumberFormat="1" applyFont="1" applyAlignment="1">
      <alignment horizontal="center"/>
    </xf>
    <xf numFmtId="43" fontId="5" fillId="0" borderId="0" xfId="0" applyNumberFormat="1" applyFont="1" applyAlignment="1">
      <alignment horizontal="center"/>
    </xf>
    <xf numFmtId="181" fontId="17"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59" fillId="0" borderId="1" xfId="9" applyNumberFormat="1" applyFont="1" applyFill="1" applyBorder="1" applyAlignment="1">
      <alignment horizontal="center" vertical="center"/>
    </xf>
    <xf numFmtId="180" fontId="59"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3" fillId="0" borderId="0" xfId="0" applyFont="1" applyAlignment="1">
      <alignment horizontal="center" vertical="top" wrapText="1"/>
    </xf>
    <xf numFmtId="0" fontId="7" fillId="0" borderId="0" xfId="0" applyFont="1" applyAlignment="1">
      <alignment horizontal="left" vertical="top" wrapText="1"/>
    </xf>
    <xf numFmtId="0" fontId="45"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9" fillId="0" borderId="0" xfId="0" applyFont="1" applyAlignment="1">
      <alignment horizontal="center" vertical="center"/>
    </xf>
    <xf numFmtId="0" fontId="55" fillId="0" borderId="0" xfId="0" applyFont="1" applyAlignment="1">
      <alignment vertical="top" wrapText="1"/>
    </xf>
    <xf numFmtId="0" fontId="26" fillId="0" borderId="0" xfId="0" applyFont="1" applyAlignment="1">
      <alignment horizontal="center" vertical="center" wrapText="1"/>
    </xf>
    <xf numFmtId="0" fontId="46" fillId="0" borderId="0" xfId="0" applyFont="1" applyAlignment="1">
      <alignment horizontal="left" vertical="top" wrapText="1"/>
    </xf>
    <xf numFmtId="0" fontId="46" fillId="0" borderId="0" xfId="0" applyFont="1" applyAlignment="1">
      <alignment horizontal="center" vertical="center" wrapText="1"/>
    </xf>
    <xf numFmtId="182" fontId="58" fillId="0" borderId="0" xfId="0" applyNumberFormat="1" applyFont="1" applyAlignment="1">
      <alignment horizontal="center" vertical="center" wrapText="1"/>
    </xf>
    <xf numFmtId="2" fontId="56" fillId="0" borderId="0" xfId="0" applyNumberFormat="1" applyFont="1" applyAlignment="1">
      <alignment horizontal="center" vertical="center"/>
    </xf>
    <xf numFmtId="9" fontId="60" fillId="0" borderId="0" xfId="21" applyFont="1" applyFill="1" applyBorder="1" applyAlignment="1">
      <alignment horizontal="center" vertical="center"/>
    </xf>
    <xf numFmtId="10" fontId="60" fillId="0" borderId="0" xfId="21" applyNumberFormat="1" applyFont="1" applyFill="1" applyBorder="1" applyAlignment="1">
      <alignment horizontal="center" vertical="center" wrapText="1"/>
    </xf>
    <xf numFmtId="10" fontId="64" fillId="0" borderId="0" xfId="21" applyNumberFormat="1" applyFont="1" applyFill="1" applyBorder="1" applyAlignment="1">
      <alignment horizontal="center" vertical="center" wrapText="1"/>
    </xf>
    <xf numFmtId="42" fontId="58" fillId="0" borderId="1" xfId="2865" applyFont="1" applyFill="1" applyBorder="1" applyAlignment="1">
      <alignment horizontal="center" vertical="center" wrapText="1"/>
    </xf>
    <xf numFmtId="182" fontId="58" fillId="0" borderId="1" xfId="10" applyNumberFormat="1" applyFont="1" applyFill="1" applyBorder="1" applyAlignment="1">
      <alignment horizontal="center" vertical="center" wrapText="1"/>
    </xf>
    <xf numFmtId="180" fontId="58" fillId="0" borderId="1" xfId="9" applyNumberFormat="1" applyFont="1" applyFill="1" applyBorder="1" applyAlignment="1">
      <alignment horizontal="center" vertical="center"/>
    </xf>
    <xf numFmtId="180" fontId="58" fillId="0" borderId="1" xfId="2865" applyNumberFormat="1" applyFont="1" applyFill="1" applyBorder="1" applyAlignment="1">
      <alignment horizontal="center" vertical="center" wrapText="1"/>
    </xf>
    <xf numFmtId="170" fontId="58" fillId="0" borderId="1" xfId="3" applyFont="1" applyFill="1" applyBorder="1" applyAlignment="1">
      <alignment horizontal="center" vertical="center"/>
    </xf>
    <xf numFmtId="1" fontId="58" fillId="0" borderId="1" xfId="2865" applyNumberFormat="1" applyFont="1" applyFill="1" applyBorder="1" applyAlignment="1">
      <alignment horizontal="center" vertical="center" wrapText="1"/>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1" fontId="4" fillId="0" borderId="1" xfId="2865" applyNumberFormat="1" applyFont="1" applyFill="1" applyBorder="1" applyAlignment="1">
      <alignment horizontal="center" vertical="center" wrapText="1"/>
    </xf>
    <xf numFmtId="37" fontId="25" fillId="0" borderId="1" xfId="9" applyNumberFormat="1" applyFont="1" applyFill="1" applyBorder="1" applyAlignment="1">
      <alignment horizontal="center" vertical="center"/>
    </xf>
    <xf numFmtId="0" fontId="25" fillId="0" borderId="0" xfId="0" applyFont="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xf>
    <xf numFmtId="183" fontId="4" fillId="0" borderId="1" xfId="21" applyNumberFormat="1" applyFont="1" applyFill="1" applyBorder="1" applyAlignment="1">
      <alignment horizontal="center" vertical="center" wrapText="1"/>
    </xf>
    <xf numFmtId="1" fontId="25" fillId="0" borderId="1" xfId="3" applyNumberFormat="1" applyFont="1" applyFill="1" applyBorder="1" applyAlignment="1">
      <alignment horizontal="center" vertical="center"/>
    </xf>
    <xf numFmtId="0" fontId="10" fillId="0" borderId="0" xfId="0" applyFont="1" applyAlignment="1">
      <alignment vertical="center" wrapText="1"/>
    </xf>
    <xf numFmtId="0" fontId="65"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5" fillId="0" borderId="1" xfId="2865" applyFont="1" applyFill="1" applyBorder="1" applyAlignment="1">
      <alignment horizontal="center" vertical="center"/>
    </xf>
    <xf numFmtId="0" fontId="21" fillId="0" borderId="0" xfId="0" applyFont="1" applyAlignment="1">
      <alignment horizontal="center" vertical="center"/>
    </xf>
    <xf numFmtId="180" fontId="25"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21" fillId="0" borderId="0" xfId="0" applyNumberFormat="1" applyFont="1" applyAlignment="1">
      <alignment horizontal="center" vertical="center"/>
    </xf>
    <xf numFmtId="170" fontId="4" fillId="0" borderId="1" xfId="3" applyFont="1" applyFill="1" applyBorder="1" applyAlignment="1">
      <alignment horizontal="center" vertical="center"/>
    </xf>
    <xf numFmtId="181" fontId="25" fillId="0" borderId="1" xfId="9" applyNumberFormat="1" applyFont="1" applyFill="1" applyBorder="1" applyAlignment="1">
      <alignment horizontal="center" vertical="center"/>
    </xf>
    <xf numFmtId="180" fontId="69"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2" fillId="0" borderId="1" xfId="2865" applyFont="1" applyFill="1" applyBorder="1" applyAlignment="1">
      <alignment horizontal="center" vertical="center" wrapText="1"/>
    </xf>
    <xf numFmtId="42" fontId="33" fillId="0" borderId="1" xfId="2865" applyFont="1" applyFill="1" applyBorder="1" applyAlignment="1">
      <alignment horizontal="center" vertical="center" wrapText="1"/>
    </xf>
    <xf numFmtId="42" fontId="68" fillId="0" borderId="1" xfId="2865" applyFont="1" applyFill="1" applyBorder="1" applyAlignment="1">
      <alignment horizontal="center" vertical="center"/>
    </xf>
    <xf numFmtId="4" fontId="4" fillId="0" borderId="1" xfId="21" applyNumberFormat="1" applyFont="1" applyFill="1" applyBorder="1" applyAlignment="1">
      <alignment horizontal="center" vertical="center" wrapText="1"/>
    </xf>
    <xf numFmtId="4" fontId="4" fillId="0" borderId="1" xfId="2865" applyNumberFormat="1" applyFont="1" applyFill="1" applyBorder="1" applyAlignment="1">
      <alignment horizontal="center" vertical="center" wrapText="1"/>
    </xf>
    <xf numFmtId="9" fontId="33" fillId="0" borderId="1" xfId="21" applyFont="1" applyFill="1" applyBorder="1" applyAlignment="1">
      <alignment horizontal="center" vertical="center"/>
    </xf>
    <xf numFmtId="0" fontId="70" fillId="0" borderId="0" xfId="16" applyFont="1" applyAlignment="1">
      <alignment vertical="center"/>
    </xf>
    <xf numFmtId="173" fontId="12"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3" fontId="12" fillId="17" borderId="1" xfId="0" applyNumberFormat="1" applyFont="1" applyFill="1" applyBorder="1" applyAlignment="1">
      <alignment vertical="center"/>
    </xf>
    <xf numFmtId="173" fontId="72" fillId="16" borderId="1" xfId="0" applyNumberFormat="1" applyFont="1" applyFill="1" applyBorder="1" applyAlignment="1">
      <alignment vertical="center"/>
    </xf>
    <xf numFmtId="173" fontId="72"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9" fontId="4" fillId="16" borderId="1" xfId="24" applyFont="1" applyFill="1" applyBorder="1" applyAlignment="1" applyProtection="1">
      <alignment horizontal="left" vertical="center" wrapText="1"/>
      <protection locked="0"/>
    </xf>
    <xf numFmtId="42" fontId="4" fillId="17" borderId="1" xfId="2865"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xf>
    <xf numFmtId="42" fontId="2" fillId="0" borderId="1" xfId="2865" applyFont="1" applyFill="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2" fillId="0" borderId="1" xfId="24" applyNumberFormat="1" applyFont="1" applyFill="1" applyBorder="1" applyAlignment="1">
      <alignment horizontal="center" vertical="center"/>
    </xf>
    <xf numFmtId="9" fontId="2" fillId="16" borderId="1" xfId="24" applyFont="1" applyFill="1" applyBorder="1" applyAlignment="1" applyProtection="1">
      <alignment horizontal="left" vertical="center" wrapText="1"/>
      <protection locked="0"/>
    </xf>
    <xf numFmtId="42" fontId="2" fillId="17" borderId="1" xfId="2865" applyFont="1" applyFill="1" applyBorder="1" applyAlignment="1" applyProtection="1">
      <alignment horizontal="left" vertical="center" wrapText="1"/>
      <protection locked="0"/>
    </xf>
    <xf numFmtId="180" fontId="0" fillId="0" borderId="0" xfId="0" applyNumberFormat="1" applyAlignment="1">
      <alignment horizontal="center"/>
    </xf>
    <xf numFmtId="184" fontId="4" fillId="0" borderId="1" xfId="3" applyNumberFormat="1" applyFont="1" applyFill="1" applyBorder="1" applyAlignment="1">
      <alignment horizontal="center" vertical="center"/>
    </xf>
    <xf numFmtId="9" fontId="59" fillId="0" borderId="1" xfId="21" applyFont="1" applyFill="1" applyBorder="1" applyAlignment="1">
      <alignment horizontal="center" vertical="center"/>
    </xf>
    <xf numFmtId="9" fontId="58" fillId="0" borderId="1" xfId="21" applyFont="1" applyFill="1" applyBorder="1" applyAlignment="1">
      <alignment horizontal="center" vertical="center" wrapText="1"/>
    </xf>
    <xf numFmtId="9" fontId="58" fillId="0" borderId="1" xfId="21" applyFont="1" applyFill="1" applyBorder="1" applyAlignment="1">
      <alignment horizontal="center" vertical="center"/>
    </xf>
    <xf numFmtId="42" fontId="5" fillId="3" borderId="0" xfId="0" applyNumberFormat="1" applyFont="1" applyFill="1" applyAlignment="1">
      <alignment horizont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54" fillId="17" borderId="1" xfId="0" applyFont="1" applyFill="1" applyBorder="1" applyAlignment="1">
      <alignment horizontal="center" vertical="center"/>
    </xf>
    <xf numFmtId="185" fontId="54" fillId="18" borderId="1" xfId="5" applyNumberFormat="1" applyFont="1" applyFill="1" applyBorder="1" applyAlignment="1">
      <alignment horizontal="center" vertical="center" wrapText="1"/>
    </xf>
    <xf numFmtId="0" fontId="33" fillId="0" borderId="1" xfId="0" applyFont="1" applyBorder="1" applyAlignment="1">
      <alignment horizontal="center" vertical="center" wrapText="1"/>
    </xf>
    <xf numFmtId="164" fontId="33" fillId="0" borderId="1" xfId="2868"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wrapText="1"/>
    </xf>
    <xf numFmtId="9" fontId="33" fillId="0" borderId="1" xfId="24" applyFont="1" applyBorder="1" applyAlignment="1">
      <alignment horizontal="center" vertical="center"/>
    </xf>
    <xf numFmtId="0" fontId="21" fillId="0" borderId="1" xfId="0" applyFont="1" applyBorder="1" applyAlignment="1">
      <alignment horizontal="center" vertical="center" wrapText="1"/>
    </xf>
    <xf numFmtId="164" fontId="21" fillId="0" borderId="1" xfId="2868" applyFont="1" applyFill="1" applyBorder="1" applyAlignment="1">
      <alignment horizontal="center" vertical="center"/>
    </xf>
    <xf numFmtId="164" fontId="76" fillId="0" borderId="1" xfId="2868" applyFont="1" applyFill="1" applyBorder="1" applyAlignment="1">
      <alignment horizontal="center" vertical="center"/>
    </xf>
    <xf numFmtId="9" fontId="33" fillId="0" borderId="1" xfId="0" applyNumberFormat="1" applyFont="1" applyBorder="1" applyAlignment="1">
      <alignment horizontal="center" vertical="center" wrapText="1"/>
    </xf>
    <xf numFmtId="0" fontId="33" fillId="0" borderId="0" xfId="0" applyFont="1" applyAlignment="1">
      <alignment horizontal="center" vertical="center" wrapText="1"/>
    </xf>
    <xf numFmtId="4"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33" fillId="0" borderId="1" xfId="0" applyFont="1" applyBorder="1" applyAlignment="1">
      <alignment wrapText="1"/>
    </xf>
    <xf numFmtId="0" fontId="33" fillId="0" borderId="0" xfId="0" applyFont="1"/>
    <xf numFmtId="1" fontId="33" fillId="0" borderId="1" xfId="0" applyNumberFormat="1" applyFont="1" applyBorder="1" applyAlignment="1">
      <alignment horizontal="center" vertical="center" wrapText="1"/>
    </xf>
    <xf numFmtId="0" fontId="33" fillId="0" borderId="1" xfId="0" applyFont="1" applyBorder="1" applyAlignment="1">
      <alignment horizontal="left" wrapText="1"/>
    </xf>
    <xf numFmtId="0" fontId="33" fillId="0" borderId="37" xfId="0" applyFont="1" applyBorder="1" applyAlignment="1">
      <alignment horizontal="left" wrapText="1"/>
    </xf>
    <xf numFmtId="0" fontId="33" fillId="0" borderId="1" xfId="0" applyFont="1" applyBorder="1" applyAlignment="1">
      <alignment horizontal="left" vertical="top" wrapText="1"/>
    </xf>
    <xf numFmtId="0" fontId="0" fillId="0" borderId="1" xfId="0" applyBorder="1" applyAlignment="1">
      <alignment wrapText="1"/>
    </xf>
    <xf numFmtId="9" fontId="33" fillId="0" borderId="7" xfId="24" applyFont="1" applyBorder="1" applyAlignment="1">
      <alignment horizontal="center" vertical="center"/>
    </xf>
    <xf numFmtId="4"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9" fontId="33" fillId="0" borderId="1" xfId="0" applyNumberFormat="1" applyFont="1" applyBorder="1" applyAlignment="1">
      <alignment horizontal="center" vertical="center"/>
    </xf>
    <xf numFmtId="9" fontId="33" fillId="0" borderId="1" xfId="21" applyFont="1" applyBorder="1" applyAlignment="1">
      <alignment horizontal="center" vertical="center"/>
    </xf>
    <xf numFmtId="42" fontId="21" fillId="0" borderId="1" xfId="2865" applyFont="1" applyFill="1" applyBorder="1" applyAlignment="1">
      <alignment horizontal="center" vertical="center"/>
    </xf>
    <xf numFmtId="42" fontId="76" fillId="0" borderId="1" xfId="2865" applyFont="1" applyFill="1" applyBorder="1" applyAlignment="1">
      <alignment horizontal="center" vertical="center"/>
    </xf>
    <xf numFmtId="0" fontId="43"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1" fillId="20"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9" fontId="25" fillId="0" borderId="1" xfId="21" applyFont="1" applyFill="1" applyBorder="1" applyAlignment="1">
      <alignment horizontal="center" vertical="center"/>
    </xf>
    <xf numFmtId="184" fontId="25" fillId="0" borderId="1"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0" applyNumberFormat="1" applyFont="1" applyAlignment="1">
      <alignment horizontal="left" vertical="center" wrapText="1"/>
    </xf>
    <xf numFmtId="0" fontId="5" fillId="21"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42" fontId="0" fillId="0" borderId="0" xfId="2865" applyFont="1" applyAlignment="1">
      <alignment horizontal="center" vertical="center"/>
    </xf>
    <xf numFmtId="42" fontId="33" fillId="0" borderId="0" xfId="2865" applyFont="1" applyAlignment="1">
      <alignment horizontal="center" vertical="center"/>
    </xf>
    <xf numFmtId="42" fontId="0" fillId="0" borderId="0" xfId="2865" applyFont="1"/>
    <xf numFmtId="42" fontId="54" fillId="18" borderId="1" xfId="2865" applyFont="1" applyFill="1" applyBorder="1" applyAlignment="1">
      <alignment horizontal="center" vertical="center" wrapText="1"/>
    </xf>
    <xf numFmtId="42" fontId="33" fillId="0" borderId="1" xfId="2865" applyFont="1" applyBorder="1" applyAlignment="1">
      <alignment horizontal="center" vertical="center" wrapText="1"/>
    </xf>
    <xf numFmtId="42" fontId="33" fillId="0" borderId="1" xfId="2865" applyFont="1" applyBorder="1" applyAlignment="1">
      <alignment horizontal="center" vertical="center"/>
    </xf>
    <xf numFmtId="42" fontId="0" fillId="0" borderId="1" xfId="2865" applyFont="1" applyBorder="1"/>
    <xf numFmtId="42" fontId="33" fillId="0" borderId="0" xfId="2865"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180" fontId="5" fillId="0" borderId="0" xfId="2865" applyNumberFormat="1" applyFont="1" applyFill="1" applyAlignment="1">
      <alignment horizontal="center"/>
    </xf>
    <xf numFmtId="0" fontId="33"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9" fontId="21" fillId="0" borderId="37" xfId="21" applyFont="1" applyFill="1" applyBorder="1" applyAlignment="1">
      <alignment horizontal="center" vertical="center"/>
    </xf>
    <xf numFmtId="10" fontId="5" fillId="0" borderId="0" xfId="21" applyNumberFormat="1" applyFont="1" applyFill="1" applyAlignment="1">
      <alignment horizontal="center"/>
    </xf>
    <xf numFmtId="10" fontId="33" fillId="17" borderId="1" xfId="16"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1" xfId="0" applyBorder="1" applyAlignment="1">
      <alignment horizontal="center" vertical="center"/>
    </xf>
    <xf numFmtId="4" fontId="2" fillId="0" borderId="1" xfId="0" applyNumberFormat="1" applyFont="1" applyBorder="1" applyAlignment="1">
      <alignment horizontal="center" vertical="center"/>
    </xf>
    <xf numFmtId="186" fontId="4" fillId="0" borderId="1" xfId="2865" applyNumberFormat="1" applyFont="1" applyFill="1"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0" fontId="0" fillId="22" borderId="1" xfId="0" applyFill="1" applyBorder="1"/>
    <xf numFmtId="42" fontId="0" fillId="22" borderId="1" xfId="2865" applyFont="1" applyFill="1" applyBorder="1"/>
    <xf numFmtId="0" fontId="79" fillId="0" borderId="0" xfId="0" applyFont="1" applyAlignment="1">
      <alignment horizontal="center" vertical="center"/>
    </xf>
    <xf numFmtId="42" fontId="68" fillId="23" borderId="1" xfId="2865" applyFont="1" applyFill="1" applyBorder="1" applyAlignment="1">
      <alignment horizontal="center" vertical="center"/>
    </xf>
    <xf numFmtId="0" fontId="21" fillId="3" borderId="0" xfId="0" applyFont="1" applyFill="1"/>
    <xf numFmtId="0" fontId="21" fillId="0" borderId="0" xfId="0" applyFont="1"/>
    <xf numFmtId="42" fontId="76" fillId="0" borderId="1" xfId="2865" applyFont="1" applyFill="1" applyBorder="1" applyAlignment="1">
      <alignment horizontal="center" vertical="center" wrapText="1"/>
    </xf>
    <xf numFmtId="0" fontId="0" fillId="0" borderId="1" xfId="0" applyBorder="1" applyAlignment="1">
      <alignment horizontal="left" vertical="top" wrapText="1"/>
    </xf>
    <xf numFmtId="9" fontId="71" fillId="0" borderId="1" xfId="21" applyFont="1" applyFill="1" applyBorder="1" applyAlignment="1">
      <alignment horizontal="center" vertical="center" wrapText="1"/>
    </xf>
    <xf numFmtId="9" fontId="4" fillId="16" borderId="5" xfId="24" applyFont="1" applyFill="1" applyBorder="1" applyAlignment="1" applyProtection="1">
      <alignment horizontal="left" vertical="center" wrapText="1"/>
      <protection locked="0"/>
    </xf>
    <xf numFmtId="9" fontId="4" fillId="0" borderId="5" xfId="24" applyFont="1" applyFill="1" applyBorder="1" applyAlignment="1">
      <alignment horizontal="center" vertical="center"/>
    </xf>
    <xf numFmtId="9" fontId="2" fillId="0" borderId="5" xfId="24" applyFont="1" applyFill="1" applyBorder="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42" fontId="0" fillId="0" borderId="0" xfId="2865" applyFont="1" applyBorder="1"/>
    <xf numFmtId="0" fontId="0" fillId="0" borderId="2" xfId="0" applyBorder="1"/>
    <xf numFmtId="0" fontId="0" fillId="0" borderId="42" xfId="0" applyBorder="1"/>
    <xf numFmtId="0" fontId="2" fillId="16" borderId="4" xfId="16" applyFont="1" applyFill="1" applyBorder="1" applyAlignment="1">
      <alignment horizontal="center" vertical="center" wrapText="1"/>
    </xf>
    <xf numFmtId="42" fontId="80" fillId="0" borderId="1" xfId="2865" applyFont="1" applyFill="1" applyBorder="1" applyAlignment="1">
      <alignment horizontal="center" vertical="center" wrapText="1"/>
    </xf>
    <xf numFmtId="164" fontId="33" fillId="0" borderId="1" xfId="2868" applyFont="1" applyFill="1" applyBorder="1" applyAlignment="1">
      <alignment horizontal="center" vertical="center"/>
    </xf>
    <xf numFmtId="9" fontId="33"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9" fontId="0" fillId="0" borderId="1" xfId="21" applyFont="1" applyBorder="1" applyAlignment="1">
      <alignment horizontal="center" vertical="center"/>
    </xf>
    <xf numFmtId="0" fontId="0" fillId="0" borderId="15" xfId="0" applyBorder="1" applyAlignment="1">
      <alignment horizontal="center" vertical="center"/>
    </xf>
    <xf numFmtId="2" fontId="4" fillId="0" borderId="1" xfId="2865" applyNumberFormat="1" applyFont="1" applyFill="1" applyBorder="1" applyAlignment="1">
      <alignment horizontal="center" vertical="center" wrapText="1"/>
    </xf>
    <xf numFmtId="9" fontId="21" fillId="0" borderId="1" xfId="21" applyFont="1" applyFill="1" applyBorder="1" applyAlignment="1">
      <alignment horizontal="center" vertical="center"/>
    </xf>
    <xf numFmtId="9" fontId="5" fillId="0" borderId="0" xfId="21" applyFont="1" applyFill="1" applyAlignment="1">
      <alignment horizontal="center"/>
    </xf>
    <xf numFmtId="187" fontId="4" fillId="16" borderId="1" xfId="0" applyNumberFormat="1" applyFont="1" applyFill="1" applyBorder="1" applyAlignment="1" applyProtection="1">
      <alignment horizontal="left" vertical="center" wrapText="1"/>
      <protection locked="0"/>
    </xf>
    <xf numFmtId="187" fontId="4" fillId="0" borderId="1" xfId="0" applyNumberFormat="1" applyFont="1" applyBorder="1" applyAlignment="1">
      <alignment horizontal="center" vertical="center" wrapText="1"/>
    </xf>
    <xf numFmtId="187" fontId="2" fillId="0" borderId="1" xfId="0" applyNumberFormat="1" applyFont="1" applyBorder="1" applyAlignment="1">
      <alignment horizontal="center" vertical="center"/>
    </xf>
    <xf numFmtId="187" fontId="2" fillId="0" borderId="1" xfId="24" applyNumberFormat="1" applyFont="1" applyFill="1" applyBorder="1" applyAlignment="1">
      <alignment horizontal="center" vertical="center"/>
    </xf>
    <xf numFmtId="0" fontId="15" fillId="16" borderId="1" xfId="0" applyFont="1" applyFill="1" applyBorder="1" applyAlignment="1">
      <alignment horizontal="left" vertical="center" wrapText="1"/>
    </xf>
    <xf numFmtId="10" fontId="4" fillId="0" borderId="1" xfId="21" applyNumberFormat="1" applyFont="1" applyFill="1" applyBorder="1" applyAlignment="1">
      <alignment horizontal="center" vertical="center"/>
    </xf>
    <xf numFmtId="42" fontId="0" fillId="0" borderId="1" xfId="2865" applyFont="1" applyBorder="1" applyAlignment="1">
      <alignment horizontal="center" vertical="center"/>
    </xf>
    <xf numFmtId="42" fontId="0" fillId="0" borderId="2" xfId="2865" applyFont="1" applyBorder="1" applyAlignment="1">
      <alignment horizontal="center" vertical="center"/>
    </xf>
    <xf numFmtId="10" fontId="4" fillId="0" borderId="0" xfId="21" applyNumberFormat="1" applyFont="1" applyAlignment="1">
      <alignment vertical="center"/>
    </xf>
    <xf numFmtId="0" fontId="11"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1" fillId="0" borderId="0" xfId="0" applyFont="1" applyAlignment="1">
      <alignment horizontal="center" vertical="center"/>
    </xf>
    <xf numFmtId="0" fontId="22" fillId="4"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0" fillId="0" borderId="0" xfId="0" applyAlignment="1">
      <alignment horizontal="center"/>
    </xf>
    <xf numFmtId="42" fontId="2" fillId="16" borderId="1" xfId="0" applyNumberFormat="1" applyFont="1" applyFill="1" applyBorder="1" applyAlignment="1">
      <alignment horizontal="center" vertical="center" wrapText="1"/>
    </xf>
    <xf numFmtId="0" fontId="0" fillId="0" borderId="1" xfId="0" applyBorder="1" applyAlignment="1">
      <alignment horizontal="center" vertical="center"/>
    </xf>
    <xf numFmtId="9" fontId="5" fillId="0" borderId="1" xfId="24" applyFont="1" applyFill="1" applyBorder="1" applyAlignment="1">
      <alignment horizontal="center" vertical="center"/>
    </xf>
    <xf numFmtId="10" fontId="5" fillId="0" borderId="1" xfId="24"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 fontId="2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5" fillId="0" borderId="0" xfId="0" applyFont="1" applyFill="1" applyAlignment="1">
      <alignment horizontal="center" vertical="center"/>
    </xf>
    <xf numFmtId="3" fontId="82" fillId="0" borderId="1" xfId="24"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9" fontId="25"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74" fillId="0" borderId="1" xfId="2867" applyFont="1" applyFill="1" applyBorder="1" applyAlignment="1">
      <alignment horizontal="center" vertical="center" wrapText="1"/>
    </xf>
    <xf numFmtId="184" fontId="25" fillId="0" borderId="1" xfId="0" applyNumberFormat="1" applyFont="1" applyFill="1" applyBorder="1" applyAlignment="1">
      <alignment horizontal="center" vertical="center"/>
    </xf>
    <xf numFmtId="9" fontId="83" fillId="0" borderId="1" xfId="24" applyFont="1" applyFill="1" applyBorder="1" applyAlignment="1">
      <alignment horizontal="center" vertical="center"/>
    </xf>
    <xf numFmtId="10" fontId="83" fillId="0" borderId="1" xfId="24" applyNumberFormat="1" applyFont="1" applyFill="1" applyBorder="1" applyAlignment="1">
      <alignment horizontal="center" vertical="center" wrapText="1"/>
    </xf>
    <xf numFmtId="10" fontId="86" fillId="0" borderId="1" xfId="24" applyNumberFormat="1" applyFont="1" applyFill="1" applyBorder="1" applyAlignment="1">
      <alignment horizontal="center" vertical="center"/>
    </xf>
    <xf numFmtId="9" fontId="83" fillId="0" borderId="2" xfId="24" applyFont="1" applyFill="1" applyBorder="1" applyAlignment="1">
      <alignment horizontal="center" vertical="center"/>
    </xf>
    <xf numFmtId="10" fontId="83" fillId="0" borderId="2" xfId="24" applyNumberFormat="1" applyFont="1" applyFill="1" applyBorder="1" applyAlignment="1">
      <alignment horizontal="center" vertical="center" wrapText="1"/>
    </xf>
    <xf numFmtId="10" fontId="86" fillId="0" borderId="2" xfId="24" applyNumberFormat="1" applyFont="1" applyFill="1" applyBorder="1" applyAlignment="1">
      <alignment horizontal="center" vertical="center"/>
    </xf>
    <xf numFmtId="9" fontId="83" fillId="4" borderId="34" xfId="24" applyFont="1" applyFill="1" applyBorder="1" applyAlignment="1">
      <alignment horizontal="center" vertical="center"/>
    </xf>
    <xf numFmtId="10" fontId="83" fillId="4" borderId="34" xfId="24" applyNumberFormat="1" applyFont="1" applyFill="1" applyBorder="1" applyAlignment="1">
      <alignment horizontal="center" vertical="center" wrapText="1"/>
    </xf>
    <xf numFmtId="10" fontId="86" fillId="4" borderId="34" xfId="24" applyNumberFormat="1" applyFont="1" applyFill="1" applyBorder="1" applyAlignment="1">
      <alignment horizontal="center" vertical="center"/>
    </xf>
    <xf numFmtId="10" fontId="83" fillId="4" borderId="35" xfId="24" applyNumberFormat="1" applyFont="1" applyFill="1" applyBorder="1" applyAlignment="1">
      <alignment horizontal="center" vertical="center" wrapText="1"/>
    </xf>
    <xf numFmtId="42" fontId="86" fillId="4" borderId="46" xfId="2865" applyFont="1" applyFill="1" applyBorder="1" applyAlignment="1">
      <alignment horizontal="center" vertical="center"/>
    </xf>
    <xf numFmtId="180" fontId="86" fillId="23" borderId="14" xfId="10" applyNumberFormat="1" applyFont="1" applyFill="1" applyBorder="1" applyAlignment="1">
      <alignment horizontal="center" vertical="center"/>
    </xf>
    <xf numFmtId="180" fontId="3" fillId="23" borderId="38"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182" fontId="82"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4" fontId="58" fillId="0" borderId="1" xfId="0" applyNumberFormat="1"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80" fontId="0" fillId="0" borderId="1" xfId="0" applyNumberFormat="1" applyFill="1" applyBorder="1" applyAlignment="1">
      <alignment horizontal="center" vertical="center"/>
    </xf>
    <xf numFmtId="0" fontId="59" fillId="0" borderId="1" xfId="0" applyFont="1" applyFill="1" applyBorder="1" applyAlignment="1">
      <alignment horizontal="center" vertical="center"/>
    </xf>
    <xf numFmtId="3" fontId="61"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 fontId="59" fillId="0" borderId="1" xfId="0" applyNumberFormat="1" applyFont="1" applyFill="1" applyBorder="1" applyAlignment="1">
      <alignment horizontal="center" vertical="center"/>
    </xf>
    <xf numFmtId="1" fontId="58" fillId="0" borderId="1" xfId="0"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80" fontId="58" fillId="0" borderId="1" xfId="0" applyNumberFormat="1" applyFont="1" applyFill="1" applyBorder="1" applyAlignment="1">
      <alignment horizontal="center" vertical="center"/>
    </xf>
    <xf numFmtId="180" fontId="25"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0" fontId="12" fillId="16" borderId="8" xfId="0" applyFont="1" applyFill="1" applyBorder="1" applyAlignment="1" applyProtection="1">
      <alignment horizontal="left" vertical="center" wrapText="1"/>
      <protection locked="0"/>
    </xf>
    <xf numFmtId="181" fontId="12" fillId="17" borderId="8" xfId="0" applyNumberFormat="1" applyFont="1" applyFill="1" applyBorder="1" applyAlignment="1" applyProtection="1">
      <alignment horizontal="left" vertical="center" wrapText="1"/>
      <protection locked="0"/>
    </xf>
    <xf numFmtId="181" fontId="12" fillId="20" borderId="8" xfId="0" applyNumberFormat="1" applyFont="1" applyFill="1" applyBorder="1" applyAlignment="1" applyProtection="1">
      <alignment horizontal="left" vertical="center" wrapText="1"/>
      <protection locked="0"/>
    </xf>
    <xf numFmtId="180" fontId="12" fillId="16" borderId="8" xfId="0" applyNumberFormat="1" applyFont="1" applyFill="1" applyBorder="1" applyAlignment="1" applyProtection="1">
      <alignment horizontal="left" vertical="top" wrapText="1"/>
      <protection locked="0"/>
    </xf>
    <xf numFmtId="180" fontId="12" fillId="17" borderId="8" xfId="0" applyNumberFormat="1" applyFont="1" applyFill="1" applyBorder="1" applyAlignment="1" applyProtection="1">
      <alignment horizontal="left" vertical="top" wrapText="1"/>
      <protection locked="0"/>
    </xf>
    <xf numFmtId="9" fontId="3" fillId="0" borderId="1" xfId="24" applyFont="1" applyFill="1" applyBorder="1" applyAlignment="1">
      <alignment horizontal="center" vertical="center" wrapText="1"/>
    </xf>
    <xf numFmtId="180" fontId="3" fillId="0" borderId="1" xfId="10" applyNumberFormat="1" applyFont="1" applyFill="1" applyBorder="1" applyAlignment="1">
      <alignment horizontal="center" vertical="center" wrapText="1"/>
    </xf>
    <xf numFmtId="42" fontId="86" fillId="0" borderId="1" xfId="2865" applyFont="1" applyFill="1" applyBorder="1" applyAlignment="1">
      <alignment horizontal="center" vertical="center"/>
    </xf>
    <xf numFmtId="4" fontId="3" fillId="0" borderId="1" xfId="24" applyNumberFormat="1" applyFont="1" applyFill="1" applyBorder="1" applyAlignment="1">
      <alignment horizontal="center" vertical="center" wrapText="1"/>
    </xf>
    <xf numFmtId="42" fontId="3" fillId="0" borderId="1" xfId="2865" applyFont="1" applyFill="1" applyBorder="1" applyAlignment="1">
      <alignment horizontal="center" vertical="center"/>
    </xf>
    <xf numFmtId="42" fontId="47" fillId="0" borderId="1" xfId="2865" applyFont="1" applyFill="1" applyBorder="1"/>
    <xf numFmtId="42" fontId="34" fillId="0" borderId="1" xfId="2865" applyFont="1" applyFill="1" applyBorder="1"/>
    <xf numFmtId="0" fontId="87" fillId="16" borderId="4" xfId="0" applyFont="1" applyFill="1" applyBorder="1" applyAlignment="1">
      <alignment horizontal="center" vertical="center" wrapText="1"/>
    </xf>
    <xf numFmtId="0" fontId="87" fillId="20" borderId="4" xfId="0" applyFont="1" applyFill="1" applyBorder="1" applyAlignment="1">
      <alignment horizontal="center" vertical="center" wrapText="1"/>
    </xf>
    <xf numFmtId="0" fontId="87" fillId="17" borderId="4" xfId="0" applyFont="1" applyFill="1" applyBorder="1" applyAlignment="1">
      <alignment horizontal="center" vertical="center" wrapText="1"/>
    </xf>
    <xf numFmtId="0" fontId="87" fillId="21" borderId="4" xfId="0" applyFont="1" applyFill="1" applyBorder="1" applyAlignment="1">
      <alignment horizontal="center" vertical="center" wrapText="1"/>
    </xf>
    <xf numFmtId="0" fontId="87" fillId="19" borderId="4"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11" fillId="16" borderId="47" xfId="0" applyFont="1" applyFill="1" applyBorder="1" applyAlignment="1">
      <alignment horizontal="center" vertical="center" wrapText="1"/>
    </xf>
    <xf numFmtId="0" fontId="11" fillId="21" borderId="47" xfId="0" applyFont="1" applyFill="1" applyBorder="1" applyAlignment="1">
      <alignment horizontal="center" vertical="center" wrapText="1"/>
    </xf>
    <xf numFmtId="9" fontId="3" fillId="0" borderId="2" xfId="24" applyFont="1" applyFill="1" applyBorder="1" applyAlignment="1">
      <alignment horizontal="center" vertical="center" wrapText="1"/>
    </xf>
    <xf numFmtId="9" fontId="2" fillId="0" borderId="2" xfId="24"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wrapText="1"/>
    </xf>
    <xf numFmtId="9" fontId="2" fillId="0" borderId="2" xfId="21" applyFont="1" applyFill="1" applyBorder="1" applyAlignment="1">
      <alignment horizontal="center" vertical="center" wrapText="1"/>
    </xf>
    <xf numFmtId="1" fontId="2" fillId="0" borderId="2" xfId="2865"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9" fontId="33" fillId="0" borderId="2" xfId="21" applyFont="1" applyFill="1" applyBorder="1" applyAlignment="1">
      <alignment horizontal="center" vertical="center"/>
    </xf>
    <xf numFmtId="183" fontId="3" fillId="0" borderId="5" xfId="24"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183" fontId="2"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183" fontId="4" fillId="0" borderId="5" xfId="2865"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9" fontId="33" fillId="0" borderId="5" xfId="21" applyFont="1" applyFill="1" applyBorder="1" applyAlignment="1">
      <alignment horizontal="center" vertical="center"/>
    </xf>
    <xf numFmtId="9" fontId="83" fillId="0" borderId="5" xfId="24" applyFont="1" applyFill="1" applyBorder="1" applyAlignment="1">
      <alignment horizontal="center" vertical="center"/>
    </xf>
    <xf numFmtId="10" fontId="83" fillId="0" borderId="5" xfId="24" applyNumberFormat="1" applyFont="1" applyFill="1" applyBorder="1" applyAlignment="1">
      <alignment horizontal="center" vertical="center" wrapText="1"/>
    </xf>
    <xf numFmtId="10" fontId="86" fillId="0" borderId="5" xfId="24" applyNumberFormat="1" applyFont="1" applyFill="1" applyBorder="1" applyAlignment="1">
      <alignment horizontal="center" vertical="center"/>
    </xf>
    <xf numFmtId="42" fontId="68" fillId="4" borderId="34" xfId="2865" applyFont="1" applyFill="1" applyBorder="1" applyAlignment="1">
      <alignment horizontal="center" vertical="center"/>
    </xf>
    <xf numFmtId="42" fontId="2" fillId="4" borderId="34" xfId="2865" applyFont="1" applyFill="1" applyBorder="1" applyAlignment="1">
      <alignment horizontal="center" vertical="center" wrapText="1"/>
    </xf>
    <xf numFmtId="42" fontId="2" fillId="4" borderId="34" xfId="2865" applyFont="1" applyFill="1" applyBorder="1" applyAlignment="1">
      <alignment horizontal="center" vertical="center"/>
    </xf>
    <xf numFmtId="181" fontId="25" fillId="4" borderId="34" xfId="9" applyNumberFormat="1" applyFont="1" applyFill="1" applyBorder="1" applyAlignment="1">
      <alignment horizontal="center" vertical="center"/>
    </xf>
    <xf numFmtId="3" fontId="4" fillId="4" borderId="34" xfId="0" applyNumberFormat="1" applyFont="1" applyFill="1" applyBorder="1" applyAlignment="1">
      <alignment horizontal="center" vertical="center" wrapText="1"/>
    </xf>
    <xf numFmtId="180" fontId="25" fillId="4" borderId="34" xfId="9" applyNumberFormat="1" applyFont="1" applyFill="1" applyBorder="1" applyAlignment="1">
      <alignment horizontal="center" vertical="center"/>
    </xf>
    <xf numFmtId="180" fontId="4" fillId="4" borderId="34" xfId="9" applyNumberFormat="1" applyFont="1" applyFill="1" applyBorder="1" applyAlignment="1">
      <alignment horizontal="center" vertical="center"/>
    </xf>
    <xf numFmtId="9" fontId="33" fillId="4" borderId="34" xfId="21" applyFont="1" applyFill="1" applyBorder="1" applyAlignment="1">
      <alignment horizontal="center" vertical="center"/>
    </xf>
    <xf numFmtId="4" fontId="3" fillId="0" borderId="2" xfId="24" applyNumberFormat="1" applyFont="1" applyFill="1" applyBorder="1" applyAlignment="1">
      <alignment horizontal="center" vertical="center" wrapText="1"/>
    </xf>
    <xf numFmtId="183" fontId="2" fillId="0" borderId="2" xfId="21" applyNumberFormat="1" applyFont="1" applyFill="1" applyBorder="1" applyAlignment="1">
      <alignment horizontal="center" vertical="center" wrapText="1"/>
    </xf>
    <xf numFmtId="4" fontId="2" fillId="0" borderId="2" xfId="2865" applyNumberFormat="1" applyFont="1" applyFill="1" applyBorder="1" applyAlignment="1">
      <alignment horizontal="center" vertical="center" wrapText="1"/>
    </xf>
    <xf numFmtId="4" fontId="2" fillId="0" borderId="2" xfId="10"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4" fontId="58" fillId="0" borderId="5" xfId="0" applyNumberFormat="1" applyFont="1" applyFill="1" applyBorder="1" applyAlignment="1">
      <alignment horizontal="center" vertical="center" wrapText="1"/>
    </xf>
    <xf numFmtId="3" fontId="58" fillId="0" borderId="5" xfId="0" applyNumberFormat="1" applyFont="1" applyFill="1" applyBorder="1" applyAlignment="1">
      <alignment horizontal="center" vertical="center" wrapText="1"/>
    </xf>
    <xf numFmtId="3" fontId="62" fillId="0" borderId="5"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1" fontId="58" fillId="0" borderId="5" xfId="2865" applyNumberFormat="1" applyFont="1" applyFill="1" applyBorder="1" applyAlignment="1">
      <alignment horizontal="center" vertical="center" wrapText="1"/>
    </xf>
    <xf numFmtId="42" fontId="54" fillId="4" borderId="34" xfId="2865" applyFont="1" applyFill="1" applyBorder="1" applyAlignment="1">
      <alignment horizontal="center" vertical="center" wrapText="1"/>
    </xf>
    <xf numFmtId="181" fontId="68" fillId="4" borderId="34" xfId="9" applyNumberFormat="1" applyFont="1" applyFill="1" applyBorder="1" applyAlignment="1">
      <alignment horizontal="center" vertical="center"/>
    </xf>
    <xf numFmtId="4" fontId="2" fillId="0" borderId="2" xfId="21" applyNumberFormat="1" applyFont="1" applyFill="1" applyBorder="1" applyAlignment="1">
      <alignment horizontal="center" vertical="center" wrapText="1"/>
    </xf>
    <xf numFmtId="4" fontId="10" fillId="0" borderId="2" xfId="10" applyNumberFormat="1" applyFont="1" applyFill="1" applyBorder="1" applyAlignment="1">
      <alignment horizontal="center" vertical="center" wrapText="1"/>
    </xf>
    <xf numFmtId="4" fontId="58" fillId="0" borderId="2" xfId="0" applyNumberFormat="1" applyFont="1" applyFill="1" applyBorder="1" applyAlignment="1">
      <alignment horizontal="center" vertical="center" wrapText="1"/>
    </xf>
    <xf numFmtId="170" fontId="58" fillId="0" borderId="2" xfId="3" applyFont="1" applyFill="1" applyBorder="1" applyAlignment="1">
      <alignment horizontal="center" vertical="center"/>
    </xf>
    <xf numFmtId="1" fontId="58"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82" fillId="0" borderId="5" xfId="21" applyNumberFormat="1" applyFont="1" applyFill="1" applyBorder="1" applyAlignment="1">
      <alignment horizontal="center" vertical="center" wrapText="1"/>
    </xf>
    <xf numFmtId="3" fontId="2" fillId="0" borderId="5" xfId="21" applyNumberFormat="1" applyFont="1" applyFill="1" applyBorder="1" applyAlignment="1">
      <alignment horizontal="center" vertical="center" wrapText="1"/>
    </xf>
    <xf numFmtId="181" fontId="30" fillId="4" borderId="34" xfId="9" applyNumberFormat="1" applyFont="1" applyFill="1" applyBorder="1" applyAlignment="1">
      <alignment horizontal="center" vertical="center"/>
    </xf>
    <xf numFmtId="3" fontId="58" fillId="4" borderId="34" xfId="0" applyNumberFormat="1" applyFont="1" applyFill="1" applyBorder="1" applyAlignment="1">
      <alignment horizontal="center" vertical="center" wrapText="1"/>
    </xf>
    <xf numFmtId="180" fontId="59" fillId="4" borderId="34" xfId="9" applyNumberFormat="1" applyFont="1" applyFill="1" applyBorder="1" applyAlignment="1">
      <alignment horizontal="center" vertical="center"/>
    </xf>
    <xf numFmtId="180" fontId="58" fillId="4" borderId="34" xfId="9" applyNumberFormat="1" applyFont="1" applyFill="1" applyBorder="1" applyAlignment="1">
      <alignment horizontal="center" vertical="center"/>
    </xf>
    <xf numFmtId="9" fontId="3" fillId="0" borderId="5" xfId="24" applyFont="1" applyFill="1" applyBorder="1" applyAlignment="1">
      <alignment horizontal="center" vertical="center" wrapText="1"/>
    </xf>
    <xf numFmtId="9" fontId="4" fillId="0" borderId="5" xfId="21" applyFont="1" applyFill="1" applyBorder="1" applyAlignment="1">
      <alignment horizontal="center" vertical="center" wrapText="1"/>
    </xf>
    <xf numFmtId="9" fontId="16" fillId="0" borderId="5" xfId="21" applyFont="1" applyFill="1" applyBorder="1" applyAlignment="1">
      <alignment horizontal="center" vertical="center" wrapText="1"/>
    </xf>
    <xf numFmtId="9" fontId="10" fillId="0" borderId="5" xfId="21" applyFont="1" applyFill="1" applyBorder="1" applyAlignment="1">
      <alignment horizontal="center" vertical="center" wrapText="1"/>
    </xf>
    <xf numFmtId="9" fontId="61" fillId="0" borderId="5" xfId="21" applyFont="1" applyFill="1" applyBorder="1" applyAlignment="1">
      <alignment horizontal="center" vertical="center" wrapText="1"/>
    </xf>
    <xf numFmtId="3" fontId="18" fillId="0" borderId="2" xfId="10" applyNumberFormat="1" applyFont="1" applyFill="1" applyBorder="1" applyAlignment="1">
      <alignment horizontal="center" vertical="center" wrapText="1"/>
    </xf>
    <xf numFmtId="4" fontId="58" fillId="0" borderId="2" xfId="10" applyNumberFormat="1" applyFont="1" applyFill="1" applyBorder="1" applyAlignment="1">
      <alignment horizontal="center" vertical="center" wrapText="1"/>
    </xf>
    <xf numFmtId="182" fontId="58" fillId="0" borderId="2" xfId="0" applyNumberFormat="1" applyFont="1" applyFill="1" applyBorder="1" applyAlignment="1">
      <alignment horizontal="center" vertical="center" wrapText="1"/>
    </xf>
    <xf numFmtId="182" fontId="58" fillId="0" borderId="2" xfId="10" applyNumberFormat="1" applyFont="1" applyFill="1" applyBorder="1" applyAlignment="1">
      <alignment horizontal="center" vertical="center" wrapText="1"/>
    </xf>
    <xf numFmtId="3" fontId="58" fillId="0" borderId="2" xfId="10" applyNumberFormat="1" applyFont="1" applyFill="1" applyBorder="1" applyAlignment="1">
      <alignment horizontal="center" vertical="center" wrapText="1"/>
    </xf>
    <xf numFmtId="3" fontId="82" fillId="0" borderId="5" xfId="0"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19" fillId="4" borderId="34"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10" fontId="4" fillId="0" borderId="5" xfId="21" applyNumberFormat="1" applyFont="1" applyFill="1" applyBorder="1" applyAlignment="1">
      <alignment horizontal="center" vertical="center" wrapText="1"/>
    </xf>
    <xf numFmtId="9" fontId="59" fillId="0" borderId="5" xfId="21" applyFont="1" applyFill="1" applyBorder="1" applyAlignment="1">
      <alignment horizontal="center" vertical="center"/>
    </xf>
    <xf numFmtId="9" fontId="30" fillId="0" borderId="5" xfId="21" applyFont="1" applyFill="1" applyBorder="1" applyAlignment="1">
      <alignment horizontal="center" vertical="center"/>
    </xf>
    <xf numFmtId="9" fontId="58" fillId="0" borderId="5" xfId="21" applyFont="1" applyFill="1" applyBorder="1" applyAlignment="1">
      <alignment horizontal="center" vertical="center" wrapText="1"/>
    </xf>
    <xf numFmtId="9" fontId="30" fillId="0" borderId="2" xfId="21" applyFont="1" applyFill="1" applyBorder="1" applyAlignment="1">
      <alignment horizontal="center" vertical="center"/>
    </xf>
    <xf numFmtId="9" fontId="58" fillId="0" borderId="2" xfId="21" applyFont="1" applyFill="1" applyBorder="1" applyAlignment="1">
      <alignment horizontal="center" vertical="center" wrapText="1"/>
    </xf>
    <xf numFmtId="9" fontId="58" fillId="0" borderId="2" xfId="21" applyFont="1" applyFill="1" applyBorder="1" applyAlignment="1">
      <alignment horizontal="center" vertical="center"/>
    </xf>
    <xf numFmtId="180" fontId="4" fillId="0" borderId="5" xfId="10" applyNumberFormat="1" applyFont="1" applyFill="1" applyBorder="1" applyAlignment="1">
      <alignment horizontal="center" vertical="center" wrapText="1"/>
    </xf>
    <xf numFmtId="180" fontId="4" fillId="0" borderId="43" xfId="10" applyNumberFormat="1" applyFont="1" applyFill="1" applyBorder="1" applyAlignment="1">
      <alignment horizontal="center" vertical="center" wrapText="1"/>
    </xf>
    <xf numFmtId="180" fontId="25" fillId="0" borderId="7" xfId="9" applyNumberFormat="1" applyFont="1" applyFill="1" applyBorder="1" applyAlignment="1">
      <alignment horizontal="center" vertical="center"/>
    </xf>
    <xf numFmtId="180" fontId="2" fillId="0" borderId="7" xfId="0" applyNumberFormat="1" applyFont="1" applyFill="1" applyBorder="1" applyAlignment="1">
      <alignment horizontal="center" vertical="center" wrapText="1"/>
    </xf>
    <xf numFmtId="180" fontId="3" fillId="23" borderId="13" xfId="10" applyNumberFormat="1" applyFont="1" applyFill="1" applyBorder="1" applyAlignment="1">
      <alignment horizontal="center" vertical="center" wrapText="1"/>
    </xf>
    <xf numFmtId="180" fontId="2" fillId="23" borderId="3" xfId="10" applyNumberFormat="1" applyFont="1" applyFill="1" applyBorder="1" applyAlignment="1">
      <alignment horizontal="center" vertical="center" wrapText="1"/>
    </xf>
    <xf numFmtId="42" fontId="68" fillId="23" borderId="3" xfId="2865" applyFont="1" applyFill="1" applyBorder="1" applyAlignment="1">
      <alignment horizontal="center" vertical="center"/>
    </xf>
    <xf numFmtId="180" fontId="2" fillId="23" borderId="10" xfId="10" applyNumberFormat="1" applyFont="1" applyFill="1" applyBorder="1" applyAlignment="1">
      <alignment horizontal="center" vertical="center" wrapText="1"/>
    </xf>
    <xf numFmtId="180" fontId="68" fillId="23" borderId="1" xfId="9" applyNumberFormat="1" applyFont="1" applyFill="1" applyBorder="1" applyAlignment="1">
      <alignment horizontal="center" vertical="center"/>
    </xf>
    <xf numFmtId="180" fontId="68" fillId="23" borderId="11" xfId="9" applyNumberFormat="1" applyFont="1" applyFill="1" applyBorder="1" applyAlignment="1">
      <alignment horizontal="center" vertical="center"/>
    </xf>
    <xf numFmtId="180" fontId="2" fillId="23" borderId="4" xfId="0" applyNumberFormat="1" applyFont="1" applyFill="1" applyBorder="1" applyAlignment="1">
      <alignment horizontal="center" vertical="center" wrapText="1"/>
    </xf>
    <xf numFmtId="180" fontId="2" fillId="23" borderId="12" xfId="0" applyNumberFormat="1" applyFont="1" applyFill="1" applyBorder="1" applyAlignment="1">
      <alignment horizontal="center" vertical="center" wrapText="1"/>
    </xf>
    <xf numFmtId="10" fontId="4" fillId="0" borderId="1" xfId="16" applyNumberFormat="1" applyFill="1" applyBorder="1" applyAlignment="1">
      <alignment horizontal="center" vertical="center" wrapText="1"/>
    </xf>
    <xf numFmtId="10" fontId="33"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10" fontId="83" fillId="0" borderId="1" xfId="16" applyNumberFormat="1" applyFont="1" applyFill="1" applyBorder="1" applyAlignment="1">
      <alignment horizontal="center" vertical="center" wrapText="1"/>
    </xf>
    <xf numFmtId="173" fontId="4" fillId="0" borderId="1" xfId="16" applyNumberFormat="1" applyFill="1" applyBorder="1" applyAlignment="1">
      <alignment horizontal="center" vertical="center" wrapText="1"/>
    </xf>
    <xf numFmtId="10" fontId="82" fillId="0" borderId="1" xfId="16" applyNumberFormat="1" applyFont="1" applyFill="1" applyBorder="1" applyAlignment="1">
      <alignment horizontal="center" vertical="center" wrapText="1"/>
    </xf>
    <xf numFmtId="0" fontId="35" fillId="0" borderId="0" xfId="0" applyFont="1"/>
    <xf numFmtId="42" fontId="35" fillId="0" borderId="0" xfId="2865" applyFont="1" applyBorder="1"/>
    <xf numFmtId="0" fontId="35" fillId="0" borderId="0" xfId="0" applyFont="1" applyBorder="1"/>
    <xf numFmtId="9" fontId="88" fillId="0" borderId="0" xfId="21" applyFont="1" applyFill="1" applyBorder="1" applyAlignment="1">
      <alignment horizontal="center" vertical="center"/>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9" fillId="0" borderId="13" xfId="0" applyFont="1" applyBorder="1" applyAlignment="1">
      <alignment horizontal="center"/>
    </xf>
    <xf numFmtId="0" fontId="29" fillId="0" borderId="3" xfId="0" applyFont="1" applyBorder="1" applyAlignment="1">
      <alignment horizontal="center"/>
    </xf>
    <xf numFmtId="0" fontId="29" fillId="0" borderId="14" xfId="0" applyFont="1" applyBorder="1" applyAlignment="1">
      <alignment horizontal="center"/>
    </xf>
    <xf numFmtId="0" fontId="29" fillId="0" borderId="1" xfId="0" applyFont="1" applyBorder="1" applyAlignment="1">
      <alignment horizontal="center"/>
    </xf>
    <xf numFmtId="0" fontId="66" fillId="16" borderId="3" xfId="0" applyFont="1" applyFill="1" applyBorder="1" applyAlignment="1">
      <alignment horizontal="center" vertical="center" wrapText="1"/>
    </xf>
    <xf numFmtId="0" fontId="66" fillId="16" borderId="10" xfId="0" applyFont="1" applyFill="1" applyBorder="1" applyAlignment="1">
      <alignment horizontal="center" vertical="center" wrapText="1"/>
    </xf>
    <xf numFmtId="0" fontId="67" fillId="16" borderId="1" xfId="0" applyFont="1" applyFill="1" applyBorder="1" applyAlignment="1">
      <alignment horizontal="center"/>
    </xf>
    <xf numFmtId="0" fontId="67" fillId="16" borderId="11" xfId="0" applyFont="1" applyFill="1" applyBorder="1" applyAlignment="1">
      <alignment horizontal="center"/>
    </xf>
    <xf numFmtId="0" fontId="28" fillId="3" borderId="1" xfId="0" applyFont="1" applyFill="1" applyBorder="1" applyAlignment="1">
      <alignment vertical="center" wrapText="1"/>
    </xf>
    <xf numFmtId="0" fontId="28" fillId="3" borderId="1"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10" fillId="16" borderId="38"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11" fillId="20" borderId="44" xfId="0" applyFont="1" applyFill="1" applyBorder="1" applyAlignment="1">
      <alignment horizontal="center" vertical="center" wrapText="1"/>
    </xf>
    <xf numFmtId="0" fontId="11" fillId="20" borderId="45" xfId="0" applyFont="1" applyFill="1" applyBorder="1" applyAlignment="1">
      <alignment horizontal="center" vertical="center" wrapText="1"/>
    </xf>
    <xf numFmtId="0" fontId="10" fillId="24" borderId="44" xfId="0" applyFont="1" applyFill="1" applyBorder="1" applyAlignment="1">
      <alignment horizontal="center" vertical="center" wrapText="1"/>
    </xf>
    <xf numFmtId="0" fontId="10" fillId="24" borderId="45" xfId="0" applyFont="1" applyFill="1" applyBorder="1" applyAlignment="1">
      <alignment horizontal="center" vertical="center" wrapText="1"/>
    </xf>
    <xf numFmtId="0" fontId="61" fillId="16" borderId="1" xfId="0" applyFont="1" applyFill="1" applyBorder="1" applyAlignment="1">
      <alignment horizontal="center" vertical="center" wrapText="1"/>
    </xf>
    <xf numFmtId="0" fontId="61" fillId="20" borderId="1" xfId="0" applyFont="1" applyFill="1" applyBorder="1" applyAlignment="1">
      <alignment horizontal="center" vertical="center"/>
    </xf>
    <xf numFmtId="0" fontId="10" fillId="17" borderId="44" xfId="0" applyFont="1" applyFill="1" applyBorder="1" applyAlignment="1">
      <alignment horizontal="center" vertical="center" wrapText="1"/>
    </xf>
    <xf numFmtId="0" fontId="10" fillId="17" borderId="45" xfId="0" applyFont="1" applyFill="1" applyBorder="1" applyAlignment="1">
      <alignment horizontal="center" vertical="center" wrapText="1"/>
    </xf>
    <xf numFmtId="180" fontId="21" fillId="16" borderId="5" xfId="0" applyNumberFormat="1" applyFont="1" applyFill="1" applyBorder="1" applyAlignment="1">
      <alignment horizontal="center" wrapText="1"/>
    </xf>
    <xf numFmtId="180" fontId="21" fillId="16" borderId="1" xfId="0" applyNumberFormat="1" applyFont="1" applyFill="1" applyBorder="1" applyAlignment="1">
      <alignment horizontal="center" wrapText="1"/>
    </xf>
    <xf numFmtId="0" fontId="10" fillId="20" borderId="44" xfId="0" applyFont="1" applyFill="1" applyBorder="1" applyAlignment="1">
      <alignment horizontal="center" vertical="center" wrapText="1"/>
    </xf>
    <xf numFmtId="0" fontId="10" fillId="20" borderId="45" xfId="0" applyFont="1" applyFill="1" applyBorder="1" applyAlignment="1">
      <alignment horizontal="center" vertical="center" wrapText="1"/>
    </xf>
    <xf numFmtId="0" fontId="10" fillId="20" borderId="48"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0" fillId="0" borderId="0" xfId="0" applyAlignment="1">
      <alignment horizontal="center" vertical="center"/>
    </xf>
    <xf numFmtId="0" fontId="33" fillId="0" borderId="1" xfId="0" applyFont="1" applyFill="1" applyBorder="1" applyAlignment="1">
      <alignment horizontal="center" vertical="center" wrapText="1"/>
    </xf>
    <xf numFmtId="0" fontId="21" fillId="0" borderId="13" xfId="0" applyFont="1" applyBorder="1" applyAlignment="1">
      <alignment horizontal="center"/>
    </xf>
    <xf numFmtId="0" fontId="21" fillId="0" borderId="3" xfId="0" applyFont="1" applyBorder="1" applyAlignment="1">
      <alignment horizontal="center"/>
    </xf>
    <xf numFmtId="0" fontId="21" fillId="0" borderId="14" xfId="0" applyFont="1" applyBorder="1" applyAlignment="1">
      <alignment horizontal="center"/>
    </xf>
    <xf numFmtId="0" fontId="21"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87" fillId="16" borderId="13" xfId="0" applyFont="1" applyFill="1" applyBorder="1" applyAlignment="1">
      <alignment horizontal="center" vertical="center" wrapText="1"/>
    </xf>
    <xf numFmtId="0" fontId="87" fillId="16" borderId="3" xfId="0" applyFont="1" applyFill="1" applyBorder="1" applyAlignment="1">
      <alignment horizontal="center" vertical="center" wrapText="1"/>
    </xf>
    <xf numFmtId="0" fontId="87" fillId="16" borderId="14" xfId="0" applyFont="1" applyFill="1" applyBorder="1" applyAlignment="1">
      <alignment horizontal="center" vertical="center" wrapText="1"/>
    </xf>
    <xf numFmtId="0" fontId="87" fillId="16" borderId="1"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28" fillId="16" borderId="10"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0" fillId="16" borderId="11" xfId="0" applyFont="1" applyFill="1" applyBorder="1" applyAlignment="1">
      <alignment horizontal="center" vertical="center" wrapText="1"/>
    </xf>
    <xf numFmtId="0" fontId="28" fillId="0" borderId="1" xfId="0" applyFont="1" applyBorder="1" applyAlignment="1">
      <alignment horizontal="left" vertical="center"/>
    </xf>
    <xf numFmtId="0" fontId="87" fillId="16" borderId="3" xfId="0" applyFont="1" applyFill="1" applyBorder="1" applyAlignment="1">
      <alignment horizontal="center" vertical="center"/>
    </xf>
    <xf numFmtId="0" fontId="87" fillId="20" borderId="1" xfId="0" applyFont="1" applyFill="1" applyBorder="1" applyAlignment="1">
      <alignment horizontal="center" vertical="center"/>
    </xf>
    <xf numFmtId="0" fontId="28" fillId="0" borderId="11" xfId="0" applyFont="1" applyBorder="1" applyAlignment="1">
      <alignment horizontal="left" vertical="center"/>
    </xf>
    <xf numFmtId="0" fontId="10" fillId="0" borderId="39"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40" xfId="0" applyFont="1" applyBorder="1" applyAlignment="1">
      <alignment horizontal="left" vertical="center" wrapText="1"/>
    </xf>
    <xf numFmtId="0" fontId="87" fillId="16" borderId="10" xfId="0" applyFont="1" applyFill="1" applyBorder="1" applyAlignment="1">
      <alignment horizontal="center" vertical="center" wrapText="1"/>
    </xf>
    <xf numFmtId="0" fontId="87" fillId="16" borderId="11" xfId="0" applyFont="1" applyFill="1" applyBorder="1" applyAlignment="1">
      <alignment horizontal="center" vertical="center" wrapText="1"/>
    </xf>
    <xf numFmtId="0" fontId="87" fillId="16" borderId="12" xfId="0" applyFont="1" applyFill="1" applyBorder="1" applyAlignment="1">
      <alignment horizontal="center" vertical="center" wrapText="1"/>
    </xf>
    <xf numFmtId="0" fontId="87" fillId="16" borderId="4" xfId="0" applyFont="1" applyFill="1" applyBorder="1" applyAlignment="1">
      <alignment horizontal="center" vertical="center" wrapText="1"/>
    </xf>
    <xf numFmtId="0" fontId="10" fillId="24" borderId="48" xfId="0" applyFont="1" applyFill="1" applyBorder="1" applyAlignment="1">
      <alignment horizontal="center" vertical="center" wrapText="1"/>
    </xf>
    <xf numFmtId="0" fontId="61" fillId="20" borderId="16" xfId="0" applyFont="1" applyFill="1" applyBorder="1" applyAlignment="1">
      <alignment horizontal="center" vertical="center" wrapText="1"/>
    </xf>
    <xf numFmtId="0" fontId="61" fillId="20" borderId="18" xfId="0" applyFont="1" applyFill="1" applyBorder="1" applyAlignment="1">
      <alignment horizontal="center" vertical="center" wrapText="1"/>
    </xf>
    <xf numFmtId="0" fontId="61" fillId="20" borderId="20" xfId="0" applyFont="1" applyFill="1" applyBorder="1" applyAlignment="1">
      <alignment horizontal="center" vertical="center" wrapText="1"/>
    </xf>
    <xf numFmtId="0" fontId="4" fillId="0" borderId="1" xfId="0" applyFont="1" applyBorder="1" applyAlignment="1">
      <alignment horizontal="center" vertical="center" wrapText="1"/>
    </xf>
    <xf numFmtId="0" fontId="34" fillId="0" borderId="1" xfId="0" applyFont="1" applyFill="1" applyBorder="1" applyAlignment="1">
      <alignment horizontal="left" vertical="top" wrapText="1"/>
    </xf>
    <xf numFmtId="0" fontId="34" fillId="0" borderId="7" xfId="0" applyFont="1" applyFill="1" applyBorder="1" applyAlignment="1">
      <alignment horizontal="left" vertical="top" wrapText="1"/>
    </xf>
    <xf numFmtId="0" fontId="22" fillId="4" borderId="1" xfId="0" applyFont="1" applyFill="1" applyBorder="1" applyAlignment="1">
      <alignment horizontal="center" vertical="center"/>
    </xf>
    <xf numFmtId="0" fontId="22"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47" fillId="0" borderId="1" xfId="0" applyFont="1"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0" fontId="4" fillId="0" borderId="1" xfId="16" applyFill="1" applyBorder="1" applyAlignment="1">
      <alignment horizontal="left" vertical="top" wrapText="1"/>
    </xf>
    <xf numFmtId="0" fontId="2" fillId="16" borderId="1" xfId="16"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4" fillId="0" borderId="1" xfId="16" applyBorder="1" applyAlignment="1">
      <alignment horizontal="center" vertical="center" wrapText="1"/>
    </xf>
    <xf numFmtId="0" fontId="4" fillId="0" borderId="1" xfId="16" applyFill="1" applyBorder="1" applyAlignment="1">
      <alignment horizontal="justify" vertical="top" wrapText="1"/>
    </xf>
    <xf numFmtId="10" fontId="2" fillId="0" borderId="1" xfId="0" applyNumberFormat="1" applyFont="1" applyBorder="1" applyAlignment="1" applyProtection="1">
      <alignment horizontal="center" vertical="center" wrapText="1"/>
      <protection locked="0"/>
    </xf>
    <xf numFmtId="0" fontId="2" fillId="0" borderId="1" xfId="16" applyFont="1" applyFill="1" applyBorder="1" applyAlignment="1">
      <alignment horizontal="left" vertical="top" wrapText="1"/>
    </xf>
    <xf numFmtId="0" fontId="4" fillId="0" borderId="1" xfId="16" applyFill="1" applyBorder="1" applyAlignment="1">
      <alignment horizontal="justify" vertical="top"/>
    </xf>
    <xf numFmtId="0" fontId="4" fillId="0" borderId="2" xfId="16" applyFill="1" applyBorder="1" applyAlignment="1">
      <alignment horizontal="justify" vertical="top" wrapText="1"/>
    </xf>
    <xf numFmtId="0" fontId="4" fillId="0" borderId="5" xfId="16" applyFill="1" applyBorder="1" applyAlignment="1">
      <alignment horizontal="justify" vertical="top" wrapText="1"/>
    </xf>
    <xf numFmtId="0" fontId="4" fillId="0" borderId="1" xfId="16" applyFill="1" applyBorder="1" applyAlignment="1">
      <alignment horizontal="left" vertical="top"/>
    </xf>
    <xf numFmtId="0" fontId="4" fillId="0" borderId="2" xfId="16" applyFill="1" applyBorder="1" applyAlignment="1">
      <alignment horizontal="left" vertical="top" wrapText="1"/>
    </xf>
    <xf numFmtId="0" fontId="4" fillId="0" borderId="5" xfId="16" applyFill="1" applyBorder="1" applyAlignment="1">
      <alignment horizontal="left" vertical="top" wrapText="1"/>
    </xf>
    <xf numFmtId="0" fontId="33" fillId="0" borderId="2" xfId="16" applyFont="1" applyFill="1" applyBorder="1" applyAlignment="1">
      <alignment vertical="center" wrapText="1"/>
    </xf>
    <xf numFmtId="0" fontId="33" fillId="0" borderId="5" xfId="16" applyFont="1" applyFill="1" applyBorder="1" applyAlignment="1">
      <alignment vertical="center" wrapText="1"/>
    </xf>
    <xf numFmtId="0" fontId="33" fillId="0" borderId="1" xfId="16" applyFont="1" applyFill="1" applyBorder="1" applyAlignment="1">
      <alignment vertical="center" wrapText="1"/>
    </xf>
    <xf numFmtId="0" fontId="4" fillId="3" borderId="1" xfId="16" applyFill="1" applyBorder="1" applyAlignment="1">
      <alignment horizontal="center" vertical="center" wrapText="1"/>
    </xf>
    <xf numFmtId="0" fontId="33" fillId="0" borderId="1" xfId="16" applyFont="1" applyFill="1" applyBorder="1" applyAlignment="1">
      <alignment horizontal="justify" vertical="top" wrapText="1"/>
    </xf>
    <xf numFmtId="0" fontId="33" fillId="0" borderId="1" xfId="16" applyFont="1" applyFill="1" applyBorder="1" applyAlignment="1">
      <alignment horizontal="justify" vertical="top"/>
    </xf>
    <xf numFmtId="0" fontId="33" fillId="0" borderId="1" xfId="16" applyFont="1" applyFill="1" applyBorder="1" applyAlignment="1">
      <alignment horizontal="left" vertical="top" wrapText="1"/>
    </xf>
    <xf numFmtId="0" fontId="33" fillId="0" borderId="1" xfId="16" applyFont="1" applyFill="1" applyBorder="1" applyAlignment="1">
      <alignment horizontal="left" vertical="top"/>
    </xf>
    <xf numFmtId="0" fontId="4" fillId="0" borderId="1" xfId="16" applyBorder="1" applyAlignment="1">
      <alignment horizontal="justify" vertical="center" wrapText="1"/>
    </xf>
    <xf numFmtId="0" fontId="27" fillId="0" borderId="16" xfId="0" applyFont="1" applyBorder="1" applyAlignment="1">
      <alignment horizontal="center"/>
    </xf>
    <xf numFmtId="0" fontId="27" fillId="0" borderId="17" xfId="0" applyFont="1" applyBorder="1" applyAlignment="1">
      <alignment horizontal="center"/>
    </xf>
    <xf numFmtId="0" fontId="27" fillId="0" borderId="18" xfId="0" applyFont="1" applyBorder="1" applyAlignment="1">
      <alignment horizontal="center"/>
    </xf>
    <xf numFmtId="0" fontId="27" fillId="0" borderId="0" xfId="0" applyFont="1" applyAlignment="1">
      <alignment horizontal="center"/>
    </xf>
    <xf numFmtId="0" fontId="27" fillId="0" borderId="20" xfId="0" applyFont="1" applyBorder="1" applyAlignment="1">
      <alignment horizontal="center"/>
    </xf>
    <xf numFmtId="0" fontId="27" fillId="0" borderId="21" xfId="0" applyFont="1" applyBorder="1" applyAlignment="1">
      <alignment horizontal="center"/>
    </xf>
    <xf numFmtId="0" fontId="28" fillId="16" borderId="13" xfId="0" applyFont="1" applyFill="1" applyBorder="1" applyAlignment="1">
      <alignment horizontal="center" vertical="center" wrapText="1"/>
    </xf>
    <xf numFmtId="0" fontId="70" fillId="16" borderId="14" xfId="0"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15"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9"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3" xfId="16" applyFont="1" applyFill="1" applyBorder="1" applyAlignment="1">
      <alignment horizontal="center" vertical="center" wrapText="1"/>
    </xf>
    <xf numFmtId="0" fontId="2" fillId="16" borderId="38" xfId="16" applyFont="1" applyFill="1" applyBorder="1" applyAlignment="1">
      <alignment horizontal="center" vertical="center" wrapText="1"/>
    </xf>
    <xf numFmtId="0" fontId="28" fillId="3" borderId="29" xfId="0" applyFont="1" applyFill="1" applyBorder="1" applyAlignment="1">
      <alignment horizontal="left" vertical="center" wrapText="1"/>
    </xf>
    <xf numFmtId="0" fontId="28" fillId="3" borderId="22"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10" fontId="33" fillId="0" borderId="1" xfId="16" applyNumberFormat="1" applyFont="1" applyFill="1" applyBorder="1" applyAlignment="1">
      <alignment horizontal="left" vertical="top" wrapText="1"/>
    </xf>
    <xf numFmtId="42" fontId="2" fillId="16" borderId="1" xfId="0" applyNumberFormat="1" applyFont="1" applyFill="1" applyBorder="1" applyAlignment="1">
      <alignment horizontal="center" vertical="center" wrapText="1"/>
    </xf>
    <xf numFmtId="0" fontId="33"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vertical="center" wrapText="1"/>
    </xf>
    <xf numFmtId="0" fontId="16" fillId="0" borderId="1" xfId="0" applyFont="1" applyBorder="1" applyAlignment="1">
      <alignment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5" xfId="0" applyNumberFormat="1" applyFont="1" applyBorder="1" applyAlignment="1">
      <alignment horizontal="center" vertical="center"/>
    </xf>
    <xf numFmtId="0" fontId="33" fillId="0" borderId="5" xfId="0" applyFont="1" applyBorder="1" applyAlignment="1">
      <alignment horizontal="center" vertical="center"/>
    </xf>
    <xf numFmtId="0" fontId="81" fillId="0" borderId="1" xfId="0" applyFont="1" applyBorder="1" applyAlignment="1">
      <alignment vertical="center" wrapText="1"/>
    </xf>
    <xf numFmtId="0" fontId="4" fillId="0" borderId="5" xfId="0" applyFont="1" applyBorder="1" applyAlignment="1">
      <alignment vertical="center" wrapText="1"/>
    </xf>
    <xf numFmtId="0" fontId="30" fillId="16" borderId="20" xfId="19" applyFont="1" applyFill="1" applyBorder="1" applyAlignment="1">
      <alignment horizontal="left" vertical="center" wrapText="1"/>
    </xf>
    <xf numFmtId="0" fontId="30" fillId="16" borderId="21" xfId="19" applyFont="1" applyFill="1" applyBorder="1" applyAlignment="1">
      <alignment horizontal="left" vertical="center" wrapText="1"/>
    </xf>
    <xf numFmtId="0" fontId="30" fillId="16" borderId="27" xfId="19" applyFont="1" applyFill="1" applyBorder="1" applyAlignment="1">
      <alignment horizontal="left" vertical="center" wrapText="1"/>
    </xf>
    <xf numFmtId="0" fontId="30" fillId="0" borderId="16" xfId="19" applyFont="1" applyBorder="1" applyAlignment="1">
      <alignment horizontal="center" vertical="center" wrapText="1"/>
    </xf>
    <xf numFmtId="0" fontId="30" fillId="0" borderId="17" xfId="19" applyFont="1" applyBorder="1" applyAlignment="1">
      <alignment horizontal="center" vertical="center" wrapText="1"/>
    </xf>
    <xf numFmtId="0" fontId="30" fillId="0" borderId="26" xfId="19" applyFont="1" applyBorder="1" applyAlignment="1">
      <alignment horizontal="center" vertical="center" wrapText="1"/>
    </xf>
    <xf numFmtId="0" fontId="2" fillId="20" borderId="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10" fillId="16" borderId="31" xfId="0" applyFont="1" applyFill="1" applyBorder="1" applyAlignment="1">
      <alignment horizontal="left" vertical="center"/>
    </xf>
    <xf numFmtId="0" fontId="10" fillId="16" borderId="32" xfId="0" applyFont="1" applyFill="1" applyBorder="1" applyAlignment="1">
      <alignment horizontal="left" vertical="center"/>
    </xf>
    <xf numFmtId="0" fontId="10" fillId="16" borderId="33" xfId="0" applyFont="1" applyFill="1" applyBorder="1" applyAlignment="1">
      <alignment horizontal="left" vertical="center"/>
    </xf>
    <xf numFmtId="0" fontId="10" fillId="16" borderId="3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33" fillId="0" borderId="1" xfId="0" applyFont="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53" fillId="17" borderId="8" xfId="0" applyFont="1" applyFill="1" applyBorder="1" applyAlignment="1">
      <alignment horizontal="center"/>
    </xf>
    <xf numFmtId="0" fontId="53" fillId="17" borderId="6" xfId="0" applyFont="1" applyFill="1" applyBorder="1" applyAlignment="1">
      <alignment horizontal="center"/>
    </xf>
    <xf numFmtId="0" fontId="53" fillId="17" borderId="7" xfId="0" applyFont="1" applyFill="1" applyBorder="1" applyAlignment="1">
      <alignment horizontal="center"/>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3" fillId="0" borderId="15" xfId="0" applyFont="1" applyBorder="1" applyAlignment="1">
      <alignment horizontal="center" vertical="center"/>
    </xf>
    <xf numFmtId="0" fontId="33" fillId="0" borderId="2" xfId="0" applyFont="1" applyBorder="1" applyAlignment="1">
      <alignment horizontal="center" vertical="center"/>
    </xf>
    <xf numFmtId="9" fontId="33" fillId="0" borderId="1"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53" fillId="17" borderId="8" xfId="0" applyFont="1" applyFill="1" applyBorder="1" applyAlignment="1">
      <alignment horizontal="center" vertical="center"/>
    </xf>
    <xf numFmtId="0" fontId="53" fillId="17" borderId="6" xfId="0" applyFont="1" applyFill="1" applyBorder="1" applyAlignment="1">
      <alignment horizontal="center" vertical="center"/>
    </xf>
    <xf numFmtId="0" fontId="53" fillId="17" borderId="7" xfId="0" applyFont="1" applyFill="1" applyBorder="1" applyAlignment="1">
      <alignment horizontal="center" vertical="center"/>
    </xf>
    <xf numFmtId="0" fontId="33" fillId="0" borderId="15" xfId="0" applyFont="1" applyBorder="1" applyAlignment="1">
      <alignment horizontal="center" vertical="center" wrapText="1"/>
    </xf>
    <xf numFmtId="42" fontId="76" fillId="0" borderId="2" xfId="2865" applyFont="1" applyFill="1" applyBorder="1" applyAlignment="1">
      <alignment horizontal="center" vertical="center" wrapText="1"/>
    </xf>
    <xf numFmtId="42" fontId="76" fillId="0" borderId="5" xfId="2865" applyFont="1" applyFill="1" applyBorder="1" applyAlignment="1">
      <alignment horizontal="center" vertical="center" wrapText="1"/>
    </xf>
    <xf numFmtId="0" fontId="53" fillId="17" borderId="1" xfId="0" applyFont="1" applyFill="1" applyBorder="1" applyAlignment="1">
      <alignment horizontal="center" vertical="center"/>
    </xf>
    <xf numFmtId="42" fontId="80" fillId="0" borderId="2" xfId="2865" applyFont="1" applyFill="1" applyBorder="1" applyAlignment="1">
      <alignment horizontal="center" vertical="center" wrapText="1"/>
    </xf>
    <xf numFmtId="42" fontId="80" fillId="0" borderId="15" xfId="2865" applyFont="1" applyFill="1" applyBorder="1" applyAlignment="1">
      <alignment horizontal="center" vertical="center" wrapText="1"/>
    </xf>
    <xf numFmtId="42" fontId="80" fillId="0" borderId="5" xfId="2865" applyFont="1" applyFill="1" applyBorder="1" applyAlignment="1">
      <alignment horizontal="center" vertical="center" wrapText="1"/>
    </xf>
    <xf numFmtId="0" fontId="0" fillId="0" borderId="1" xfId="0" applyBorder="1" applyAlignment="1">
      <alignment horizontal="center"/>
    </xf>
    <xf numFmtId="0" fontId="49" fillId="16" borderId="1" xfId="0" applyFont="1" applyFill="1" applyBorder="1" applyAlignment="1">
      <alignment horizontal="center" vertical="center"/>
    </xf>
    <xf numFmtId="0" fontId="50" fillId="16" borderId="1" xfId="0" applyFont="1" applyFill="1" applyBorder="1" applyAlignment="1">
      <alignment horizontal="center" vertical="center" wrapText="1"/>
    </xf>
    <xf numFmtId="0" fontId="50" fillId="16" borderId="1" xfId="0" applyFont="1" applyFill="1" applyBorder="1" applyAlignment="1">
      <alignment horizontal="center" vertical="center"/>
    </xf>
    <xf numFmtId="0" fontId="51" fillId="0" borderId="1" xfId="0" applyFont="1" applyBorder="1" applyAlignment="1">
      <alignment horizontal="center"/>
    </xf>
    <xf numFmtId="0" fontId="50" fillId="0" borderId="1" xfId="0" applyFont="1" applyBorder="1" applyAlignment="1">
      <alignment horizontal="center"/>
    </xf>
    <xf numFmtId="0" fontId="75" fillId="16" borderId="1" xfId="0" applyFont="1" applyFill="1" applyBorder="1" applyAlignment="1">
      <alignment horizontal="left" vertical="center"/>
    </xf>
    <xf numFmtId="0" fontId="75" fillId="0" borderId="1" xfId="0" applyFont="1" applyBorder="1" applyAlignment="1">
      <alignment horizontal="left" vertical="top"/>
    </xf>
    <xf numFmtId="0" fontId="0" fillId="0" borderId="1" xfId="0" applyBorder="1" applyAlignment="1">
      <alignment horizontal="center" vertical="center" wrapText="1"/>
    </xf>
    <xf numFmtId="0" fontId="0" fillId="0" borderId="1" xfId="0" applyBorder="1" applyAlignment="1">
      <alignment horizontal="center" vertical="center"/>
    </xf>
    <xf numFmtId="42" fontId="76" fillId="0" borderId="15" xfId="2865" applyFont="1" applyFill="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89" fillId="16" borderId="31" xfId="0" applyFont="1" applyFill="1" applyBorder="1" applyAlignment="1">
      <alignment horizontal="center" vertical="center"/>
    </xf>
    <xf numFmtId="0" fontId="89" fillId="16" borderId="32" xfId="0" applyFont="1" applyFill="1" applyBorder="1" applyAlignment="1">
      <alignment horizontal="center" vertical="center"/>
    </xf>
    <xf numFmtId="0" fontId="89" fillId="16" borderId="33" xfId="0" applyFont="1" applyFill="1" applyBorder="1" applyAlignment="1">
      <alignment horizontal="center" vertical="center"/>
    </xf>
    <xf numFmtId="0" fontId="90" fillId="16" borderId="31" xfId="0" applyFont="1" applyFill="1" applyBorder="1" applyAlignment="1">
      <alignment horizontal="center" vertical="center" wrapText="1"/>
    </xf>
    <xf numFmtId="0" fontId="90" fillId="16" borderId="32" xfId="0" applyFont="1" applyFill="1" applyBorder="1" applyAlignment="1">
      <alignment horizontal="center" vertical="center" wrapText="1"/>
    </xf>
    <xf numFmtId="0" fontId="90" fillId="16" borderId="33" xfId="0" applyFont="1" applyFill="1" applyBorder="1" applyAlignment="1">
      <alignment horizontal="center" vertical="center" wrapText="1"/>
    </xf>
    <xf numFmtId="0" fontId="11" fillId="15" borderId="18" xfId="0" applyFont="1" applyFill="1" applyBorder="1" applyAlignment="1">
      <alignment horizontal="left" vertical="center" wrapText="1"/>
    </xf>
    <xf numFmtId="0" fontId="11" fillId="15" borderId="0" xfId="0" applyFont="1" applyFill="1" applyAlignment="1">
      <alignment horizontal="left" vertical="center" wrapText="1"/>
    </xf>
    <xf numFmtId="0" fontId="11" fillId="15" borderId="19" xfId="0" applyFont="1" applyFill="1" applyBorder="1" applyAlignment="1">
      <alignment horizontal="left" vertical="center" wrapText="1"/>
    </xf>
    <xf numFmtId="0" fontId="11" fillId="15" borderId="31" xfId="0" applyFont="1" applyFill="1" applyBorder="1" applyAlignment="1">
      <alignment horizontal="center" vertical="center"/>
    </xf>
    <xf numFmtId="0" fontId="11" fillId="15" borderId="32" xfId="0" applyFont="1" applyFill="1" applyBorder="1" applyAlignment="1">
      <alignment horizontal="center" vertical="center"/>
    </xf>
    <xf numFmtId="0" fontId="11" fillId="15" borderId="33" xfId="0" applyFont="1" applyFill="1" applyBorder="1" applyAlignment="1">
      <alignment horizontal="center" vertical="center"/>
    </xf>
    <xf numFmtId="0" fontId="10" fillId="3" borderId="31" xfId="0" applyFont="1" applyFill="1" applyBorder="1" applyAlignment="1">
      <alignment horizontal="left" vertical="center"/>
    </xf>
    <xf numFmtId="0" fontId="10" fillId="3" borderId="32" xfId="0" applyFont="1" applyFill="1" applyBorder="1" applyAlignment="1">
      <alignment horizontal="left" vertical="center"/>
    </xf>
    <xf numFmtId="0" fontId="10" fillId="3" borderId="33" xfId="0" applyFont="1" applyFill="1" applyBorder="1" applyAlignment="1">
      <alignment horizontal="left" vertical="center"/>
    </xf>
    <xf numFmtId="0" fontId="11" fillId="15" borderId="31" xfId="0" applyFont="1" applyFill="1" applyBorder="1" applyAlignment="1">
      <alignment horizontal="left" vertical="center" wrapText="1"/>
    </xf>
    <xf numFmtId="0" fontId="11" fillId="15" borderId="32" xfId="0" applyFont="1" applyFill="1" applyBorder="1" applyAlignment="1">
      <alignment horizontal="left" vertical="center" wrapText="1"/>
    </xf>
    <xf numFmtId="0" fontId="11" fillId="15" borderId="33" xfId="0" applyFont="1" applyFill="1" applyBorder="1" applyAlignment="1">
      <alignment horizontal="left" vertical="center" wrapText="1"/>
    </xf>
    <xf numFmtId="0" fontId="4" fillId="0" borderId="5" xfId="0"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3" fontId="16" fillId="0" borderId="5" xfId="0" applyNumberFormat="1" applyFont="1" applyFill="1" applyBorder="1" applyAlignment="1">
      <alignment vertical="center" wrapText="1"/>
    </xf>
    <xf numFmtId="3" fontId="2" fillId="0" borderId="5"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vertical="center" wrapText="1"/>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187" fontId="4" fillId="0"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16" fillId="0" borderId="15" xfId="0" applyNumberFormat="1" applyFont="1" applyFill="1" applyBorder="1" applyAlignment="1">
      <alignment horizontal="center" vertical="center" wrapText="1"/>
    </xf>
    <xf numFmtId="3" fontId="16" fillId="0" borderId="15" xfId="0" applyNumberFormat="1" applyFont="1" applyFill="1" applyBorder="1" applyAlignment="1">
      <alignment vertical="center" wrapText="1"/>
    </xf>
    <xf numFmtId="187" fontId="4" fillId="0" borderId="1" xfId="0" applyNumberFormat="1" applyFont="1" applyFill="1" applyBorder="1" applyAlignment="1">
      <alignment horizontal="center" vertical="center"/>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10" xfId="2868" xr:uid="{25B1F56D-B9D1-2C49-A661-7EFB3AEF3E04}"/>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96FF"/>
      <color rgb="FF0AF0F6"/>
      <color rgb="FF0099FF"/>
      <color rgb="FFFF2600"/>
      <color rgb="FF00FF00"/>
      <color rgb="FF0066FF"/>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541617</xdr:colOff>
      <xdr:row>2</xdr:row>
      <xdr:rowOff>336177</xdr:rowOff>
    </xdr:to>
    <xdr:pic>
      <xdr:nvPicPr>
        <xdr:cNvPr id="2" name="Imagen 1">
          <a:extLst>
            <a:ext uri="{FF2B5EF4-FFF2-40B4-BE49-F238E27FC236}">
              <a16:creationId xmlns:a16="http://schemas.microsoft.com/office/drawing/2014/main" id="{58FA35BA-20E5-CC21-AB4B-CFDBEFE6E99E}"/>
            </a:ext>
          </a:extLst>
        </xdr:cNvPr>
        <xdr:cNvPicPr>
          <a:picLocks noChangeAspect="1"/>
        </xdr:cNvPicPr>
      </xdr:nvPicPr>
      <xdr:blipFill>
        <a:blip xmlns:r="http://schemas.openxmlformats.org/officeDocument/2006/relationships" r:embed="rId1"/>
        <a:stretch>
          <a:fillRect/>
        </a:stretch>
      </xdr:blipFill>
      <xdr:spPr>
        <a:xfrm>
          <a:off x="0" y="1"/>
          <a:ext cx="6293970" cy="1120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747059</xdr:colOff>
      <xdr:row>2</xdr:row>
      <xdr:rowOff>280147</xdr:rowOff>
    </xdr:to>
    <xdr:pic>
      <xdr:nvPicPr>
        <xdr:cNvPr id="2" name="Imagen 1">
          <a:extLst>
            <a:ext uri="{FF2B5EF4-FFF2-40B4-BE49-F238E27FC236}">
              <a16:creationId xmlns:a16="http://schemas.microsoft.com/office/drawing/2014/main" id="{02432982-9F7D-4EEB-A912-42DEB5DE2E62}"/>
            </a:ext>
          </a:extLst>
        </xdr:cNvPr>
        <xdr:cNvPicPr>
          <a:picLocks noChangeAspect="1"/>
        </xdr:cNvPicPr>
      </xdr:nvPicPr>
      <xdr:blipFill>
        <a:blip xmlns:r="http://schemas.openxmlformats.org/officeDocument/2006/relationships" r:embed="rId1"/>
        <a:stretch>
          <a:fillRect/>
        </a:stretch>
      </xdr:blipFill>
      <xdr:spPr>
        <a:xfrm>
          <a:off x="0" y="0"/>
          <a:ext cx="2894853" cy="13633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346364</xdr:rowOff>
    </xdr:from>
    <xdr:to>
      <xdr:col>2</xdr:col>
      <xdr:colOff>1612968</xdr:colOff>
      <xdr:row>2</xdr:row>
      <xdr:rowOff>537034</xdr:rowOff>
    </xdr:to>
    <xdr:pic>
      <xdr:nvPicPr>
        <xdr:cNvPr id="2" name="Imagen 1">
          <a:extLst>
            <a:ext uri="{FF2B5EF4-FFF2-40B4-BE49-F238E27FC236}">
              <a16:creationId xmlns:a16="http://schemas.microsoft.com/office/drawing/2014/main" id="{A68B9000-404E-4E22-858D-F85788C9AA27}"/>
            </a:ext>
          </a:extLst>
        </xdr:cNvPr>
        <xdr:cNvPicPr>
          <a:picLocks noChangeAspect="1"/>
        </xdr:cNvPicPr>
      </xdr:nvPicPr>
      <xdr:blipFill>
        <a:blip xmlns:r="http://schemas.openxmlformats.org/officeDocument/2006/relationships" r:embed="rId1"/>
        <a:stretch>
          <a:fillRect/>
        </a:stretch>
      </xdr:blipFill>
      <xdr:spPr>
        <a:xfrm>
          <a:off x="0" y="346364"/>
          <a:ext cx="2890184" cy="13596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750818</xdr:colOff>
      <xdr:row>1</xdr:row>
      <xdr:rowOff>350921</xdr:rowOff>
    </xdr:to>
    <xdr:pic>
      <xdr:nvPicPr>
        <xdr:cNvPr id="2" name="Imagen 1">
          <a:extLst>
            <a:ext uri="{FF2B5EF4-FFF2-40B4-BE49-F238E27FC236}">
              <a16:creationId xmlns:a16="http://schemas.microsoft.com/office/drawing/2014/main" id="{B7BACACD-48E7-46B2-BDFC-3EAF6EBD1BE1}"/>
            </a:ext>
          </a:extLst>
        </xdr:cNvPr>
        <xdr:cNvPicPr>
          <a:picLocks noChangeAspect="1"/>
        </xdr:cNvPicPr>
      </xdr:nvPicPr>
      <xdr:blipFill>
        <a:blip xmlns:r="http://schemas.openxmlformats.org/officeDocument/2006/relationships" r:embed="rId1"/>
        <a:stretch>
          <a:fillRect/>
        </a:stretch>
      </xdr:blipFill>
      <xdr:spPr>
        <a:xfrm>
          <a:off x="0" y="0"/>
          <a:ext cx="2890184" cy="7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1785615</xdr:colOff>
      <xdr:row>2</xdr:row>
      <xdr:rowOff>388736</xdr:rowOff>
    </xdr:to>
    <xdr:pic>
      <xdr:nvPicPr>
        <xdr:cNvPr id="2" name="Imagen 1">
          <a:extLst>
            <a:ext uri="{FF2B5EF4-FFF2-40B4-BE49-F238E27FC236}">
              <a16:creationId xmlns:a16="http://schemas.microsoft.com/office/drawing/2014/main" id="{D3E3743A-DC94-AF97-4FA6-0E3FE295E871}"/>
            </a:ext>
          </a:extLst>
        </xdr:cNvPr>
        <xdr:cNvPicPr>
          <a:picLocks noChangeAspect="1"/>
        </xdr:cNvPicPr>
      </xdr:nvPicPr>
      <xdr:blipFill>
        <a:blip xmlns:r="http://schemas.openxmlformats.org/officeDocument/2006/relationships" r:embed="rId1"/>
        <a:stretch>
          <a:fillRect/>
        </a:stretch>
      </xdr:blipFill>
      <xdr:spPr>
        <a:xfrm>
          <a:off x="0" y="0"/>
          <a:ext cx="2871465" cy="13412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topLeftCell="A8" zoomScale="73" zoomScaleNormal="73" zoomScaleSheetLayoutView="70" zoomScalePageLayoutView="60" workbookViewId="0">
      <selection activeCell="D13" sqref="D13"/>
    </sheetView>
  </sheetViews>
  <sheetFormatPr baseColWidth="10" defaultColWidth="10.7109375" defaultRowHeight="30.75" customHeight="1" x14ac:dyDescent="0.25"/>
  <cols>
    <col min="1" max="1" width="11.42578125" customWidth="1"/>
    <col min="2" max="2" width="11.140625" customWidth="1"/>
    <col min="3" max="3" width="6.28515625" customWidth="1"/>
    <col min="4" max="4" width="50.140625" customWidth="1"/>
    <col min="5" max="5" width="7.28515625" customWidth="1"/>
    <col min="6" max="6" width="26.140625" customWidth="1"/>
    <col min="7" max="7" width="15.140625" customWidth="1"/>
    <col min="8" max="8" width="8.42578125" customWidth="1"/>
    <col min="9" max="9" width="13" style="10" customWidth="1"/>
    <col min="10" max="10" width="20.7109375" style="10" customWidth="1"/>
    <col min="11" max="24" width="15.7109375" style="10" hidden="1" customWidth="1"/>
    <col min="25" max="26" width="20.7109375" style="10" hidden="1" customWidth="1"/>
    <col min="27" max="27" width="15.7109375" style="10" hidden="1" customWidth="1"/>
    <col min="28" max="29" width="20.7109375" style="10" customWidth="1"/>
    <col min="30" max="30" width="20.7109375" style="10" hidden="1" customWidth="1"/>
    <col min="31" max="47" width="15.7109375" style="10" hidden="1" customWidth="1"/>
    <col min="48" max="48" width="12.7109375" style="10" hidden="1" customWidth="1"/>
    <col min="49" max="49" width="12.28515625" style="10" hidden="1" customWidth="1"/>
    <col min="50" max="50" width="15" style="10" hidden="1" customWidth="1"/>
    <col min="51" max="51" width="11" style="10" hidden="1" customWidth="1"/>
    <col min="52" max="52" width="16" style="10" hidden="1" customWidth="1"/>
    <col min="53" max="54" width="15.7109375" style="10" hidden="1" customWidth="1"/>
    <col min="55" max="55" width="20.7109375" style="10" customWidth="1"/>
    <col min="56" max="57" width="20.7109375" style="10" hidden="1" customWidth="1"/>
    <col min="58" max="59" width="20.7109375" style="10" customWidth="1"/>
    <col min="60" max="60" width="22.5703125" style="10" customWidth="1"/>
    <col min="61" max="84" width="15.7109375" style="10" customWidth="1"/>
    <col min="85" max="87" width="20.7109375" style="10" customWidth="1"/>
    <col min="88" max="88" width="15" style="10" customWidth="1"/>
    <col min="89" max="89" width="16.140625" style="10" customWidth="1"/>
    <col min="90" max="90" width="18.42578125" style="10" customWidth="1"/>
    <col min="91" max="114" width="15.7109375" style="10" hidden="1" customWidth="1"/>
    <col min="115" max="119" width="20.7109375" style="10" hidden="1" customWidth="1"/>
    <col min="120" max="120" width="18.7109375" style="10" customWidth="1"/>
    <col min="121" max="144" width="15.7109375" style="10" hidden="1" customWidth="1"/>
    <col min="145" max="149" width="20.7109375" style="10" hidden="1" customWidth="1"/>
    <col min="150" max="150" width="18" customWidth="1"/>
    <col min="151" max="154" width="15.85546875" customWidth="1"/>
    <col min="155" max="155" width="47.42578125" customWidth="1"/>
    <col min="156" max="156" width="12.7109375" customWidth="1"/>
    <col min="157" max="157" width="13.140625" customWidth="1"/>
    <col min="158" max="158" width="47.42578125" customWidth="1"/>
    <col min="159" max="159" width="33.140625" customWidth="1"/>
  </cols>
  <sheetData>
    <row r="1" spans="1:159" s="15" customFormat="1" ht="30.75" customHeight="1" x14ac:dyDescent="0.5">
      <c r="A1" s="441"/>
      <c r="B1" s="442"/>
      <c r="C1" s="442"/>
      <c r="D1" s="442"/>
      <c r="E1" s="442"/>
      <c r="F1" s="442"/>
      <c r="G1" s="445" t="s">
        <v>38</v>
      </c>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c r="BF1" s="445"/>
      <c r="BG1" s="445"/>
      <c r="BH1" s="445"/>
      <c r="BI1" s="445"/>
      <c r="BJ1" s="445"/>
      <c r="BK1" s="445"/>
      <c r="BL1" s="445"/>
      <c r="BM1" s="445"/>
      <c r="BN1" s="445"/>
      <c r="BO1" s="445"/>
      <c r="BP1" s="445"/>
      <c r="BQ1" s="445"/>
      <c r="BR1" s="445"/>
      <c r="BS1" s="445"/>
      <c r="BT1" s="445"/>
      <c r="BU1" s="445"/>
      <c r="BV1" s="445"/>
      <c r="BW1" s="445"/>
      <c r="BX1" s="445"/>
      <c r="BY1" s="445"/>
      <c r="BZ1" s="445"/>
      <c r="CA1" s="445"/>
      <c r="CB1" s="445"/>
      <c r="CC1" s="445"/>
      <c r="CD1" s="445"/>
      <c r="CE1" s="445"/>
      <c r="CF1" s="445"/>
      <c r="CG1" s="445"/>
      <c r="CH1" s="445"/>
      <c r="CI1" s="445"/>
      <c r="CJ1" s="445"/>
      <c r="CK1" s="445"/>
      <c r="CL1" s="445"/>
      <c r="CM1" s="445"/>
      <c r="CN1" s="445"/>
      <c r="CO1" s="445"/>
      <c r="CP1" s="445"/>
      <c r="CQ1" s="445"/>
      <c r="CR1" s="445"/>
      <c r="CS1" s="445"/>
      <c r="CT1" s="445"/>
      <c r="CU1" s="445"/>
      <c r="CV1" s="445"/>
      <c r="CW1" s="445"/>
      <c r="CX1" s="445"/>
      <c r="CY1" s="445"/>
      <c r="CZ1" s="445"/>
      <c r="DA1" s="445"/>
      <c r="DB1" s="445"/>
      <c r="DC1" s="445"/>
      <c r="DD1" s="445"/>
      <c r="DE1" s="445"/>
      <c r="DF1" s="445"/>
      <c r="DG1" s="445"/>
      <c r="DH1" s="445"/>
      <c r="DI1" s="445"/>
      <c r="DJ1" s="445"/>
      <c r="DK1" s="445"/>
      <c r="DL1" s="445"/>
      <c r="DM1" s="445"/>
      <c r="DN1" s="445"/>
      <c r="DO1" s="445"/>
      <c r="DP1" s="445"/>
      <c r="DQ1" s="445"/>
      <c r="DR1" s="445"/>
      <c r="DS1" s="445"/>
      <c r="DT1" s="445"/>
      <c r="DU1" s="445"/>
      <c r="DV1" s="445"/>
      <c r="DW1" s="445"/>
      <c r="DX1" s="445"/>
      <c r="DY1" s="445"/>
      <c r="DZ1" s="445"/>
      <c r="EA1" s="445"/>
      <c r="EB1" s="445"/>
      <c r="EC1" s="445"/>
      <c r="ED1" s="445"/>
      <c r="EE1" s="445"/>
      <c r="EF1" s="445"/>
      <c r="EG1" s="445"/>
      <c r="EH1" s="445"/>
      <c r="EI1" s="445"/>
      <c r="EJ1" s="445"/>
      <c r="EK1" s="445"/>
      <c r="EL1" s="445"/>
      <c r="EM1" s="445"/>
      <c r="EN1" s="445"/>
      <c r="EO1" s="445"/>
      <c r="EP1" s="445"/>
      <c r="EQ1" s="445"/>
      <c r="ER1" s="445"/>
      <c r="ES1" s="445"/>
      <c r="ET1" s="445"/>
      <c r="EU1" s="445"/>
      <c r="EV1" s="445"/>
      <c r="EW1" s="445"/>
      <c r="EX1" s="445"/>
      <c r="EY1" s="445"/>
      <c r="EZ1" s="445"/>
      <c r="FA1" s="445"/>
      <c r="FB1" s="445"/>
      <c r="FC1" s="446"/>
    </row>
    <row r="2" spans="1:159" s="15" customFormat="1" ht="30.75" customHeight="1" x14ac:dyDescent="0.6">
      <c r="A2" s="443"/>
      <c r="B2" s="444"/>
      <c r="C2" s="444"/>
      <c r="D2" s="444"/>
      <c r="E2" s="444"/>
      <c r="F2" s="444"/>
      <c r="G2" s="447" t="s">
        <v>254</v>
      </c>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7"/>
      <c r="BN2" s="447"/>
      <c r="BO2" s="447"/>
      <c r="BP2" s="447"/>
      <c r="BQ2" s="447"/>
      <c r="BR2" s="447"/>
      <c r="BS2" s="447"/>
      <c r="BT2" s="447"/>
      <c r="BU2" s="447"/>
      <c r="BV2" s="447"/>
      <c r="BW2" s="447"/>
      <c r="BX2" s="447"/>
      <c r="BY2" s="447"/>
      <c r="BZ2" s="447"/>
      <c r="CA2" s="447"/>
      <c r="CB2" s="447"/>
      <c r="CC2" s="447"/>
      <c r="CD2" s="447"/>
      <c r="CE2" s="447"/>
      <c r="CF2" s="447"/>
      <c r="CG2" s="447"/>
      <c r="CH2" s="447"/>
      <c r="CI2" s="447"/>
      <c r="CJ2" s="447"/>
      <c r="CK2" s="447"/>
      <c r="CL2" s="447"/>
      <c r="CM2" s="447"/>
      <c r="CN2" s="447"/>
      <c r="CO2" s="447"/>
      <c r="CP2" s="447"/>
      <c r="CQ2" s="447"/>
      <c r="CR2" s="447"/>
      <c r="CS2" s="447"/>
      <c r="CT2" s="447"/>
      <c r="CU2" s="447"/>
      <c r="CV2" s="447"/>
      <c r="CW2" s="447"/>
      <c r="CX2" s="447"/>
      <c r="CY2" s="447"/>
      <c r="CZ2" s="447"/>
      <c r="DA2" s="447"/>
      <c r="DB2" s="447"/>
      <c r="DC2" s="447"/>
      <c r="DD2" s="447"/>
      <c r="DE2" s="447"/>
      <c r="DF2" s="447"/>
      <c r="DG2" s="447"/>
      <c r="DH2" s="447"/>
      <c r="DI2" s="447"/>
      <c r="DJ2" s="447"/>
      <c r="DK2" s="447"/>
      <c r="DL2" s="447"/>
      <c r="DM2" s="447"/>
      <c r="DN2" s="447"/>
      <c r="DO2" s="447"/>
      <c r="DP2" s="447"/>
      <c r="DQ2" s="447"/>
      <c r="DR2" s="447"/>
      <c r="DS2" s="447"/>
      <c r="DT2" s="447"/>
      <c r="DU2" s="447"/>
      <c r="DV2" s="447"/>
      <c r="DW2" s="447"/>
      <c r="DX2" s="447"/>
      <c r="DY2" s="447"/>
      <c r="DZ2" s="447"/>
      <c r="EA2" s="447"/>
      <c r="EB2" s="447"/>
      <c r="EC2" s="447"/>
      <c r="ED2" s="447"/>
      <c r="EE2" s="447"/>
      <c r="EF2" s="447"/>
      <c r="EG2" s="447"/>
      <c r="EH2" s="447"/>
      <c r="EI2" s="447"/>
      <c r="EJ2" s="447"/>
      <c r="EK2" s="447"/>
      <c r="EL2" s="447"/>
      <c r="EM2" s="447"/>
      <c r="EN2" s="447"/>
      <c r="EO2" s="447"/>
      <c r="EP2" s="447"/>
      <c r="EQ2" s="447"/>
      <c r="ER2" s="447"/>
      <c r="ES2" s="447"/>
      <c r="ET2" s="447"/>
      <c r="EU2" s="447"/>
      <c r="EV2" s="447"/>
      <c r="EW2" s="447"/>
      <c r="EX2" s="447"/>
      <c r="EY2" s="447"/>
      <c r="EZ2" s="447"/>
      <c r="FA2" s="447"/>
      <c r="FB2" s="447"/>
      <c r="FC2" s="448"/>
    </row>
    <row r="3" spans="1:159" s="14" customFormat="1" ht="30.75" customHeight="1" x14ac:dyDescent="0.4">
      <c r="A3" s="443"/>
      <c r="B3" s="444"/>
      <c r="C3" s="444"/>
      <c r="D3" s="444"/>
      <c r="E3" s="444"/>
      <c r="F3" s="444"/>
      <c r="G3" s="449" t="s">
        <v>47</v>
      </c>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449"/>
      <c r="BT3" s="449"/>
      <c r="BU3" s="449"/>
      <c r="BV3" s="449"/>
      <c r="BW3" s="449"/>
      <c r="BX3" s="449"/>
      <c r="BY3" s="449"/>
      <c r="BZ3" s="449"/>
      <c r="CA3" s="449"/>
      <c r="CB3" s="449"/>
      <c r="CC3" s="449"/>
      <c r="CD3" s="449"/>
      <c r="CE3" s="449"/>
      <c r="CF3" s="449"/>
      <c r="CG3" s="449"/>
      <c r="CH3" s="449"/>
      <c r="CI3" s="449"/>
      <c r="CJ3" s="449"/>
      <c r="CK3" s="449"/>
      <c r="CL3" s="449"/>
      <c r="CM3" s="449"/>
      <c r="CN3" s="449"/>
      <c r="CO3" s="449"/>
      <c r="CP3" s="449"/>
      <c r="CQ3" s="449"/>
      <c r="CR3" s="449"/>
      <c r="CS3" s="449"/>
      <c r="CT3" s="449"/>
      <c r="CU3" s="449"/>
      <c r="CV3" s="449"/>
      <c r="CW3" s="449"/>
      <c r="CX3" s="449"/>
      <c r="CY3" s="449"/>
      <c r="CZ3" s="449"/>
      <c r="DA3" s="449"/>
      <c r="DB3" s="449"/>
      <c r="DC3" s="449"/>
      <c r="DD3" s="449"/>
      <c r="DE3" s="449"/>
      <c r="DF3" s="449"/>
      <c r="DG3" s="449"/>
      <c r="DH3" s="449"/>
      <c r="DI3" s="449"/>
      <c r="DJ3" s="449"/>
      <c r="DK3" s="449"/>
      <c r="DL3" s="449"/>
      <c r="DM3" s="449"/>
      <c r="DN3" s="449"/>
      <c r="DO3" s="449"/>
      <c r="DP3" s="449"/>
      <c r="DQ3" s="449"/>
      <c r="DR3" s="449"/>
      <c r="DS3" s="449"/>
      <c r="DT3" s="449"/>
      <c r="DU3" s="449"/>
      <c r="DV3" s="449"/>
      <c r="DW3" s="449"/>
      <c r="DX3" s="449"/>
      <c r="DY3" s="449"/>
      <c r="DZ3" s="449"/>
      <c r="EA3" s="449"/>
      <c r="EB3" s="449"/>
      <c r="EC3" s="449"/>
      <c r="ED3" s="449"/>
      <c r="EE3" s="449"/>
      <c r="EF3" s="449"/>
      <c r="EG3" s="449"/>
      <c r="EH3" s="449"/>
      <c r="EI3" s="449"/>
      <c r="EJ3" s="449"/>
      <c r="EK3" s="449"/>
      <c r="EL3" s="449"/>
      <c r="EM3" s="449"/>
      <c r="EN3" s="449"/>
      <c r="EO3" s="449"/>
      <c r="EP3" s="449"/>
      <c r="EQ3" s="449"/>
      <c r="ER3" s="449"/>
      <c r="ES3" s="449"/>
      <c r="ET3" s="450" t="s">
        <v>240</v>
      </c>
      <c r="EU3" s="450"/>
      <c r="EV3" s="450"/>
      <c r="EW3" s="450"/>
      <c r="EX3" s="450"/>
      <c r="EY3" s="450"/>
      <c r="EZ3" s="450"/>
      <c r="FA3" s="450"/>
      <c r="FB3" s="450"/>
      <c r="FC3" s="451"/>
    </row>
    <row r="4" spans="1:159" ht="30.75" customHeight="1" x14ac:dyDescent="0.25">
      <c r="A4" s="452" t="s">
        <v>0</v>
      </c>
      <c r="B4" s="453"/>
      <c r="C4" s="453"/>
      <c r="D4" s="453"/>
      <c r="E4" s="453"/>
      <c r="F4" s="453"/>
      <c r="G4" s="457" t="s">
        <v>259</v>
      </c>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c r="BN4" s="457"/>
      <c r="BO4" s="457"/>
      <c r="BP4" s="457"/>
      <c r="BQ4" s="457"/>
      <c r="BR4" s="457"/>
      <c r="BS4" s="457"/>
      <c r="BT4" s="457"/>
      <c r="BU4" s="457"/>
      <c r="BV4" s="457"/>
      <c r="BW4" s="457"/>
      <c r="BX4" s="457"/>
      <c r="BY4" s="457"/>
      <c r="BZ4" s="457"/>
      <c r="CA4" s="457"/>
      <c r="CB4" s="457"/>
      <c r="CC4" s="457"/>
      <c r="CD4" s="457"/>
      <c r="CE4" s="457"/>
      <c r="CF4" s="457"/>
      <c r="CG4" s="457"/>
      <c r="CH4" s="457"/>
      <c r="CI4" s="457"/>
      <c r="CJ4" s="457"/>
      <c r="CK4" s="457"/>
      <c r="CL4" s="457"/>
      <c r="CM4" s="457"/>
      <c r="CN4" s="457"/>
      <c r="CO4" s="457"/>
      <c r="CP4" s="457"/>
      <c r="CQ4" s="457"/>
      <c r="CR4" s="457"/>
      <c r="CS4" s="457"/>
      <c r="CT4" s="457"/>
      <c r="CU4" s="457"/>
      <c r="CV4" s="457"/>
      <c r="CW4" s="457"/>
      <c r="CX4" s="457"/>
      <c r="CY4" s="457"/>
      <c r="CZ4" s="457"/>
      <c r="DA4" s="457"/>
      <c r="DB4" s="457"/>
      <c r="DC4" s="457"/>
      <c r="DD4" s="457"/>
      <c r="DE4" s="457"/>
      <c r="DF4" s="457"/>
      <c r="DG4" s="457"/>
      <c r="DH4" s="457"/>
      <c r="DI4" s="457"/>
      <c r="DJ4" s="457"/>
      <c r="DK4" s="457"/>
      <c r="DL4" s="457"/>
      <c r="DM4" s="457"/>
      <c r="DN4" s="457"/>
      <c r="DO4" s="457"/>
      <c r="DP4" s="457"/>
      <c r="DQ4" s="457"/>
      <c r="DR4" s="457"/>
      <c r="DS4" s="457"/>
      <c r="DT4" s="457"/>
      <c r="DU4" s="457"/>
      <c r="DV4" s="457"/>
      <c r="DW4" s="457"/>
      <c r="DX4" s="457"/>
      <c r="DY4" s="457"/>
      <c r="DZ4" s="457"/>
      <c r="EA4" s="457"/>
      <c r="EB4" s="457"/>
      <c r="EC4" s="457"/>
      <c r="ED4" s="457"/>
      <c r="EE4" s="457"/>
      <c r="EF4" s="457"/>
      <c r="EG4" s="457"/>
      <c r="EH4" s="457"/>
      <c r="EI4" s="457"/>
      <c r="EJ4" s="457"/>
      <c r="EK4" s="457"/>
      <c r="EL4" s="457"/>
      <c r="EM4" s="457"/>
      <c r="EN4" s="457"/>
      <c r="EO4" s="457"/>
      <c r="EP4" s="457"/>
      <c r="EQ4" s="457"/>
      <c r="ER4" s="457"/>
      <c r="ES4" s="457"/>
      <c r="ET4" s="457"/>
      <c r="EU4" s="457"/>
      <c r="EV4" s="457"/>
      <c r="EW4" s="457"/>
      <c r="EX4" s="457"/>
      <c r="EY4" s="457"/>
      <c r="EZ4" s="457"/>
      <c r="FA4" s="457"/>
      <c r="FB4" s="457"/>
      <c r="FC4" s="458"/>
    </row>
    <row r="5" spans="1:159" ht="30.75" customHeight="1" x14ac:dyDescent="0.25">
      <c r="A5" s="452" t="s">
        <v>2</v>
      </c>
      <c r="B5" s="453"/>
      <c r="C5" s="453"/>
      <c r="D5" s="453"/>
      <c r="E5" s="453"/>
      <c r="F5" s="453"/>
      <c r="G5" s="457" t="s">
        <v>260</v>
      </c>
      <c r="H5" s="457"/>
      <c r="I5" s="457"/>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57"/>
      <c r="AW5" s="457"/>
      <c r="AX5" s="457"/>
      <c r="AY5" s="457"/>
      <c r="AZ5" s="457"/>
      <c r="BA5" s="457"/>
      <c r="BB5" s="457"/>
      <c r="BC5" s="457"/>
      <c r="BD5" s="457"/>
      <c r="BE5" s="457"/>
      <c r="BF5" s="457"/>
      <c r="BG5" s="457"/>
      <c r="BH5" s="457"/>
      <c r="BI5" s="457"/>
      <c r="BJ5" s="457"/>
      <c r="BK5" s="457"/>
      <c r="BL5" s="457"/>
      <c r="BM5" s="457"/>
      <c r="BN5" s="457"/>
      <c r="BO5" s="457"/>
      <c r="BP5" s="457"/>
      <c r="BQ5" s="457"/>
      <c r="BR5" s="457"/>
      <c r="BS5" s="457"/>
      <c r="BT5" s="457"/>
      <c r="BU5" s="457"/>
      <c r="BV5" s="457"/>
      <c r="BW5" s="457"/>
      <c r="BX5" s="457"/>
      <c r="BY5" s="457"/>
      <c r="BZ5" s="457"/>
      <c r="CA5" s="457"/>
      <c r="CB5" s="457"/>
      <c r="CC5" s="457"/>
      <c r="CD5" s="457"/>
      <c r="CE5" s="457"/>
      <c r="CF5" s="457"/>
      <c r="CG5" s="457"/>
      <c r="CH5" s="457"/>
      <c r="CI5" s="457"/>
      <c r="CJ5" s="457"/>
      <c r="CK5" s="457"/>
      <c r="CL5" s="457"/>
      <c r="CM5" s="457"/>
      <c r="CN5" s="457"/>
      <c r="CO5" s="457"/>
      <c r="CP5" s="457"/>
      <c r="CQ5" s="457"/>
      <c r="CR5" s="457"/>
      <c r="CS5" s="457"/>
      <c r="CT5" s="457"/>
      <c r="CU5" s="457"/>
      <c r="CV5" s="457"/>
      <c r="CW5" s="457"/>
      <c r="CX5" s="457"/>
      <c r="CY5" s="457"/>
      <c r="CZ5" s="457"/>
      <c r="DA5" s="457"/>
      <c r="DB5" s="457"/>
      <c r="DC5" s="457"/>
      <c r="DD5" s="457"/>
      <c r="DE5" s="457"/>
      <c r="DF5" s="457"/>
      <c r="DG5" s="457"/>
      <c r="DH5" s="457"/>
      <c r="DI5" s="457"/>
      <c r="DJ5" s="457"/>
      <c r="DK5" s="457"/>
      <c r="DL5" s="457"/>
      <c r="DM5" s="457"/>
      <c r="DN5" s="457"/>
      <c r="DO5" s="457"/>
      <c r="DP5" s="457"/>
      <c r="DQ5" s="457"/>
      <c r="DR5" s="457"/>
      <c r="DS5" s="457"/>
      <c r="DT5" s="457"/>
      <c r="DU5" s="457"/>
      <c r="DV5" s="457"/>
      <c r="DW5" s="457"/>
      <c r="DX5" s="457"/>
      <c r="DY5" s="457"/>
      <c r="DZ5" s="457"/>
      <c r="EA5" s="457"/>
      <c r="EB5" s="457"/>
      <c r="EC5" s="457"/>
      <c r="ED5" s="457"/>
      <c r="EE5" s="457"/>
      <c r="EF5" s="457"/>
      <c r="EG5" s="457"/>
      <c r="EH5" s="457"/>
      <c r="EI5" s="457"/>
      <c r="EJ5" s="457"/>
      <c r="EK5" s="457"/>
      <c r="EL5" s="457"/>
      <c r="EM5" s="457"/>
      <c r="EN5" s="457"/>
      <c r="EO5" s="457"/>
      <c r="EP5" s="457"/>
      <c r="EQ5" s="457"/>
      <c r="ER5" s="457"/>
      <c r="ES5" s="457"/>
      <c r="ET5" s="457"/>
      <c r="EU5" s="457"/>
      <c r="EV5" s="457"/>
      <c r="EW5" s="457"/>
      <c r="EX5" s="457"/>
      <c r="EY5" s="457"/>
      <c r="EZ5" s="457"/>
      <c r="FA5" s="457"/>
      <c r="FB5" s="457"/>
      <c r="FC5" s="458"/>
    </row>
    <row r="6" spans="1:159" ht="30.75" customHeight="1" x14ac:dyDescent="0.25">
      <c r="A6" s="452" t="s">
        <v>55</v>
      </c>
      <c r="B6" s="453"/>
      <c r="C6" s="453"/>
      <c r="D6" s="453"/>
      <c r="E6" s="453"/>
      <c r="F6" s="453"/>
      <c r="G6" s="457" t="s">
        <v>261</v>
      </c>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7"/>
      <c r="BA6" s="457"/>
      <c r="BB6" s="457"/>
      <c r="BC6" s="457"/>
      <c r="BD6" s="457"/>
      <c r="BE6" s="457"/>
      <c r="BF6" s="457"/>
      <c r="BG6" s="457"/>
      <c r="BH6" s="457"/>
      <c r="BI6" s="457"/>
      <c r="BJ6" s="457"/>
      <c r="BK6" s="457"/>
      <c r="BL6" s="457"/>
      <c r="BM6" s="457"/>
      <c r="BN6" s="457"/>
      <c r="BO6" s="457"/>
      <c r="BP6" s="457"/>
      <c r="BQ6" s="457"/>
      <c r="BR6" s="457"/>
      <c r="BS6" s="457"/>
      <c r="BT6" s="457"/>
      <c r="BU6" s="457"/>
      <c r="BV6" s="457"/>
      <c r="BW6" s="457"/>
      <c r="BX6" s="457"/>
      <c r="BY6" s="457"/>
      <c r="BZ6" s="457"/>
      <c r="CA6" s="457"/>
      <c r="CB6" s="457"/>
      <c r="CC6" s="457"/>
      <c r="CD6" s="457"/>
      <c r="CE6" s="457"/>
      <c r="CF6" s="457"/>
      <c r="CG6" s="457"/>
      <c r="CH6" s="457"/>
      <c r="CI6" s="457"/>
      <c r="CJ6" s="457"/>
      <c r="CK6" s="457"/>
      <c r="CL6" s="457"/>
      <c r="CM6" s="457"/>
      <c r="CN6" s="457"/>
      <c r="CO6" s="457"/>
      <c r="CP6" s="457"/>
      <c r="CQ6" s="457"/>
      <c r="CR6" s="457"/>
      <c r="CS6" s="457"/>
      <c r="CT6" s="457"/>
      <c r="CU6" s="457"/>
      <c r="CV6" s="457"/>
      <c r="CW6" s="457"/>
      <c r="CX6" s="457"/>
      <c r="CY6" s="457"/>
      <c r="CZ6" s="457"/>
      <c r="DA6" s="457"/>
      <c r="DB6" s="457"/>
      <c r="DC6" s="457"/>
      <c r="DD6" s="457"/>
      <c r="DE6" s="457"/>
      <c r="DF6" s="457"/>
      <c r="DG6" s="457"/>
      <c r="DH6" s="457"/>
      <c r="DI6" s="457"/>
      <c r="DJ6" s="457"/>
      <c r="DK6" s="457"/>
      <c r="DL6" s="457"/>
      <c r="DM6" s="457"/>
      <c r="DN6" s="457"/>
      <c r="DO6" s="457"/>
      <c r="DP6" s="457"/>
      <c r="DQ6" s="457"/>
      <c r="DR6" s="457"/>
      <c r="DS6" s="457"/>
      <c r="DT6" s="457"/>
      <c r="DU6" s="457"/>
      <c r="DV6" s="457"/>
      <c r="DW6" s="457"/>
      <c r="DX6" s="457"/>
      <c r="DY6" s="457"/>
      <c r="DZ6" s="457"/>
      <c r="EA6" s="457"/>
      <c r="EB6" s="457"/>
      <c r="EC6" s="457"/>
      <c r="ED6" s="457"/>
      <c r="EE6" s="457"/>
      <c r="EF6" s="457"/>
      <c r="EG6" s="457"/>
      <c r="EH6" s="457"/>
      <c r="EI6" s="457"/>
      <c r="EJ6" s="457"/>
      <c r="EK6" s="457"/>
      <c r="EL6" s="457"/>
      <c r="EM6" s="457"/>
      <c r="EN6" s="457"/>
      <c r="EO6" s="457"/>
      <c r="EP6" s="457"/>
      <c r="EQ6" s="457"/>
      <c r="ER6" s="457"/>
      <c r="ES6" s="457"/>
      <c r="ET6" s="457"/>
      <c r="EU6" s="457"/>
      <c r="EV6" s="457"/>
      <c r="EW6" s="457"/>
      <c r="EX6" s="457"/>
      <c r="EY6" s="457"/>
      <c r="EZ6" s="457"/>
      <c r="FA6" s="457"/>
      <c r="FB6" s="457"/>
      <c r="FC6" s="458"/>
    </row>
    <row r="7" spans="1:159" ht="30.75" customHeight="1" thickBot="1" x14ac:dyDescent="0.3">
      <c r="A7" s="455" t="s">
        <v>1</v>
      </c>
      <c r="B7" s="456"/>
      <c r="C7" s="456"/>
      <c r="D7" s="456"/>
      <c r="E7" s="456"/>
      <c r="F7" s="456"/>
      <c r="G7" s="459" t="s">
        <v>262</v>
      </c>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459"/>
      <c r="DA7" s="459"/>
      <c r="DB7" s="459"/>
      <c r="DC7" s="459"/>
      <c r="DD7" s="459"/>
      <c r="DE7" s="459"/>
      <c r="DF7" s="459"/>
      <c r="DG7" s="459"/>
      <c r="DH7" s="459"/>
      <c r="DI7" s="459"/>
      <c r="DJ7" s="459"/>
      <c r="DK7" s="459"/>
      <c r="DL7" s="459"/>
      <c r="DM7" s="459"/>
      <c r="DN7" s="459"/>
      <c r="DO7" s="459"/>
      <c r="DP7" s="459"/>
      <c r="DQ7" s="459"/>
      <c r="DR7" s="459"/>
      <c r="DS7" s="459"/>
      <c r="DT7" s="459"/>
      <c r="DU7" s="459"/>
      <c r="DV7" s="459"/>
      <c r="DW7" s="459"/>
      <c r="DX7" s="459"/>
      <c r="DY7" s="459"/>
      <c r="DZ7" s="459"/>
      <c r="EA7" s="459"/>
      <c r="EB7" s="459"/>
      <c r="EC7" s="459"/>
      <c r="ED7" s="459"/>
      <c r="EE7" s="459"/>
      <c r="EF7" s="459"/>
      <c r="EG7" s="459"/>
      <c r="EH7" s="459"/>
      <c r="EI7" s="459"/>
      <c r="EJ7" s="459"/>
      <c r="EK7" s="459"/>
      <c r="EL7" s="459"/>
      <c r="EM7" s="459"/>
      <c r="EN7" s="459"/>
      <c r="EO7" s="459"/>
      <c r="EP7" s="459"/>
      <c r="EQ7" s="459"/>
      <c r="ER7" s="459"/>
      <c r="ES7" s="459"/>
      <c r="ET7" s="459"/>
      <c r="EU7" s="459"/>
      <c r="EV7" s="459"/>
      <c r="EW7" s="459"/>
      <c r="EX7" s="459"/>
      <c r="EY7" s="459"/>
      <c r="EZ7" s="459"/>
      <c r="FA7" s="459"/>
      <c r="FB7" s="459"/>
      <c r="FC7" s="460"/>
    </row>
    <row r="8" spans="1:159" ht="30.75" customHeight="1" thickBot="1" x14ac:dyDescent="0.3">
      <c r="A8" s="34"/>
      <c r="B8" s="33"/>
      <c r="C8" s="33"/>
      <c r="D8" s="33"/>
      <c r="E8" s="33"/>
      <c r="F8" s="33"/>
      <c r="G8" s="33"/>
      <c r="H8" s="33"/>
      <c r="I8" s="33"/>
      <c r="J8" s="33"/>
      <c r="K8" s="33"/>
      <c r="L8" s="33"/>
      <c r="M8" s="33"/>
      <c r="N8" s="33"/>
      <c r="O8" s="33"/>
      <c r="P8" s="33"/>
      <c r="Q8" s="33"/>
      <c r="R8" s="33"/>
      <c r="S8" s="33"/>
      <c r="T8" s="33"/>
      <c r="U8" s="187"/>
      <c r="V8" s="33"/>
      <c r="W8" s="33"/>
      <c r="X8" s="33"/>
      <c r="Y8" s="187"/>
      <c r="Z8" s="33"/>
      <c r="AA8" s="33"/>
      <c r="AB8" s="33"/>
      <c r="AC8" s="33"/>
      <c r="AD8" s="33"/>
      <c r="AE8" s="33"/>
      <c r="AF8" s="33"/>
      <c r="AG8" s="33"/>
      <c r="AH8" s="33"/>
      <c r="AI8" s="33"/>
      <c r="AJ8" s="33"/>
      <c r="AK8" s="33"/>
      <c r="AL8" s="33"/>
      <c r="AM8" s="33"/>
      <c r="AN8" s="33"/>
      <c r="AO8" s="33"/>
      <c r="AP8" s="188"/>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row>
    <row r="9" spans="1:159" s="1" customFormat="1" ht="30.75" customHeight="1" x14ac:dyDescent="0.2">
      <c r="A9" s="465" t="s">
        <v>69</v>
      </c>
      <c r="B9" s="465"/>
      <c r="C9" s="465"/>
      <c r="D9" s="465"/>
      <c r="E9" s="465"/>
      <c r="F9" s="465"/>
      <c r="G9" s="465"/>
      <c r="H9" s="465"/>
      <c r="I9" s="465"/>
      <c r="J9" s="465" t="s">
        <v>228</v>
      </c>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c r="BS9" s="465"/>
      <c r="BT9" s="465"/>
      <c r="BU9" s="465"/>
      <c r="BV9" s="465"/>
      <c r="BW9" s="465"/>
      <c r="BX9" s="465"/>
      <c r="BY9" s="465"/>
      <c r="BZ9" s="465"/>
      <c r="CA9" s="465"/>
      <c r="CB9" s="465"/>
      <c r="CC9" s="465"/>
      <c r="CD9" s="465"/>
      <c r="CE9" s="465"/>
      <c r="CF9" s="465"/>
      <c r="CG9" s="465"/>
      <c r="CH9" s="465"/>
      <c r="CI9" s="465"/>
      <c r="CJ9" s="465"/>
      <c r="CK9" s="465"/>
      <c r="CL9" s="465"/>
      <c r="CM9" s="465"/>
      <c r="CN9" s="465"/>
      <c r="CO9" s="465"/>
      <c r="CP9" s="465"/>
      <c r="CQ9" s="465"/>
      <c r="CR9" s="465"/>
      <c r="CS9" s="465"/>
      <c r="CT9" s="465"/>
      <c r="CU9" s="465"/>
      <c r="CV9" s="465"/>
      <c r="CW9" s="465"/>
      <c r="CX9" s="465"/>
      <c r="CY9" s="465"/>
      <c r="CZ9" s="465"/>
      <c r="DA9" s="465"/>
      <c r="DB9" s="465"/>
      <c r="DC9" s="465"/>
      <c r="DD9" s="465"/>
      <c r="DE9" s="465"/>
      <c r="DF9" s="465"/>
      <c r="DG9" s="465"/>
      <c r="DH9" s="465"/>
      <c r="DI9" s="465"/>
      <c r="DJ9" s="465"/>
      <c r="DK9" s="465"/>
      <c r="DL9" s="465"/>
      <c r="DM9" s="465"/>
      <c r="DN9" s="465"/>
      <c r="DO9" s="465"/>
      <c r="DP9" s="465"/>
      <c r="DQ9" s="465"/>
      <c r="DR9" s="465"/>
      <c r="DS9" s="465"/>
      <c r="DT9" s="465"/>
      <c r="DU9" s="465"/>
      <c r="DV9" s="465"/>
      <c r="DW9" s="465"/>
      <c r="DX9" s="465"/>
      <c r="DY9" s="465"/>
      <c r="DZ9" s="465"/>
      <c r="EA9" s="465"/>
      <c r="EB9" s="465"/>
      <c r="EC9" s="465"/>
      <c r="ED9" s="465"/>
      <c r="EE9" s="465"/>
      <c r="EF9" s="465"/>
      <c r="EG9" s="465"/>
      <c r="EH9" s="465"/>
      <c r="EI9" s="465"/>
      <c r="EJ9" s="465"/>
      <c r="EK9" s="465"/>
      <c r="EL9" s="465"/>
      <c r="EM9" s="465"/>
      <c r="EN9" s="465"/>
      <c r="EO9" s="465"/>
      <c r="EP9" s="465"/>
      <c r="EQ9" s="465"/>
      <c r="ER9" s="465"/>
      <c r="ES9" s="465"/>
      <c r="ET9" s="467" t="s">
        <v>220</v>
      </c>
      <c r="EU9" s="467" t="s">
        <v>221</v>
      </c>
      <c r="EV9" s="461" t="s">
        <v>222</v>
      </c>
      <c r="EW9" s="463" t="s">
        <v>278</v>
      </c>
      <c r="EX9" s="461" t="s">
        <v>244</v>
      </c>
      <c r="EY9" s="454" t="s">
        <v>245</v>
      </c>
      <c r="EZ9" s="454" t="s">
        <v>246</v>
      </c>
      <c r="FA9" s="454" t="s">
        <v>247</v>
      </c>
      <c r="FB9" s="454" t="s">
        <v>249</v>
      </c>
      <c r="FC9" s="454" t="s">
        <v>248</v>
      </c>
    </row>
    <row r="10" spans="1:159" s="1" customFormat="1" ht="30.75" customHeight="1" x14ac:dyDescent="0.2">
      <c r="A10" s="465" t="s">
        <v>79</v>
      </c>
      <c r="B10" s="465"/>
      <c r="C10" s="465"/>
      <c r="D10" s="465"/>
      <c r="E10" s="465"/>
      <c r="F10" s="465"/>
      <c r="G10" s="465"/>
      <c r="H10" s="465"/>
      <c r="I10" s="465"/>
      <c r="J10" s="466" t="s">
        <v>48</v>
      </c>
      <c r="K10" s="466"/>
      <c r="L10" s="466"/>
      <c r="M10" s="466"/>
      <c r="N10" s="466"/>
      <c r="O10" s="466"/>
      <c r="P10" s="466"/>
      <c r="Q10" s="466"/>
      <c r="R10" s="466"/>
      <c r="S10" s="466"/>
      <c r="T10" s="466"/>
      <c r="U10" s="466"/>
      <c r="V10" s="466"/>
      <c r="W10" s="466"/>
      <c r="X10" s="466"/>
      <c r="Y10" s="466"/>
      <c r="Z10" s="466"/>
      <c r="AA10" s="466"/>
      <c r="AB10" s="466"/>
      <c r="AC10" s="466"/>
      <c r="AD10" s="466" t="s">
        <v>49</v>
      </c>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t="s">
        <v>61</v>
      </c>
      <c r="BI10" s="466"/>
      <c r="BJ10" s="466"/>
      <c r="BK10" s="466"/>
      <c r="BL10" s="466"/>
      <c r="BM10" s="466"/>
      <c r="BN10" s="466"/>
      <c r="BO10" s="466"/>
      <c r="BP10" s="466"/>
      <c r="BQ10" s="466"/>
      <c r="BR10" s="466"/>
      <c r="BS10" s="466"/>
      <c r="BT10" s="466"/>
      <c r="BU10" s="466"/>
      <c r="BV10" s="466"/>
      <c r="BW10" s="466"/>
      <c r="BX10" s="466"/>
      <c r="BY10" s="466"/>
      <c r="BZ10" s="466"/>
      <c r="CA10" s="466"/>
      <c r="CB10" s="466"/>
      <c r="CC10" s="466"/>
      <c r="CD10" s="466"/>
      <c r="CE10" s="466"/>
      <c r="CF10" s="466"/>
      <c r="CG10" s="466"/>
      <c r="CH10" s="466"/>
      <c r="CI10" s="466"/>
      <c r="CJ10" s="466"/>
      <c r="CK10" s="466"/>
      <c r="CL10" s="466" t="s">
        <v>62</v>
      </c>
      <c r="CM10" s="466"/>
      <c r="CN10" s="466"/>
      <c r="CO10" s="466"/>
      <c r="CP10" s="466"/>
      <c r="CQ10" s="466"/>
      <c r="CR10" s="466"/>
      <c r="CS10" s="466"/>
      <c r="CT10" s="466"/>
      <c r="CU10" s="466"/>
      <c r="CV10" s="466"/>
      <c r="CW10" s="466"/>
      <c r="CX10" s="466"/>
      <c r="CY10" s="466"/>
      <c r="CZ10" s="466"/>
      <c r="DA10" s="466"/>
      <c r="DB10" s="466"/>
      <c r="DC10" s="466"/>
      <c r="DD10" s="466"/>
      <c r="DE10" s="466"/>
      <c r="DF10" s="466"/>
      <c r="DG10" s="466"/>
      <c r="DH10" s="466"/>
      <c r="DI10" s="466"/>
      <c r="DJ10" s="466"/>
      <c r="DK10" s="466"/>
      <c r="DL10" s="466"/>
      <c r="DM10" s="466"/>
      <c r="DN10" s="466"/>
      <c r="DO10" s="466"/>
      <c r="DP10" s="466" t="s">
        <v>63</v>
      </c>
      <c r="DQ10" s="466"/>
      <c r="DR10" s="466"/>
      <c r="DS10" s="466"/>
      <c r="DT10" s="466"/>
      <c r="DU10" s="466"/>
      <c r="DV10" s="466"/>
      <c r="DW10" s="466"/>
      <c r="DX10" s="466"/>
      <c r="DY10" s="466"/>
      <c r="DZ10" s="466"/>
      <c r="EA10" s="466"/>
      <c r="EB10" s="466"/>
      <c r="EC10" s="466"/>
      <c r="ED10" s="466"/>
      <c r="EE10" s="466"/>
      <c r="EF10" s="466"/>
      <c r="EG10" s="466"/>
      <c r="EH10" s="466"/>
      <c r="EI10" s="466"/>
      <c r="EJ10" s="466"/>
      <c r="EK10" s="466"/>
      <c r="EL10" s="466"/>
      <c r="EM10" s="466"/>
      <c r="EN10" s="466"/>
      <c r="EO10" s="466"/>
      <c r="EP10" s="466"/>
      <c r="EQ10" s="466"/>
      <c r="ER10" s="466"/>
      <c r="ES10" s="466"/>
      <c r="ET10" s="468"/>
      <c r="EU10" s="468"/>
      <c r="EV10" s="462"/>
      <c r="EW10" s="464"/>
      <c r="EX10" s="462"/>
      <c r="EY10" s="454"/>
      <c r="EZ10" s="454"/>
      <c r="FA10" s="454"/>
      <c r="FB10" s="454"/>
      <c r="FC10" s="454"/>
    </row>
    <row r="11" spans="1:159" s="1" customFormat="1" ht="90.75" customHeight="1" x14ac:dyDescent="0.2">
      <c r="A11" s="183" t="s">
        <v>70</v>
      </c>
      <c r="B11" s="183" t="s">
        <v>71</v>
      </c>
      <c r="C11" s="183" t="s">
        <v>72</v>
      </c>
      <c r="D11" s="183" t="s">
        <v>73</v>
      </c>
      <c r="E11" s="183" t="s">
        <v>74</v>
      </c>
      <c r="F11" s="183" t="s">
        <v>75</v>
      </c>
      <c r="G11" s="183" t="s">
        <v>76</v>
      </c>
      <c r="H11" s="183" t="s">
        <v>77</v>
      </c>
      <c r="I11" s="184" t="s">
        <v>78</v>
      </c>
      <c r="J11" s="184" t="s">
        <v>237</v>
      </c>
      <c r="K11" s="189" t="s">
        <v>209</v>
      </c>
      <c r="L11" s="183" t="s">
        <v>218</v>
      </c>
      <c r="M11" s="189" t="s">
        <v>210</v>
      </c>
      <c r="N11" s="183" t="s">
        <v>57</v>
      </c>
      <c r="O11" s="189" t="s">
        <v>211</v>
      </c>
      <c r="P11" s="183" t="s">
        <v>58</v>
      </c>
      <c r="Q11" s="189" t="s">
        <v>212</v>
      </c>
      <c r="R11" s="183" t="s">
        <v>59</v>
      </c>
      <c r="S11" s="189" t="s">
        <v>213</v>
      </c>
      <c r="T11" s="183" t="s">
        <v>60</v>
      </c>
      <c r="U11" s="189" t="s">
        <v>214</v>
      </c>
      <c r="V11" s="183" t="s">
        <v>50</v>
      </c>
      <c r="W11" s="189" t="s">
        <v>215</v>
      </c>
      <c r="X11" s="183" t="s">
        <v>219</v>
      </c>
      <c r="Y11" s="182" t="s">
        <v>217</v>
      </c>
      <c r="Z11" s="190" t="s">
        <v>250</v>
      </c>
      <c r="AA11" s="252" t="s">
        <v>251</v>
      </c>
      <c r="AB11" s="191" t="s">
        <v>252</v>
      </c>
      <c r="AC11" s="252" t="s">
        <v>253</v>
      </c>
      <c r="AD11" s="184" t="s">
        <v>237</v>
      </c>
      <c r="AE11" s="189" t="s">
        <v>204</v>
      </c>
      <c r="AF11" s="183" t="s">
        <v>51</v>
      </c>
      <c r="AG11" s="189" t="s">
        <v>205</v>
      </c>
      <c r="AH11" s="183" t="s">
        <v>52</v>
      </c>
      <c r="AI11" s="189" t="s">
        <v>206</v>
      </c>
      <c r="AJ11" s="183" t="s">
        <v>53</v>
      </c>
      <c r="AK11" s="189" t="s">
        <v>207</v>
      </c>
      <c r="AL11" s="183" t="s">
        <v>54</v>
      </c>
      <c r="AM11" s="189" t="s">
        <v>208</v>
      </c>
      <c r="AN11" s="183" t="s">
        <v>56</v>
      </c>
      <c r="AO11" s="189" t="s">
        <v>209</v>
      </c>
      <c r="AP11" s="183" t="s">
        <v>218</v>
      </c>
      <c r="AQ11" s="189" t="s">
        <v>210</v>
      </c>
      <c r="AR11" s="183" t="s">
        <v>57</v>
      </c>
      <c r="AS11" s="189" t="s">
        <v>211</v>
      </c>
      <c r="AT11" s="183" t="s">
        <v>58</v>
      </c>
      <c r="AU11" s="189" t="s">
        <v>212</v>
      </c>
      <c r="AV11" s="183" t="s">
        <v>59</v>
      </c>
      <c r="AW11" s="189" t="s">
        <v>213</v>
      </c>
      <c r="AX11" s="183" t="s">
        <v>60</v>
      </c>
      <c r="AY11" s="189" t="s">
        <v>214</v>
      </c>
      <c r="AZ11" s="183" t="s">
        <v>50</v>
      </c>
      <c r="BA11" s="189" t="s">
        <v>215</v>
      </c>
      <c r="BB11" s="183" t="s">
        <v>219</v>
      </c>
      <c r="BC11" s="182" t="s">
        <v>217</v>
      </c>
      <c r="BD11" s="190" t="s">
        <v>243</v>
      </c>
      <c r="BE11" s="252" t="s">
        <v>242</v>
      </c>
      <c r="BF11" s="191" t="s">
        <v>241</v>
      </c>
      <c r="BG11" s="252" t="s">
        <v>510</v>
      </c>
      <c r="BH11" s="184" t="s">
        <v>237</v>
      </c>
      <c r="BI11" s="191" t="s">
        <v>204</v>
      </c>
      <c r="BJ11" s="252" t="s">
        <v>51</v>
      </c>
      <c r="BK11" s="191" t="s">
        <v>205</v>
      </c>
      <c r="BL11" s="252" t="s">
        <v>52</v>
      </c>
      <c r="BM11" s="191" t="s">
        <v>206</v>
      </c>
      <c r="BN11" s="252" t="s">
        <v>53</v>
      </c>
      <c r="BO11" s="191" t="s">
        <v>207</v>
      </c>
      <c r="BP11" s="252" t="s">
        <v>54</v>
      </c>
      <c r="BQ11" s="191" t="s">
        <v>208</v>
      </c>
      <c r="BR11" s="252" t="s">
        <v>56</v>
      </c>
      <c r="BS11" s="191" t="s">
        <v>209</v>
      </c>
      <c r="BT11" s="252" t="s">
        <v>218</v>
      </c>
      <c r="BU11" s="191" t="s">
        <v>210</v>
      </c>
      <c r="BV11" s="252" t="s">
        <v>57</v>
      </c>
      <c r="BW11" s="191" t="s">
        <v>211</v>
      </c>
      <c r="BX11" s="252" t="s">
        <v>58</v>
      </c>
      <c r="BY11" s="191" t="s">
        <v>212</v>
      </c>
      <c r="BZ11" s="252" t="s">
        <v>59</v>
      </c>
      <c r="CA11" s="191" t="s">
        <v>213</v>
      </c>
      <c r="CB11" s="252" t="s">
        <v>60</v>
      </c>
      <c r="CC11" s="191" t="s">
        <v>214</v>
      </c>
      <c r="CD11" s="252" t="s">
        <v>50</v>
      </c>
      <c r="CE11" s="191" t="s">
        <v>215</v>
      </c>
      <c r="CF11" s="252" t="s">
        <v>219</v>
      </c>
      <c r="CG11" s="182" t="s">
        <v>217</v>
      </c>
      <c r="CH11" s="191" t="s">
        <v>223</v>
      </c>
      <c r="CI11" s="252" t="s">
        <v>224</v>
      </c>
      <c r="CJ11" s="191" t="s">
        <v>225</v>
      </c>
      <c r="CK11" s="252" t="s">
        <v>226</v>
      </c>
      <c r="CL11" s="184" t="s">
        <v>237</v>
      </c>
      <c r="CM11" s="189" t="s">
        <v>204</v>
      </c>
      <c r="CN11" s="183" t="s">
        <v>51</v>
      </c>
      <c r="CO11" s="189" t="s">
        <v>205</v>
      </c>
      <c r="CP11" s="183" t="s">
        <v>52</v>
      </c>
      <c r="CQ11" s="189" t="s">
        <v>206</v>
      </c>
      <c r="CR11" s="183" t="s">
        <v>53</v>
      </c>
      <c r="CS11" s="189" t="s">
        <v>207</v>
      </c>
      <c r="CT11" s="183" t="s">
        <v>54</v>
      </c>
      <c r="CU11" s="189" t="s">
        <v>208</v>
      </c>
      <c r="CV11" s="183" t="s">
        <v>56</v>
      </c>
      <c r="CW11" s="189" t="s">
        <v>209</v>
      </c>
      <c r="CX11" s="183" t="s">
        <v>218</v>
      </c>
      <c r="CY11" s="189" t="s">
        <v>210</v>
      </c>
      <c r="CZ11" s="183" t="s">
        <v>57</v>
      </c>
      <c r="DA11" s="189" t="s">
        <v>211</v>
      </c>
      <c r="DB11" s="183" t="s">
        <v>58</v>
      </c>
      <c r="DC11" s="189" t="s">
        <v>212</v>
      </c>
      <c r="DD11" s="183" t="s">
        <v>59</v>
      </c>
      <c r="DE11" s="189" t="s">
        <v>213</v>
      </c>
      <c r="DF11" s="183" t="s">
        <v>60</v>
      </c>
      <c r="DG11" s="189" t="s">
        <v>214</v>
      </c>
      <c r="DH11" s="183" t="s">
        <v>50</v>
      </c>
      <c r="DI11" s="189" t="s">
        <v>215</v>
      </c>
      <c r="DJ11" s="183" t="s">
        <v>219</v>
      </c>
      <c r="DK11" s="182" t="s">
        <v>217</v>
      </c>
      <c r="DL11" s="190" t="s">
        <v>229</v>
      </c>
      <c r="DM11" s="252" t="s">
        <v>230</v>
      </c>
      <c r="DN11" s="190" t="s">
        <v>231</v>
      </c>
      <c r="DO11" s="252" t="s">
        <v>232</v>
      </c>
      <c r="DP11" s="184" t="s">
        <v>237</v>
      </c>
      <c r="DQ11" s="189" t="s">
        <v>204</v>
      </c>
      <c r="DR11" s="183" t="s">
        <v>51</v>
      </c>
      <c r="DS11" s="189" t="s">
        <v>205</v>
      </c>
      <c r="DT11" s="183" t="s">
        <v>52</v>
      </c>
      <c r="DU11" s="189" t="s">
        <v>206</v>
      </c>
      <c r="DV11" s="183" t="s">
        <v>53</v>
      </c>
      <c r="DW11" s="189" t="s">
        <v>207</v>
      </c>
      <c r="DX11" s="183" t="s">
        <v>54</v>
      </c>
      <c r="DY11" s="189" t="s">
        <v>208</v>
      </c>
      <c r="DZ11" s="183" t="s">
        <v>56</v>
      </c>
      <c r="EA11" s="189" t="s">
        <v>209</v>
      </c>
      <c r="EB11" s="183" t="s">
        <v>218</v>
      </c>
      <c r="EC11" s="189" t="s">
        <v>210</v>
      </c>
      <c r="ED11" s="183" t="s">
        <v>57</v>
      </c>
      <c r="EE11" s="189" t="s">
        <v>211</v>
      </c>
      <c r="EF11" s="183" t="s">
        <v>58</v>
      </c>
      <c r="EG11" s="189" t="s">
        <v>212</v>
      </c>
      <c r="EH11" s="183" t="s">
        <v>59</v>
      </c>
      <c r="EI11" s="189" t="s">
        <v>213</v>
      </c>
      <c r="EJ11" s="183" t="s">
        <v>60</v>
      </c>
      <c r="EK11" s="189" t="s">
        <v>214</v>
      </c>
      <c r="EL11" s="183" t="s">
        <v>50</v>
      </c>
      <c r="EM11" s="189" t="s">
        <v>215</v>
      </c>
      <c r="EN11" s="183" t="s">
        <v>219</v>
      </c>
      <c r="EO11" s="182" t="s">
        <v>217</v>
      </c>
      <c r="EP11" s="190" t="s">
        <v>233</v>
      </c>
      <c r="EQ11" s="252" t="s">
        <v>234</v>
      </c>
      <c r="ER11" s="190" t="s">
        <v>235</v>
      </c>
      <c r="ES11" s="252" t="s">
        <v>236</v>
      </c>
      <c r="ET11" s="468"/>
      <c r="EU11" s="468"/>
      <c r="EV11" s="462"/>
      <c r="EW11" s="464"/>
      <c r="EX11" s="462"/>
      <c r="EY11" s="454"/>
      <c r="EZ11" s="454"/>
      <c r="FA11" s="454"/>
      <c r="FB11" s="454"/>
      <c r="FC11" s="454"/>
    </row>
    <row r="12" spans="1:159" s="98" customFormat="1" ht="89.25" customHeight="1" x14ac:dyDescent="0.25">
      <c r="A12" s="263">
        <v>2</v>
      </c>
      <c r="B12" s="263">
        <v>35</v>
      </c>
      <c r="C12" s="263">
        <v>268</v>
      </c>
      <c r="D12" s="264" t="s">
        <v>263</v>
      </c>
      <c r="E12" s="263">
        <v>285</v>
      </c>
      <c r="F12" s="264" t="s">
        <v>264</v>
      </c>
      <c r="G12" s="263" t="s">
        <v>265</v>
      </c>
      <c r="H12" s="263" t="s">
        <v>266</v>
      </c>
      <c r="I12" s="91">
        <f>+AC12+BG12+CK12+CL12+DP12</f>
        <v>4000</v>
      </c>
      <c r="J12" s="91">
        <v>234</v>
      </c>
      <c r="K12" s="91"/>
      <c r="L12" s="91"/>
      <c r="M12" s="91"/>
      <c r="N12" s="91"/>
      <c r="O12" s="91"/>
      <c r="P12" s="91"/>
      <c r="Q12" s="91"/>
      <c r="R12" s="91"/>
      <c r="S12" s="91"/>
      <c r="T12" s="91"/>
      <c r="U12" s="91"/>
      <c r="V12" s="91"/>
      <c r="W12" s="91">
        <f>234</f>
        <v>234</v>
      </c>
      <c r="X12" s="91">
        <v>195</v>
      </c>
      <c r="Y12" s="265">
        <v>234</v>
      </c>
      <c r="Z12" s="103">
        <v>234</v>
      </c>
      <c r="AA12" s="103">
        <v>195</v>
      </c>
      <c r="AB12" s="103">
        <v>195</v>
      </c>
      <c r="AC12" s="103">
        <v>195</v>
      </c>
      <c r="AD12" s="91">
        <v>798</v>
      </c>
      <c r="AE12" s="91">
        <v>37</v>
      </c>
      <c r="AF12" s="266">
        <v>38</v>
      </c>
      <c r="AG12" s="95">
        <v>65</v>
      </c>
      <c r="AH12" s="266">
        <v>10</v>
      </c>
      <c r="AI12" s="91">
        <v>69</v>
      </c>
      <c r="AJ12" s="266">
        <v>33</v>
      </c>
      <c r="AK12" s="91">
        <v>72</v>
      </c>
      <c r="AL12" s="266">
        <v>44</v>
      </c>
      <c r="AM12" s="91">
        <v>72</v>
      </c>
      <c r="AN12" s="263">
        <v>58</v>
      </c>
      <c r="AO12" s="91">
        <v>104</v>
      </c>
      <c r="AP12" s="263">
        <v>93</v>
      </c>
      <c r="AQ12" s="91">
        <v>62</v>
      </c>
      <c r="AR12" s="266">
        <v>229</v>
      </c>
      <c r="AS12" s="91">
        <v>72</v>
      </c>
      <c r="AT12" s="91">
        <v>110</v>
      </c>
      <c r="AU12" s="91">
        <v>71</v>
      </c>
      <c r="AV12" s="91">
        <v>54</v>
      </c>
      <c r="AW12" s="91">
        <v>70</v>
      </c>
      <c r="AX12" s="91">
        <v>70</v>
      </c>
      <c r="AY12" s="91">
        <v>65</v>
      </c>
      <c r="AZ12" s="91">
        <v>24</v>
      </c>
      <c r="BA12" s="91">
        <v>39</v>
      </c>
      <c r="BB12" s="91">
        <v>31</v>
      </c>
      <c r="BC12" s="267">
        <f>BA12+AY12+AW12+AU12+AS12+AQ12+AO12+AM12+AK12+AI12+AG12+AE12</f>
        <v>798</v>
      </c>
      <c r="BD12" s="267">
        <f>+AE12+AG12+AI12+AK12+AM12+AO12+AQ12+AS12+AU12+AW12+AY12+BA12</f>
        <v>798</v>
      </c>
      <c r="BE12" s="267">
        <f>+AF12+AH12+AJ12+AL12+AN12+AP12+AR12+AT12+AV12+AX12+AZ12+BB12</f>
        <v>794</v>
      </c>
      <c r="BF12" s="267">
        <f>BA12+AY12+AW12+AU12+AS12+AQ12+AO12+AM12+AK12+AI12+AG12+AE12</f>
        <v>798</v>
      </c>
      <c r="BG12" s="267">
        <f>AF12+AH12+AJ12+AL12+AN12+AP12+AR12+AT12+AV12+AX12+AZ12+BB12</f>
        <v>794</v>
      </c>
      <c r="BH12" s="91">
        <f>1097+4</f>
        <v>1101</v>
      </c>
      <c r="BI12" s="91">
        <f>67+4</f>
        <v>71</v>
      </c>
      <c r="BJ12" s="268">
        <v>0</v>
      </c>
      <c r="BK12" s="91">
        <v>92</v>
      </c>
      <c r="BL12" s="268">
        <v>49</v>
      </c>
      <c r="BM12" s="91">
        <v>97</v>
      </c>
      <c r="BN12" s="266">
        <v>60</v>
      </c>
      <c r="BO12" s="266">
        <v>102</v>
      </c>
      <c r="BP12" s="266">
        <v>92</v>
      </c>
      <c r="BQ12" s="91">
        <v>102</v>
      </c>
      <c r="BR12" s="266">
        <v>93</v>
      </c>
      <c r="BS12" s="91">
        <v>92</v>
      </c>
      <c r="BT12" s="266">
        <v>93</v>
      </c>
      <c r="BU12" s="91">
        <v>63</v>
      </c>
      <c r="BV12" s="266">
        <v>120</v>
      </c>
      <c r="BW12" s="91">
        <v>88</v>
      </c>
      <c r="BX12" s="266">
        <v>164</v>
      </c>
      <c r="BY12" s="91">
        <v>102</v>
      </c>
      <c r="BZ12" s="266">
        <v>242</v>
      </c>
      <c r="CA12" s="91">
        <v>102</v>
      </c>
      <c r="CB12" s="266">
        <v>126</v>
      </c>
      <c r="CC12" s="91">
        <v>102</v>
      </c>
      <c r="CD12" s="266">
        <v>113</v>
      </c>
      <c r="CE12" s="269">
        <f>88+133</f>
        <v>221</v>
      </c>
      <c r="CF12" s="268">
        <v>82</v>
      </c>
      <c r="CG12" s="91">
        <f>BI12+BK12+BM12+BO12+BQ12+BS12+BU12+BW12+BY12+CA12+CC12+CE12</f>
        <v>1234</v>
      </c>
      <c r="CH12" s="91">
        <f>+BI12+BK12+BM12+BO12+BQ12+BS12+BU12+BW12+BY12+CA12+CC12+CE12</f>
        <v>1234</v>
      </c>
      <c r="CI12" s="91">
        <f>+BJ12+BL12+BN12+BP12+BR12+BT12+BV12+BX12+BZ12+CB12+CD12+CF12</f>
        <v>1234</v>
      </c>
      <c r="CJ12" s="91">
        <f>BI12+BK12+BM12+BO12+BQ12+BS12+BU12+BW12+BY12+CA12+CC12+CE12</f>
        <v>1234</v>
      </c>
      <c r="CK12" s="91">
        <f>BJ12+BL12+BN12+BP12+BR12+BT12+BV12+BX12+BZ12+CB12+CD12+CF12</f>
        <v>1234</v>
      </c>
      <c r="CL12" s="91">
        <v>1428</v>
      </c>
      <c r="CM12" s="91"/>
      <c r="CN12" s="91"/>
      <c r="CO12" s="91"/>
      <c r="CP12" s="91"/>
      <c r="CQ12" s="91"/>
      <c r="CR12" s="91"/>
      <c r="CS12" s="91"/>
      <c r="CT12" s="91"/>
      <c r="CU12" s="91"/>
      <c r="CV12" s="91"/>
      <c r="CW12" s="91"/>
      <c r="CX12" s="91"/>
      <c r="CY12" s="91"/>
      <c r="CZ12" s="91"/>
      <c r="DA12" s="91"/>
      <c r="DB12" s="91"/>
      <c r="DC12" s="91"/>
      <c r="DD12" s="91"/>
      <c r="DE12" s="91"/>
      <c r="DF12" s="91"/>
      <c r="DG12" s="91"/>
      <c r="DH12" s="91"/>
      <c r="DI12" s="91"/>
      <c r="DJ12" s="91"/>
      <c r="DK12" s="91"/>
      <c r="DL12" s="91"/>
      <c r="DM12" s="91"/>
      <c r="DN12" s="91"/>
      <c r="DO12" s="91"/>
      <c r="DP12" s="270">
        <f>482-133</f>
        <v>349</v>
      </c>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48">
        <f>CF12/CE12</f>
        <v>0.37104072398190047</v>
      </c>
      <c r="EU12" s="261">
        <f>CI12/CH12</f>
        <v>1</v>
      </c>
      <c r="EV12" s="262">
        <f>CK12/CJ12</f>
        <v>1</v>
      </c>
      <c r="EW12" s="262">
        <f>+(AC12+BG12+CI12)/(AB12+BF12+CH12)</f>
        <v>0.99820386169735065</v>
      </c>
      <c r="EX12" s="262">
        <f>+(AC12+BG12+CK12)/I12</f>
        <v>0.55574999999999997</v>
      </c>
      <c r="EY12" s="272" t="s">
        <v>666</v>
      </c>
      <c r="EZ12" s="264" t="s">
        <v>568</v>
      </c>
      <c r="FA12" s="264" t="s">
        <v>568</v>
      </c>
      <c r="FB12" s="264" t="s">
        <v>331</v>
      </c>
      <c r="FC12" s="264" t="s">
        <v>332</v>
      </c>
    </row>
    <row r="13" spans="1:159" s="98" customFormat="1" ht="89.25" customHeight="1" x14ac:dyDescent="0.25">
      <c r="A13" s="263">
        <v>2</v>
      </c>
      <c r="B13" s="263">
        <v>35</v>
      </c>
      <c r="C13" s="263">
        <v>269</v>
      </c>
      <c r="D13" s="264" t="s">
        <v>558</v>
      </c>
      <c r="E13" s="263">
        <v>286</v>
      </c>
      <c r="F13" s="264" t="s">
        <v>264</v>
      </c>
      <c r="G13" s="263" t="s">
        <v>265</v>
      </c>
      <c r="H13" s="263" t="s">
        <v>266</v>
      </c>
      <c r="I13" s="91">
        <f>+AC13+BG13+CK13+CL13+DP13</f>
        <v>4700</v>
      </c>
      <c r="J13" s="91">
        <v>426</v>
      </c>
      <c r="K13" s="91"/>
      <c r="L13" s="91"/>
      <c r="M13" s="91"/>
      <c r="N13" s="91"/>
      <c r="O13" s="91"/>
      <c r="P13" s="91"/>
      <c r="Q13" s="91"/>
      <c r="R13" s="91"/>
      <c r="S13" s="91"/>
      <c r="T13" s="91"/>
      <c r="U13" s="91"/>
      <c r="V13" s="91"/>
      <c r="W13" s="91">
        <f>426+65</f>
        <v>491</v>
      </c>
      <c r="X13" s="91">
        <v>491</v>
      </c>
      <c r="Y13" s="265">
        <v>491</v>
      </c>
      <c r="Z13" s="103">
        <v>491</v>
      </c>
      <c r="AA13" s="103">
        <v>491</v>
      </c>
      <c r="AB13" s="103">
        <v>491</v>
      </c>
      <c r="AC13" s="103">
        <v>491</v>
      </c>
      <c r="AD13" s="91">
        <v>893</v>
      </c>
      <c r="AE13" s="91">
        <v>15</v>
      </c>
      <c r="AF13" s="266">
        <v>36</v>
      </c>
      <c r="AG13" s="95">
        <v>18</v>
      </c>
      <c r="AH13" s="266">
        <v>16</v>
      </c>
      <c r="AI13" s="91">
        <v>90</v>
      </c>
      <c r="AJ13" s="266">
        <v>104</v>
      </c>
      <c r="AK13" s="91">
        <v>97</v>
      </c>
      <c r="AL13" s="266">
        <v>116</v>
      </c>
      <c r="AM13" s="91">
        <v>97</v>
      </c>
      <c r="AN13" s="263">
        <v>76</v>
      </c>
      <c r="AO13" s="91">
        <v>97</v>
      </c>
      <c r="AP13" s="263">
        <v>115</v>
      </c>
      <c r="AQ13" s="91">
        <v>97</v>
      </c>
      <c r="AR13" s="266">
        <v>96</v>
      </c>
      <c r="AS13" s="91">
        <v>97</v>
      </c>
      <c r="AT13" s="91">
        <v>102</v>
      </c>
      <c r="AU13" s="91">
        <v>97</v>
      </c>
      <c r="AV13" s="91">
        <v>96</v>
      </c>
      <c r="AW13" s="91">
        <v>97</v>
      </c>
      <c r="AX13" s="91">
        <v>69</v>
      </c>
      <c r="AY13" s="91">
        <v>91</v>
      </c>
      <c r="AZ13" s="91">
        <v>65</v>
      </c>
      <c r="BA13" s="91">
        <v>4</v>
      </c>
      <c r="BB13" s="91">
        <v>6</v>
      </c>
      <c r="BC13" s="267">
        <f>BA13+AY13+AW13+AU13+AS13+AQ13+AO13+AM13+AK13+AI13+AG13+AE13</f>
        <v>897</v>
      </c>
      <c r="BD13" s="267">
        <f>+AE13+AG13+AI13+AK13+AM13+AO13+AQ13+AS13+AU13+AW13+AY13+BA13</f>
        <v>897</v>
      </c>
      <c r="BE13" s="267">
        <f>+AF13+AH13+AJ13+AL13+AN13+AP13+AR13+AT13+AV13+AX13+AZ13+BB13</f>
        <v>897</v>
      </c>
      <c r="BF13" s="267">
        <f>BA13+AY13+AW13+AU13+AS13+AQ13+AO13+AM13+AK13+AI13+AG13+AE13</f>
        <v>897</v>
      </c>
      <c r="BG13" s="267">
        <f>AF13+AH13+AJ13+AL13+AN13+AP13+AR13+AT13+AV13+AX13+AZ13+BB13</f>
        <v>897</v>
      </c>
      <c r="BH13" s="91">
        <v>1272</v>
      </c>
      <c r="BI13" s="267">
        <v>0</v>
      </c>
      <c r="BJ13" s="267">
        <v>11</v>
      </c>
      <c r="BK13" s="267">
        <v>102</v>
      </c>
      <c r="BL13" s="267">
        <v>129</v>
      </c>
      <c r="BM13" s="267">
        <v>130</v>
      </c>
      <c r="BN13" s="267">
        <v>109</v>
      </c>
      <c r="BO13" s="267">
        <v>130</v>
      </c>
      <c r="BP13" s="267">
        <v>115</v>
      </c>
      <c r="BQ13" s="267">
        <v>130</v>
      </c>
      <c r="BR13" s="267">
        <v>194</v>
      </c>
      <c r="BS13" s="267">
        <v>130</v>
      </c>
      <c r="BT13" s="267">
        <v>127</v>
      </c>
      <c r="BU13" s="267">
        <v>130</v>
      </c>
      <c r="BV13" s="267">
        <v>138</v>
      </c>
      <c r="BW13" s="267">
        <v>130</v>
      </c>
      <c r="BX13" s="267">
        <v>117</v>
      </c>
      <c r="BY13" s="267">
        <v>130</v>
      </c>
      <c r="BZ13" s="267">
        <v>142</v>
      </c>
      <c r="CA13" s="267">
        <v>130</v>
      </c>
      <c r="CB13" s="267">
        <v>121</v>
      </c>
      <c r="CC13" s="267">
        <v>130</v>
      </c>
      <c r="CD13" s="267">
        <v>137</v>
      </c>
      <c r="CE13" s="269">
        <v>146</v>
      </c>
      <c r="CF13" s="267">
        <v>78</v>
      </c>
      <c r="CG13" s="91">
        <f>BI13+BK13+BM13+BO13+BQ13+BS13+BU13+BW13+BY13+CA13+CC13+CE13</f>
        <v>1418</v>
      </c>
      <c r="CH13" s="91">
        <f>+BI13+BK13+BM13+BO13+BQ13+BS13+BU13+BW13+BY13+CA13+CC13+CE13</f>
        <v>1418</v>
      </c>
      <c r="CI13" s="91">
        <f>+BJ13+BL13+BN13+BP13+BR13+BT13+BV13+BX13+BZ13+CB13+CD13+CF13</f>
        <v>1418</v>
      </c>
      <c r="CJ13" s="91">
        <f>BI13+BK13+BM13+BO13+BQ13+BS13+BU13+BW13+BY13+CA13+CC13+CE13</f>
        <v>1418</v>
      </c>
      <c r="CK13" s="91">
        <f>BJ13+BL13+BN13+BP13+BR13+BT13+BV13+BX13+BZ13+CB13+CD13+CF13</f>
        <v>1418</v>
      </c>
      <c r="CL13" s="91">
        <v>1585</v>
      </c>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70">
        <f>455-146</f>
        <v>309</v>
      </c>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48">
        <f t="shared" ref="ET13:ET16" si="0">CF13/CE13</f>
        <v>0.53424657534246578</v>
      </c>
      <c r="EU13" s="261">
        <f>CI13/CH13</f>
        <v>1</v>
      </c>
      <c r="EV13" s="262">
        <f>CK13/CJ13</f>
        <v>1</v>
      </c>
      <c r="EW13" s="262">
        <f>+(AC13+BG13+CI13)/(AB13+BF13+CH13)</f>
        <v>1</v>
      </c>
      <c r="EX13" s="262">
        <f>+(AC13+BG13+CK13)/I13</f>
        <v>0.59702127659574467</v>
      </c>
      <c r="EY13" s="272" t="s">
        <v>667</v>
      </c>
      <c r="EZ13" s="264" t="s">
        <v>568</v>
      </c>
      <c r="FA13" s="264" t="s">
        <v>568</v>
      </c>
      <c r="FB13" s="264" t="s">
        <v>333</v>
      </c>
      <c r="FC13" s="264" t="s">
        <v>334</v>
      </c>
    </row>
    <row r="14" spans="1:159" s="98" customFormat="1" ht="89.25" customHeight="1" x14ac:dyDescent="0.25">
      <c r="A14" s="263">
        <v>2</v>
      </c>
      <c r="B14" s="263">
        <v>35</v>
      </c>
      <c r="C14" s="263">
        <v>270</v>
      </c>
      <c r="D14" s="264" t="s">
        <v>268</v>
      </c>
      <c r="E14" s="263">
        <v>287</v>
      </c>
      <c r="F14" s="264" t="s">
        <v>269</v>
      </c>
      <c r="G14" s="263" t="s">
        <v>270</v>
      </c>
      <c r="H14" s="263" t="s">
        <v>271</v>
      </c>
      <c r="I14" s="92">
        <f>+J14</f>
        <v>1</v>
      </c>
      <c r="J14" s="92">
        <v>1</v>
      </c>
      <c r="K14" s="92"/>
      <c r="L14" s="92"/>
      <c r="M14" s="92"/>
      <c r="N14" s="92"/>
      <c r="O14" s="92"/>
      <c r="P14" s="92"/>
      <c r="Q14" s="92"/>
      <c r="R14" s="92"/>
      <c r="S14" s="92"/>
      <c r="T14" s="92"/>
      <c r="U14" s="92"/>
      <c r="V14" s="92"/>
      <c r="W14" s="92">
        <v>1</v>
      </c>
      <c r="X14" s="92">
        <v>1</v>
      </c>
      <c r="Y14" s="273">
        <v>1</v>
      </c>
      <c r="Z14" s="273">
        <v>1</v>
      </c>
      <c r="AA14" s="273">
        <v>1</v>
      </c>
      <c r="AB14" s="273">
        <v>1</v>
      </c>
      <c r="AC14" s="273">
        <v>1</v>
      </c>
      <c r="AD14" s="92">
        <v>1</v>
      </c>
      <c r="AE14" s="92">
        <v>1</v>
      </c>
      <c r="AF14" s="92">
        <v>1</v>
      </c>
      <c r="AG14" s="92">
        <v>1</v>
      </c>
      <c r="AH14" s="92">
        <v>1</v>
      </c>
      <c r="AI14" s="92">
        <v>1</v>
      </c>
      <c r="AJ14" s="92">
        <v>1</v>
      </c>
      <c r="AK14" s="92">
        <v>1</v>
      </c>
      <c r="AL14" s="92">
        <v>1</v>
      </c>
      <c r="AM14" s="92">
        <v>1</v>
      </c>
      <c r="AN14" s="101">
        <v>1</v>
      </c>
      <c r="AO14" s="92">
        <v>1</v>
      </c>
      <c r="AP14" s="101">
        <v>1</v>
      </c>
      <c r="AQ14" s="92">
        <v>1</v>
      </c>
      <c r="AR14" s="185">
        <v>1</v>
      </c>
      <c r="AS14" s="92">
        <v>1</v>
      </c>
      <c r="AT14" s="185">
        <v>1</v>
      </c>
      <c r="AU14" s="92">
        <v>1</v>
      </c>
      <c r="AV14" s="185">
        <v>1</v>
      </c>
      <c r="AW14" s="92">
        <v>1</v>
      </c>
      <c r="AX14" s="185">
        <v>1</v>
      </c>
      <c r="AY14" s="92">
        <v>1</v>
      </c>
      <c r="AZ14" s="185">
        <v>1</v>
      </c>
      <c r="BA14" s="92">
        <v>1</v>
      </c>
      <c r="BB14" s="185">
        <v>1</v>
      </c>
      <c r="BC14" s="99">
        <f>+AD14</f>
        <v>1</v>
      </c>
      <c r="BD14" s="99">
        <f>+BA14</f>
        <v>1</v>
      </c>
      <c r="BE14" s="99">
        <f>+BB14</f>
        <v>1</v>
      </c>
      <c r="BF14" s="99">
        <f>+AD14</f>
        <v>1</v>
      </c>
      <c r="BG14" s="99">
        <f>+BB14</f>
        <v>1</v>
      </c>
      <c r="BH14" s="92">
        <v>1</v>
      </c>
      <c r="BI14" s="92">
        <v>1</v>
      </c>
      <c r="BJ14" s="92">
        <v>1</v>
      </c>
      <c r="BK14" s="92">
        <v>1</v>
      </c>
      <c r="BL14" s="92">
        <v>1</v>
      </c>
      <c r="BM14" s="92">
        <v>1</v>
      </c>
      <c r="BN14" s="92">
        <v>1</v>
      </c>
      <c r="BO14" s="92">
        <v>1</v>
      </c>
      <c r="BP14" s="92">
        <v>1</v>
      </c>
      <c r="BQ14" s="92">
        <v>1</v>
      </c>
      <c r="BR14" s="92">
        <v>1</v>
      </c>
      <c r="BS14" s="92">
        <v>1</v>
      </c>
      <c r="BT14" s="92">
        <v>1</v>
      </c>
      <c r="BU14" s="92">
        <v>1</v>
      </c>
      <c r="BV14" s="92">
        <v>1</v>
      </c>
      <c r="BW14" s="92">
        <v>1</v>
      </c>
      <c r="BX14" s="92">
        <v>1</v>
      </c>
      <c r="BY14" s="92">
        <v>1</v>
      </c>
      <c r="BZ14" s="92">
        <v>1</v>
      </c>
      <c r="CA14" s="92">
        <v>1</v>
      </c>
      <c r="CB14" s="92">
        <v>1</v>
      </c>
      <c r="CC14" s="92">
        <v>1</v>
      </c>
      <c r="CD14" s="92">
        <v>1</v>
      </c>
      <c r="CE14" s="92">
        <v>1</v>
      </c>
      <c r="CF14" s="92">
        <v>1</v>
      </c>
      <c r="CG14" s="92">
        <f>BH14</f>
        <v>1</v>
      </c>
      <c r="CH14" s="92">
        <f t="shared" ref="CH14:CI14" si="1">+CC14</f>
        <v>1</v>
      </c>
      <c r="CI14" s="92">
        <f t="shared" si="1"/>
        <v>1</v>
      </c>
      <c r="CJ14" s="92">
        <f>+BH14</f>
        <v>1</v>
      </c>
      <c r="CK14" s="92">
        <f>+CD14</f>
        <v>1</v>
      </c>
      <c r="CL14" s="92">
        <v>1</v>
      </c>
      <c r="CM14" s="92">
        <v>1</v>
      </c>
      <c r="CN14" s="92">
        <v>1</v>
      </c>
      <c r="CO14" s="92">
        <v>1</v>
      </c>
      <c r="CP14" s="92">
        <v>1</v>
      </c>
      <c r="CQ14" s="92">
        <v>1</v>
      </c>
      <c r="CR14" s="92">
        <v>1</v>
      </c>
      <c r="CS14" s="92">
        <v>1</v>
      </c>
      <c r="CT14" s="92">
        <v>1</v>
      </c>
      <c r="CU14" s="92">
        <v>1</v>
      </c>
      <c r="CV14" s="92">
        <v>1</v>
      </c>
      <c r="CW14" s="92">
        <v>1</v>
      </c>
      <c r="CX14" s="92">
        <v>1</v>
      </c>
      <c r="CY14" s="92">
        <v>1</v>
      </c>
      <c r="CZ14" s="92">
        <v>1</v>
      </c>
      <c r="DA14" s="92">
        <v>1</v>
      </c>
      <c r="DB14" s="92">
        <v>1</v>
      </c>
      <c r="DC14" s="92">
        <v>1</v>
      </c>
      <c r="DD14" s="92">
        <v>1</v>
      </c>
      <c r="DE14" s="92">
        <v>1</v>
      </c>
      <c r="DF14" s="92">
        <v>1</v>
      </c>
      <c r="DG14" s="92">
        <v>1</v>
      </c>
      <c r="DH14" s="92">
        <v>1</v>
      </c>
      <c r="DI14" s="92">
        <v>1</v>
      </c>
      <c r="DJ14" s="92">
        <v>1</v>
      </c>
      <c r="DK14" s="92">
        <v>1</v>
      </c>
      <c r="DL14" s="92">
        <v>1</v>
      </c>
      <c r="DM14" s="92">
        <v>1</v>
      </c>
      <c r="DN14" s="92">
        <v>1</v>
      </c>
      <c r="DO14" s="92">
        <v>1</v>
      </c>
      <c r="DP14" s="92">
        <v>1</v>
      </c>
      <c r="DQ14" s="274"/>
      <c r="DR14" s="274"/>
      <c r="DS14" s="274"/>
      <c r="DT14" s="274"/>
      <c r="DU14" s="274"/>
      <c r="DV14" s="274"/>
      <c r="DW14" s="274"/>
      <c r="DX14" s="274"/>
      <c r="DY14" s="274"/>
      <c r="DZ14" s="274"/>
      <c r="EA14" s="274"/>
      <c r="EB14" s="274"/>
      <c r="EC14" s="274"/>
      <c r="ED14" s="274"/>
      <c r="EE14" s="274"/>
      <c r="EF14" s="274"/>
      <c r="EG14" s="274"/>
      <c r="EH14" s="274"/>
      <c r="EI14" s="271"/>
      <c r="EJ14" s="271"/>
      <c r="EK14" s="271"/>
      <c r="EL14" s="271"/>
      <c r="EM14" s="271"/>
      <c r="EN14" s="271"/>
      <c r="EO14" s="271"/>
      <c r="EP14" s="271"/>
      <c r="EQ14" s="271"/>
      <c r="ER14" s="271"/>
      <c r="ES14" s="271"/>
      <c r="ET14" s="248">
        <f t="shared" si="0"/>
        <v>1</v>
      </c>
      <c r="EU14" s="261">
        <f>CI14/CH14</f>
        <v>1</v>
      </c>
      <c r="EV14" s="262">
        <f>CK14/CJ14</f>
        <v>1</v>
      </c>
      <c r="EW14" s="262">
        <f t="shared" ref="EW14" si="2">+(AC14+BG14+CI14)/(AB14+BF14+CH14)</f>
        <v>1</v>
      </c>
      <c r="EX14" s="262">
        <f>+(AC14+BG14+CK14)/500%</f>
        <v>0.6</v>
      </c>
      <c r="EY14" s="272" t="s">
        <v>636</v>
      </c>
      <c r="EZ14" s="264" t="s">
        <v>568</v>
      </c>
      <c r="FA14" s="264" t="s">
        <v>568</v>
      </c>
      <c r="FB14" s="264" t="s">
        <v>335</v>
      </c>
      <c r="FC14" s="264" t="s">
        <v>336</v>
      </c>
    </row>
    <row r="15" spans="1:159" s="98" customFormat="1" ht="89.25" customHeight="1" x14ac:dyDescent="0.25">
      <c r="A15" s="263">
        <v>2</v>
      </c>
      <c r="B15" s="263">
        <v>35</v>
      </c>
      <c r="C15" s="263">
        <v>272</v>
      </c>
      <c r="D15" s="264" t="s">
        <v>559</v>
      </c>
      <c r="E15" s="263">
        <v>289</v>
      </c>
      <c r="F15" s="264" t="s">
        <v>273</v>
      </c>
      <c r="G15" s="263" t="s">
        <v>274</v>
      </c>
      <c r="H15" s="93" t="s">
        <v>275</v>
      </c>
      <c r="I15" s="93">
        <v>33.9</v>
      </c>
      <c r="J15" s="92" t="s">
        <v>277</v>
      </c>
      <c r="K15" s="94"/>
      <c r="L15" s="94"/>
      <c r="M15" s="94"/>
      <c r="N15" s="94"/>
      <c r="O15" s="94"/>
      <c r="P15" s="94"/>
      <c r="Q15" s="94"/>
      <c r="R15" s="94"/>
      <c r="S15" s="94"/>
      <c r="T15" s="94"/>
      <c r="U15" s="94"/>
      <c r="V15" s="94"/>
      <c r="W15" s="94"/>
      <c r="X15" s="94" t="s">
        <v>276</v>
      </c>
      <c r="Y15" s="92" t="s">
        <v>277</v>
      </c>
      <c r="Z15" s="92" t="s">
        <v>277</v>
      </c>
      <c r="AA15" s="92" t="s">
        <v>277</v>
      </c>
      <c r="AB15" s="92" t="s">
        <v>277</v>
      </c>
      <c r="AC15" s="92" t="s">
        <v>277</v>
      </c>
      <c r="AD15" s="94">
        <v>37.799999999999997</v>
      </c>
      <c r="AE15" s="94">
        <v>37.799999999999997</v>
      </c>
      <c r="AF15" s="94">
        <v>37</v>
      </c>
      <c r="AG15" s="94">
        <v>37.799999999999997</v>
      </c>
      <c r="AH15" s="94">
        <v>36</v>
      </c>
      <c r="AI15" s="94">
        <v>37.799999999999997</v>
      </c>
      <c r="AJ15" s="94">
        <v>34</v>
      </c>
      <c r="AK15" s="94">
        <v>37.799999999999997</v>
      </c>
      <c r="AL15" s="100">
        <v>34</v>
      </c>
      <c r="AM15" s="94">
        <v>37.799999999999997</v>
      </c>
      <c r="AN15" s="143">
        <v>34.4</v>
      </c>
      <c r="AO15" s="94">
        <v>37.799999999999997</v>
      </c>
      <c r="AP15" s="143">
        <v>34.4</v>
      </c>
      <c r="AQ15" s="94">
        <v>37.799999999999997</v>
      </c>
      <c r="AR15" s="186">
        <v>34.5</v>
      </c>
      <c r="AS15" s="94">
        <v>37.799999999999997</v>
      </c>
      <c r="AT15" s="186">
        <v>34.4</v>
      </c>
      <c r="AU15" s="94">
        <v>37.799999999999997</v>
      </c>
      <c r="AV15" s="186">
        <v>34.4</v>
      </c>
      <c r="AW15" s="94">
        <v>37.799999999999997</v>
      </c>
      <c r="AX15" s="186">
        <v>34.700000000000003</v>
      </c>
      <c r="AY15" s="94">
        <v>37.799999999999997</v>
      </c>
      <c r="AZ15" s="186">
        <v>34.700000000000003</v>
      </c>
      <c r="BA15" s="94">
        <v>37.799999999999997</v>
      </c>
      <c r="BB15" s="186">
        <v>35.4</v>
      </c>
      <c r="BC15" s="102">
        <f>+AD15</f>
        <v>37.799999999999997</v>
      </c>
      <c r="BD15" s="94">
        <v>35.4</v>
      </c>
      <c r="BE15" s="102">
        <f>+BB15</f>
        <v>35.4</v>
      </c>
      <c r="BF15" s="102">
        <f>+AD15</f>
        <v>37.799999999999997</v>
      </c>
      <c r="BG15" s="102">
        <f>+BB15</f>
        <v>35.4</v>
      </c>
      <c r="BH15" s="94">
        <v>36.9</v>
      </c>
      <c r="BI15" s="94">
        <v>36.9</v>
      </c>
      <c r="BJ15" s="94">
        <v>35.799999999999997</v>
      </c>
      <c r="BK15" s="94">
        <v>36.9</v>
      </c>
      <c r="BL15" s="94">
        <v>35.799999999999997</v>
      </c>
      <c r="BM15" s="94">
        <v>36.9</v>
      </c>
      <c r="BN15" s="94">
        <v>35.6</v>
      </c>
      <c r="BO15" s="94">
        <v>36.9</v>
      </c>
      <c r="BP15" s="94">
        <v>35.700000000000003</v>
      </c>
      <c r="BQ15" s="94">
        <v>36.9</v>
      </c>
      <c r="BR15" s="94">
        <v>36.200000000000003</v>
      </c>
      <c r="BS15" s="94">
        <v>36.9</v>
      </c>
      <c r="BT15" s="94">
        <v>36.6</v>
      </c>
      <c r="BU15" s="94">
        <v>36.9</v>
      </c>
      <c r="BV15" s="94">
        <v>37.1</v>
      </c>
      <c r="BW15" s="94">
        <v>36.9</v>
      </c>
      <c r="BX15" s="94">
        <v>37.299999999999997</v>
      </c>
      <c r="BY15" s="94">
        <v>36.9</v>
      </c>
      <c r="BZ15" s="94">
        <v>37.700000000000003</v>
      </c>
      <c r="CA15" s="94">
        <v>36.9</v>
      </c>
      <c r="CB15" s="94">
        <v>37.6</v>
      </c>
      <c r="CC15" s="94">
        <v>36.9</v>
      </c>
      <c r="CD15" s="94">
        <v>37.5</v>
      </c>
      <c r="CE15" s="94">
        <v>36.9</v>
      </c>
      <c r="CF15" s="94">
        <v>37.1</v>
      </c>
      <c r="CG15" s="93">
        <f>BH15</f>
        <v>36.9</v>
      </c>
      <c r="CH15" s="93">
        <f>+CE15</f>
        <v>36.9</v>
      </c>
      <c r="CI15" s="93">
        <f>+CF15</f>
        <v>37.1</v>
      </c>
      <c r="CJ15" s="93">
        <f>+BH15</f>
        <v>36.9</v>
      </c>
      <c r="CK15" s="93">
        <f>+CF15</f>
        <v>37.1</v>
      </c>
      <c r="CL15" s="94">
        <v>34.700000000000003</v>
      </c>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v>33.9</v>
      </c>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248">
        <f t="shared" si="0"/>
        <v>1.005420054200542</v>
      </c>
      <c r="EU15" s="261">
        <f>CI15/CH15</f>
        <v>1.005420054200542</v>
      </c>
      <c r="EV15" s="262">
        <f>(38.3-CK15)/(38.3-CJ15)</f>
        <v>0.85714285714285499</v>
      </c>
      <c r="EW15" s="262">
        <f>(38.3-CI15)/(38.3-CH15)</f>
        <v>0.85714285714285499</v>
      </c>
      <c r="EX15" s="262">
        <f>(38.3-CK15)/(38.3-I15)</f>
        <v>0.27272727272727182</v>
      </c>
      <c r="EY15" s="272" t="s">
        <v>668</v>
      </c>
      <c r="EZ15" s="264" t="s">
        <v>568</v>
      </c>
      <c r="FA15" s="264" t="s">
        <v>568</v>
      </c>
      <c r="FB15" s="264" t="s">
        <v>337</v>
      </c>
      <c r="FC15" s="275" t="s">
        <v>338</v>
      </c>
    </row>
    <row r="16" spans="1:159" s="98" customFormat="1" ht="89.25" customHeight="1" x14ac:dyDescent="0.25">
      <c r="A16" s="263">
        <v>2</v>
      </c>
      <c r="B16" s="263">
        <v>35</v>
      </c>
      <c r="C16" s="263">
        <v>272</v>
      </c>
      <c r="D16" s="264" t="s">
        <v>272</v>
      </c>
      <c r="E16" s="263">
        <v>661</v>
      </c>
      <c r="F16" s="264" t="s">
        <v>581</v>
      </c>
      <c r="G16" s="263" t="s">
        <v>274</v>
      </c>
      <c r="H16" s="93" t="s">
        <v>275</v>
      </c>
      <c r="I16" s="93">
        <v>17.3</v>
      </c>
      <c r="J16" s="92" t="s">
        <v>277</v>
      </c>
      <c r="K16" s="94"/>
      <c r="L16" s="94"/>
      <c r="M16" s="94"/>
      <c r="N16" s="94"/>
      <c r="O16" s="94"/>
      <c r="P16" s="94"/>
      <c r="Q16" s="94"/>
      <c r="R16" s="94"/>
      <c r="S16" s="94"/>
      <c r="T16" s="94"/>
      <c r="U16" s="94"/>
      <c r="V16" s="94"/>
      <c r="W16" s="94"/>
      <c r="X16" s="94" t="s">
        <v>276</v>
      </c>
      <c r="Y16" s="92" t="s">
        <v>277</v>
      </c>
      <c r="Z16" s="92" t="s">
        <v>277</v>
      </c>
      <c r="AA16" s="92" t="s">
        <v>277</v>
      </c>
      <c r="AB16" s="92" t="s">
        <v>277</v>
      </c>
      <c r="AC16" s="92" t="s">
        <v>277</v>
      </c>
      <c r="AD16" s="94">
        <v>19.5</v>
      </c>
      <c r="AE16" s="94">
        <v>19.5</v>
      </c>
      <c r="AF16" s="94">
        <v>16</v>
      </c>
      <c r="AG16" s="94">
        <v>19.5</v>
      </c>
      <c r="AH16" s="94">
        <v>18</v>
      </c>
      <c r="AI16" s="94">
        <v>19.5</v>
      </c>
      <c r="AJ16" s="94">
        <v>17</v>
      </c>
      <c r="AK16" s="94">
        <v>19.5</v>
      </c>
      <c r="AL16" s="100">
        <v>17</v>
      </c>
      <c r="AM16" s="94">
        <v>19.5</v>
      </c>
      <c r="AN16" s="263">
        <v>17</v>
      </c>
      <c r="AO16" s="94">
        <v>19.5</v>
      </c>
      <c r="AP16" s="263">
        <v>17.3</v>
      </c>
      <c r="AQ16" s="94">
        <v>19.5</v>
      </c>
      <c r="AR16" s="276">
        <v>17.3</v>
      </c>
      <c r="AS16" s="94">
        <v>19.5</v>
      </c>
      <c r="AT16" s="266">
        <v>17.5</v>
      </c>
      <c r="AU16" s="94">
        <v>19.5</v>
      </c>
      <c r="AV16" s="266">
        <v>17.600000000000001</v>
      </c>
      <c r="AW16" s="94">
        <v>19.5</v>
      </c>
      <c r="AX16" s="266">
        <v>18.100000000000001</v>
      </c>
      <c r="AY16" s="94">
        <v>19.5</v>
      </c>
      <c r="AZ16" s="266">
        <v>18.100000000000001</v>
      </c>
      <c r="BA16" s="94">
        <v>19.5</v>
      </c>
      <c r="BB16" s="266">
        <v>18.3</v>
      </c>
      <c r="BC16" s="102">
        <f>+AD16</f>
        <v>19.5</v>
      </c>
      <c r="BD16" s="94">
        <v>18.3</v>
      </c>
      <c r="BE16" s="102">
        <f>+BB16</f>
        <v>18.3</v>
      </c>
      <c r="BF16" s="102">
        <f>+AD16</f>
        <v>19.5</v>
      </c>
      <c r="BG16" s="102">
        <f>+BB16</f>
        <v>18.3</v>
      </c>
      <c r="BH16" s="94">
        <v>19</v>
      </c>
      <c r="BI16" s="94">
        <v>19</v>
      </c>
      <c r="BJ16" s="94">
        <v>18.5</v>
      </c>
      <c r="BK16" s="94">
        <v>19</v>
      </c>
      <c r="BL16" s="94">
        <v>18.7</v>
      </c>
      <c r="BM16" s="94">
        <v>19</v>
      </c>
      <c r="BN16" s="94">
        <v>18.5</v>
      </c>
      <c r="BO16" s="94">
        <v>19</v>
      </c>
      <c r="BP16" s="94">
        <v>18.600000000000001</v>
      </c>
      <c r="BQ16" s="94">
        <v>19</v>
      </c>
      <c r="BR16" s="94">
        <v>18.7</v>
      </c>
      <c r="BS16" s="94">
        <v>19</v>
      </c>
      <c r="BT16" s="94">
        <v>18.8</v>
      </c>
      <c r="BU16" s="94">
        <v>19</v>
      </c>
      <c r="BV16" s="94">
        <v>19</v>
      </c>
      <c r="BW16" s="94">
        <v>19</v>
      </c>
      <c r="BX16" s="94">
        <v>19</v>
      </c>
      <c r="BY16" s="94">
        <v>19</v>
      </c>
      <c r="BZ16" s="94">
        <v>19.399999999999999</v>
      </c>
      <c r="CA16" s="94">
        <v>19</v>
      </c>
      <c r="CB16" s="94">
        <v>19.3</v>
      </c>
      <c r="CC16" s="94">
        <v>19</v>
      </c>
      <c r="CD16" s="94">
        <v>19.100000000000001</v>
      </c>
      <c r="CE16" s="94">
        <v>19</v>
      </c>
      <c r="CF16" s="94">
        <v>19.100000000000001</v>
      </c>
      <c r="CG16" s="93">
        <f>BH16</f>
        <v>19</v>
      </c>
      <c r="CH16" s="93">
        <f>+CE16</f>
        <v>19</v>
      </c>
      <c r="CI16" s="93">
        <f>+CF16</f>
        <v>19.100000000000001</v>
      </c>
      <c r="CJ16" s="93">
        <f>+BH16</f>
        <v>19</v>
      </c>
      <c r="CK16" s="93">
        <f>+CF16</f>
        <v>19.100000000000001</v>
      </c>
      <c r="CL16" s="94">
        <v>17.8</v>
      </c>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v>17.3</v>
      </c>
      <c r="DQ16" s="266"/>
      <c r="DR16" s="266"/>
      <c r="DS16" s="266"/>
      <c r="DT16" s="266"/>
      <c r="DU16" s="266"/>
      <c r="DV16" s="266"/>
      <c r="DW16" s="266"/>
      <c r="DX16" s="266"/>
      <c r="DY16" s="266"/>
      <c r="DZ16" s="266"/>
      <c r="EA16" s="266"/>
      <c r="EB16" s="266"/>
      <c r="EC16" s="266"/>
      <c r="ED16" s="266"/>
      <c r="EE16" s="266"/>
      <c r="EF16" s="266"/>
      <c r="EG16" s="266"/>
      <c r="EH16" s="266"/>
      <c r="EI16" s="266"/>
      <c r="EJ16" s="266"/>
      <c r="EK16" s="266"/>
      <c r="EL16" s="266"/>
      <c r="EM16" s="266"/>
      <c r="EN16" s="266"/>
      <c r="EO16" s="266"/>
      <c r="EP16" s="266"/>
      <c r="EQ16" s="266"/>
      <c r="ER16" s="266"/>
      <c r="ES16" s="266"/>
      <c r="ET16" s="248">
        <f t="shared" si="0"/>
        <v>1.0052631578947369</v>
      </c>
      <c r="EU16" s="261">
        <f>CI16/CH16</f>
        <v>1.0052631578947369</v>
      </c>
      <c r="EV16" s="262">
        <f>(19.7-CK16)/(19.7-CJ16)</f>
        <v>0.85714285714285499</v>
      </c>
      <c r="EW16" s="262">
        <f>(19.7-CI16)/(19.7-CH16)</f>
        <v>0.85714285714285499</v>
      </c>
      <c r="EX16" s="262">
        <f>(19.7-CK16)/(19.7-I16)</f>
        <v>0.24999999999999925</v>
      </c>
      <c r="EY16" s="272" t="s">
        <v>669</v>
      </c>
      <c r="EZ16" s="264" t="s">
        <v>568</v>
      </c>
      <c r="FA16" s="264" t="s">
        <v>568</v>
      </c>
      <c r="FB16" s="264" t="s">
        <v>337</v>
      </c>
      <c r="FC16" s="275" t="s">
        <v>338</v>
      </c>
    </row>
    <row r="17" spans="1:159" s="31" customFormat="1" ht="23.25" customHeight="1" x14ac:dyDescent="0.25">
      <c r="A17" s="68"/>
      <c r="B17" s="68"/>
      <c r="C17" s="69"/>
      <c r="D17" s="70"/>
      <c r="F17" s="71"/>
      <c r="G17" s="72"/>
      <c r="H17" s="73"/>
      <c r="I17" s="69"/>
      <c r="J17" s="69"/>
      <c r="K17" s="69"/>
      <c r="L17" s="69"/>
      <c r="M17" s="69"/>
      <c r="N17" s="69"/>
      <c r="O17" s="69"/>
      <c r="P17" s="69"/>
      <c r="Q17" s="69"/>
      <c r="R17" s="69"/>
      <c r="S17" s="69"/>
      <c r="T17" s="69"/>
      <c r="U17" s="69"/>
      <c r="V17" s="74"/>
      <c r="W17" s="69"/>
      <c r="X17" s="74"/>
      <c r="Y17" s="69"/>
      <c r="Z17" s="69"/>
      <c r="AA17" s="69"/>
      <c r="AB17" s="69"/>
      <c r="AC17" s="74"/>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80"/>
      <c r="BD17" s="80"/>
      <c r="BE17" s="80"/>
      <c r="BF17" s="80"/>
      <c r="BG17" s="74"/>
      <c r="BH17" s="81"/>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5"/>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75"/>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82"/>
      <c r="EU17" s="82"/>
      <c r="EV17" s="83"/>
      <c r="EW17" s="84"/>
      <c r="EX17" s="84"/>
      <c r="EY17" s="76"/>
      <c r="EZ17" s="77"/>
      <c r="FA17" s="77"/>
      <c r="FB17" s="78"/>
      <c r="FC17" s="79"/>
    </row>
    <row r="19" spans="1:159" s="6" customFormat="1" ht="30.75" customHeight="1" x14ac:dyDescent="0.25">
      <c r="A19" s="8"/>
      <c r="B19" s="22" t="s">
        <v>34</v>
      </c>
      <c r="C19" s="20"/>
      <c r="D19" s="20"/>
      <c r="E19" s="21"/>
      <c r="F19" s="54"/>
      <c r="G19" s="21"/>
      <c r="H19" s="21"/>
      <c r="I19" s="21"/>
      <c r="J19" s="21"/>
      <c r="K19" s="21"/>
      <c r="L19" s="21"/>
      <c r="M19" s="21"/>
      <c r="N19" s="21"/>
      <c r="O19" s="21"/>
      <c r="P19" s="21"/>
      <c r="Q19" s="9"/>
      <c r="R19" s="9"/>
      <c r="S19" s="9"/>
      <c r="T19" s="9"/>
      <c r="U19" s="9"/>
      <c r="V19" s="48"/>
      <c r="W19" s="8"/>
      <c r="X19" s="8"/>
    </row>
    <row r="20" spans="1:159" s="6" customFormat="1" ht="30.75" customHeight="1" x14ac:dyDescent="0.25">
      <c r="B20" s="209" t="s">
        <v>35</v>
      </c>
      <c r="C20" s="433" t="s">
        <v>36</v>
      </c>
      <c r="D20" s="434"/>
      <c r="E20" s="434"/>
      <c r="F20" s="434"/>
      <c r="G20" s="434"/>
      <c r="H20" s="434"/>
      <c r="I20" s="435"/>
      <c r="J20" s="436" t="s">
        <v>37</v>
      </c>
      <c r="K20" s="437"/>
      <c r="L20" s="437"/>
      <c r="M20" s="437"/>
      <c r="N20" s="437"/>
      <c r="O20" s="437"/>
      <c r="P20" s="438"/>
      <c r="Q20" s="9"/>
      <c r="R20" s="9"/>
      <c r="S20" s="9"/>
      <c r="T20" s="9"/>
      <c r="U20" s="9"/>
      <c r="V20" s="48"/>
      <c r="W20" s="8"/>
      <c r="X20" s="8"/>
      <c r="CF20" s="251"/>
    </row>
    <row r="21" spans="1:159" s="6" customFormat="1" ht="30.75" customHeight="1" x14ac:dyDescent="0.25">
      <c r="A21" s="8"/>
      <c r="B21" s="210">
        <v>13</v>
      </c>
      <c r="C21" s="439" t="s">
        <v>89</v>
      </c>
      <c r="D21" s="439"/>
      <c r="E21" s="439"/>
      <c r="F21" s="439"/>
      <c r="G21" s="439"/>
      <c r="H21" s="439"/>
      <c r="I21" s="439"/>
      <c r="J21" s="439" t="s">
        <v>80</v>
      </c>
      <c r="K21" s="439"/>
      <c r="L21" s="439"/>
      <c r="M21" s="439"/>
      <c r="N21" s="439"/>
      <c r="O21" s="439"/>
      <c r="P21" s="439"/>
      <c r="Q21" s="9"/>
      <c r="R21" s="9"/>
      <c r="S21" s="9"/>
      <c r="T21" s="9"/>
      <c r="U21" s="9"/>
      <c r="V21" s="48"/>
      <c r="W21" s="8"/>
      <c r="X21" s="8"/>
      <c r="CF21" s="251"/>
    </row>
    <row r="22" spans="1:159" s="6" customFormat="1" ht="30.75" customHeight="1" x14ac:dyDescent="0.25">
      <c r="A22" s="8"/>
      <c r="B22" s="210">
        <v>14</v>
      </c>
      <c r="C22" s="439" t="s">
        <v>258</v>
      </c>
      <c r="D22" s="439"/>
      <c r="E22" s="439"/>
      <c r="F22" s="439"/>
      <c r="G22" s="439"/>
      <c r="H22" s="439"/>
      <c r="I22" s="439"/>
      <c r="J22" s="440" t="s">
        <v>521</v>
      </c>
      <c r="K22" s="440"/>
      <c r="L22" s="440"/>
      <c r="M22" s="440"/>
      <c r="N22" s="440"/>
      <c r="O22" s="440"/>
      <c r="P22" s="440"/>
      <c r="Q22" s="9"/>
      <c r="R22" s="9"/>
      <c r="S22" s="9"/>
      <c r="T22" s="9"/>
      <c r="U22" s="9"/>
      <c r="V22" s="48"/>
      <c r="W22" s="8"/>
      <c r="X22" s="8"/>
    </row>
    <row r="23" spans="1:159" ht="30.75" customHeight="1" x14ac:dyDescent="0.25">
      <c r="AC23" s="65"/>
    </row>
  </sheetData>
  <mergeCells count="37">
    <mergeCell ref="EY9:EY11"/>
    <mergeCell ref="DP10:ES10"/>
    <mergeCell ref="ET9:ET11"/>
    <mergeCell ref="EU9:EU11"/>
    <mergeCell ref="A9:I9"/>
    <mergeCell ref="A10:I10"/>
    <mergeCell ref="J10:AC10"/>
    <mergeCell ref="AD10:BG10"/>
    <mergeCell ref="BH10:CK10"/>
    <mergeCell ref="CL10:DO10"/>
    <mergeCell ref="A4:F4"/>
    <mergeCell ref="A5:F5"/>
    <mergeCell ref="A6:F6"/>
    <mergeCell ref="FC9:FC11"/>
    <mergeCell ref="A7:F7"/>
    <mergeCell ref="G4:FC4"/>
    <mergeCell ref="G5:FC5"/>
    <mergeCell ref="G6:FC6"/>
    <mergeCell ref="G7:FC7"/>
    <mergeCell ref="EV9:EV11"/>
    <mergeCell ref="EX9:EX11"/>
    <mergeCell ref="EW9:EW11"/>
    <mergeCell ref="FA9:FA11"/>
    <mergeCell ref="FB9:FB11"/>
    <mergeCell ref="J9:ES9"/>
    <mergeCell ref="EZ9:EZ11"/>
    <mergeCell ref="A1:F3"/>
    <mergeCell ref="G1:FC1"/>
    <mergeCell ref="G2:FC2"/>
    <mergeCell ref="G3:ES3"/>
    <mergeCell ref="ET3:FC3"/>
    <mergeCell ref="C20:I20"/>
    <mergeCell ref="J20:P20"/>
    <mergeCell ref="C21:I21"/>
    <mergeCell ref="J21:P21"/>
    <mergeCell ref="C22:I22"/>
    <mergeCell ref="J22:P22"/>
  </mergeCells>
  <phoneticPr fontId="8" type="noConversion"/>
  <dataValidations disablePrompts="1" count="1">
    <dataValidation type="list" allowBlank="1" showInputMessage="1" showErrorMessage="1" sqref="H12:H16" xr:uid="{CCF6A82D-A6D6-8740-914C-E75B34190004}">
      <formula1>#REF!</formula1>
    </dataValidation>
  </dataValidations>
  <hyperlinks>
    <hyperlink ref="FC16" r:id="rId1" xr:uid="{D284B116-FFFA-4C4F-9091-74211F81FE13}"/>
    <hyperlink ref="FC15" r:id="rId2" xr:uid="{81762577-E733-D647-BC9D-582E2C977361}"/>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zoomScale="60" zoomScaleNormal="60" zoomScaleSheetLayoutView="40" zoomScalePageLayoutView="73" workbookViewId="0">
      <selection activeCell="F2" sqref="F2:FA2"/>
    </sheetView>
  </sheetViews>
  <sheetFormatPr baseColWidth="10" defaultColWidth="10.7109375" defaultRowHeight="42.75" customHeight="1" x14ac:dyDescent="0.25"/>
  <cols>
    <col min="1" max="1" width="8.85546875" style="220" customWidth="1"/>
    <col min="2" max="2" width="5.7109375" style="220" customWidth="1"/>
    <col min="3" max="3" width="17.7109375" style="220" customWidth="1"/>
    <col min="4" max="4" width="11.85546875" style="4" customWidth="1"/>
    <col min="5" max="5" width="8.140625" style="4" customWidth="1"/>
    <col min="6" max="6" width="13.7109375" style="13" customWidth="1"/>
    <col min="7" max="7" width="19.5703125" style="5" customWidth="1"/>
    <col min="8" max="8" width="20.7109375" style="5" hidden="1" customWidth="1"/>
    <col min="9" max="22" width="15.7109375" style="5" hidden="1" customWidth="1"/>
    <col min="23" max="23" width="19.140625" style="5" hidden="1" customWidth="1"/>
    <col min="24" max="24" width="22.140625" style="5" hidden="1" customWidth="1"/>
    <col min="25" max="25" width="19.140625" style="5" hidden="1" customWidth="1"/>
    <col min="26" max="27" width="20.7109375" style="5" customWidth="1"/>
    <col min="28" max="28" width="20.7109375" style="5" hidden="1" customWidth="1"/>
    <col min="29" max="51" width="24.140625" style="5" hidden="1" customWidth="1"/>
    <col min="52" max="52" width="21.42578125" style="5" hidden="1" customWidth="1"/>
    <col min="53" max="55" width="20.7109375" style="5" hidden="1" customWidth="1"/>
    <col min="56" max="56" width="27.85546875" style="5" customWidth="1"/>
    <col min="57" max="57" width="25" style="5" customWidth="1"/>
    <col min="58" max="58" width="26.7109375" style="5" customWidth="1"/>
    <col min="59" max="59" width="22.5703125" style="5" customWidth="1"/>
    <col min="60" max="62" width="20.28515625" style="5" customWidth="1"/>
    <col min="63" max="63" width="27.42578125" style="5" customWidth="1"/>
    <col min="64" max="64" width="17" style="5" customWidth="1"/>
    <col min="65" max="65" width="20" style="5" customWidth="1"/>
    <col min="66" max="66" width="22" style="5" customWidth="1"/>
    <col min="67" max="67" width="21.28515625" style="5" customWidth="1"/>
    <col min="68" max="68" width="20.7109375" style="5" customWidth="1"/>
    <col min="69" max="69" width="27" style="5" customWidth="1"/>
    <col min="70" max="70" width="21.28515625" style="5" customWidth="1"/>
    <col min="71" max="72" width="22.140625" style="5" customWidth="1"/>
    <col min="73" max="73" width="22.28515625" style="5" customWidth="1"/>
    <col min="74" max="74" width="22.42578125" style="5" customWidth="1"/>
    <col min="75" max="75" width="23.7109375" style="5" customWidth="1"/>
    <col min="76" max="76" width="18.7109375" style="5" customWidth="1"/>
    <col min="77" max="77" width="20.28515625" style="5" customWidth="1"/>
    <col min="78" max="78" width="24.140625" style="5" customWidth="1"/>
    <col min="79" max="79" width="18.7109375" style="5" customWidth="1"/>
    <col min="80" max="80" width="19.5703125" style="5" customWidth="1"/>
    <col min="81" max="81" width="18" style="5" customWidth="1"/>
    <col min="82" max="82" width="20.7109375" style="5" customWidth="1"/>
    <col min="83" max="88" width="24" style="5" customWidth="1"/>
    <col min="89" max="117" width="15.7109375" style="5" hidden="1" customWidth="1"/>
    <col min="118" max="118" width="26.5703125" style="5" customWidth="1"/>
    <col min="119" max="142" width="27.28515625" style="5" hidden="1" customWidth="1"/>
    <col min="143" max="147" width="15.7109375" style="5" hidden="1" customWidth="1"/>
    <col min="148" max="149" width="20.7109375" style="10" customWidth="1"/>
    <col min="150" max="152" width="20.7109375" customWidth="1"/>
    <col min="153" max="153" width="40.7109375" style="205" customWidth="1"/>
    <col min="154" max="154" width="14.42578125" customWidth="1"/>
    <col min="155" max="155" width="16.7109375" customWidth="1"/>
    <col min="156" max="157" width="40.7109375" customWidth="1"/>
    <col min="158" max="158" width="6" bestFit="1" customWidth="1"/>
    <col min="159" max="160" width="10.7109375" customWidth="1"/>
  </cols>
  <sheetData>
    <row r="1" spans="1:159" s="105" customFormat="1" ht="42.75" customHeight="1" x14ac:dyDescent="0.35">
      <c r="A1" s="481"/>
      <c r="B1" s="482"/>
      <c r="C1" s="482"/>
      <c r="D1" s="482"/>
      <c r="E1" s="482"/>
      <c r="F1" s="493" t="s">
        <v>38</v>
      </c>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3"/>
      <c r="CG1" s="493"/>
      <c r="CH1" s="493"/>
      <c r="CI1" s="493"/>
      <c r="CJ1" s="493"/>
      <c r="CK1" s="493"/>
      <c r="CL1" s="493"/>
      <c r="CM1" s="493"/>
      <c r="CN1" s="493"/>
      <c r="CO1" s="493"/>
      <c r="CP1" s="493"/>
      <c r="CQ1" s="493"/>
      <c r="CR1" s="493"/>
      <c r="CS1" s="493"/>
      <c r="CT1" s="493"/>
      <c r="CU1" s="493"/>
      <c r="CV1" s="493"/>
      <c r="CW1" s="493"/>
      <c r="CX1" s="493"/>
      <c r="CY1" s="493"/>
      <c r="CZ1" s="493"/>
      <c r="DA1" s="493"/>
      <c r="DB1" s="493"/>
      <c r="DC1" s="493"/>
      <c r="DD1" s="493"/>
      <c r="DE1" s="493"/>
      <c r="DF1" s="493"/>
      <c r="DG1" s="493"/>
      <c r="DH1" s="493"/>
      <c r="DI1" s="493"/>
      <c r="DJ1" s="493"/>
      <c r="DK1" s="493"/>
      <c r="DL1" s="493"/>
      <c r="DM1" s="493"/>
      <c r="DN1" s="493"/>
      <c r="DO1" s="493"/>
      <c r="DP1" s="493"/>
      <c r="DQ1" s="493"/>
      <c r="DR1" s="493"/>
      <c r="DS1" s="493"/>
      <c r="DT1" s="493"/>
      <c r="DU1" s="493"/>
      <c r="DV1" s="493"/>
      <c r="DW1" s="493"/>
      <c r="DX1" s="493"/>
      <c r="DY1" s="493"/>
      <c r="DZ1" s="493"/>
      <c r="EA1" s="493"/>
      <c r="EB1" s="493"/>
      <c r="EC1" s="493"/>
      <c r="ED1" s="493"/>
      <c r="EE1" s="493"/>
      <c r="EF1" s="493"/>
      <c r="EG1" s="493"/>
      <c r="EH1" s="493"/>
      <c r="EI1" s="493"/>
      <c r="EJ1" s="493"/>
      <c r="EK1" s="493"/>
      <c r="EL1" s="493"/>
      <c r="EM1" s="493"/>
      <c r="EN1" s="493"/>
      <c r="EO1" s="493"/>
      <c r="EP1" s="493"/>
      <c r="EQ1" s="493"/>
      <c r="ER1" s="493"/>
      <c r="ES1" s="493"/>
      <c r="ET1" s="493"/>
      <c r="EU1" s="493"/>
      <c r="EV1" s="493"/>
      <c r="EW1" s="493"/>
      <c r="EX1" s="493"/>
      <c r="EY1" s="493"/>
      <c r="EZ1" s="493"/>
      <c r="FA1" s="494"/>
    </row>
    <row r="2" spans="1:159" s="105" customFormat="1" ht="42.75" customHeight="1" x14ac:dyDescent="0.35">
      <c r="A2" s="483"/>
      <c r="B2" s="484"/>
      <c r="C2" s="484"/>
      <c r="D2" s="484"/>
      <c r="E2" s="484"/>
      <c r="F2" s="495" t="s">
        <v>255</v>
      </c>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c r="DG2" s="495"/>
      <c r="DH2" s="495"/>
      <c r="DI2" s="495"/>
      <c r="DJ2" s="495"/>
      <c r="DK2" s="495"/>
      <c r="DL2" s="495"/>
      <c r="DM2" s="495"/>
      <c r="DN2" s="495"/>
      <c r="DO2" s="495"/>
      <c r="DP2" s="495"/>
      <c r="DQ2" s="495"/>
      <c r="DR2" s="495"/>
      <c r="DS2" s="495"/>
      <c r="DT2" s="495"/>
      <c r="DU2" s="495"/>
      <c r="DV2" s="495"/>
      <c r="DW2" s="495"/>
      <c r="DX2" s="495"/>
      <c r="DY2" s="495"/>
      <c r="DZ2" s="495"/>
      <c r="EA2" s="495"/>
      <c r="EB2" s="495"/>
      <c r="EC2" s="495"/>
      <c r="ED2" s="495"/>
      <c r="EE2" s="495"/>
      <c r="EF2" s="495"/>
      <c r="EG2" s="495"/>
      <c r="EH2" s="495"/>
      <c r="EI2" s="495"/>
      <c r="EJ2" s="495"/>
      <c r="EK2" s="495"/>
      <c r="EL2" s="495"/>
      <c r="EM2" s="495"/>
      <c r="EN2" s="495"/>
      <c r="EO2" s="495"/>
      <c r="EP2" s="495"/>
      <c r="EQ2" s="495"/>
      <c r="ER2" s="495"/>
      <c r="ES2" s="495"/>
      <c r="ET2" s="495"/>
      <c r="EU2" s="495"/>
      <c r="EV2" s="495"/>
      <c r="EW2" s="495"/>
      <c r="EX2" s="495"/>
      <c r="EY2" s="495"/>
      <c r="EZ2" s="495"/>
      <c r="FA2" s="496"/>
    </row>
    <row r="3" spans="1:159" s="14" customFormat="1" ht="42.75" customHeight="1" x14ac:dyDescent="0.4">
      <c r="A3" s="483"/>
      <c r="B3" s="484"/>
      <c r="C3" s="484"/>
      <c r="D3" s="484"/>
      <c r="E3" s="484"/>
      <c r="F3" s="497" t="s">
        <v>47</v>
      </c>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c r="BF3" s="497"/>
      <c r="BG3" s="497"/>
      <c r="BH3" s="497"/>
      <c r="BI3" s="497"/>
      <c r="BJ3" s="497"/>
      <c r="BK3" s="497"/>
      <c r="BL3" s="497"/>
      <c r="BM3" s="497"/>
      <c r="BN3" s="497"/>
      <c r="BO3" s="497"/>
      <c r="BP3" s="497"/>
      <c r="BQ3" s="497"/>
      <c r="BR3" s="497"/>
      <c r="BS3" s="497"/>
      <c r="BT3" s="497"/>
      <c r="BU3" s="497"/>
      <c r="BV3" s="497"/>
      <c r="BW3" s="497"/>
      <c r="BX3" s="497"/>
      <c r="BY3" s="497"/>
      <c r="BZ3" s="497"/>
      <c r="CA3" s="497"/>
      <c r="CB3" s="497"/>
      <c r="CC3" s="497"/>
      <c r="CD3" s="497"/>
      <c r="CE3" s="497"/>
      <c r="CF3" s="497"/>
      <c r="CG3" s="497"/>
      <c r="CH3" s="497"/>
      <c r="CI3" s="497"/>
      <c r="CJ3" s="497"/>
      <c r="CK3" s="497"/>
      <c r="CL3" s="497"/>
      <c r="CM3" s="497"/>
      <c r="CN3" s="497"/>
      <c r="CO3" s="497"/>
      <c r="CP3" s="497"/>
      <c r="CQ3" s="497"/>
      <c r="CR3" s="497"/>
      <c r="CS3" s="497"/>
      <c r="CT3" s="497"/>
      <c r="CU3" s="497"/>
      <c r="CV3" s="497"/>
      <c r="CW3" s="497"/>
      <c r="CX3" s="497"/>
      <c r="CY3" s="497"/>
      <c r="CZ3" s="497"/>
      <c r="DA3" s="497"/>
      <c r="DB3" s="497"/>
      <c r="DC3" s="497"/>
      <c r="DD3" s="497"/>
      <c r="DE3" s="497"/>
      <c r="DF3" s="497"/>
      <c r="DG3" s="497"/>
      <c r="DH3" s="497"/>
      <c r="DI3" s="497"/>
      <c r="DJ3" s="497"/>
      <c r="DK3" s="497"/>
      <c r="DL3" s="497"/>
      <c r="DM3" s="497"/>
      <c r="DN3" s="497"/>
      <c r="DO3" s="497"/>
      <c r="DP3" s="497"/>
      <c r="DQ3" s="497"/>
      <c r="DR3" s="497"/>
      <c r="DS3" s="497"/>
      <c r="DT3" s="497"/>
      <c r="DU3" s="497"/>
      <c r="DV3" s="497"/>
      <c r="DW3" s="497"/>
      <c r="DX3" s="497"/>
      <c r="DY3" s="497"/>
      <c r="DZ3" s="497"/>
      <c r="EA3" s="497"/>
      <c r="EB3" s="497"/>
      <c r="EC3" s="497"/>
      <c r="ED3" s="497"/>
      <c r="EE3" s="497"/>
      <c r="EF3" s="497"/>
      <c r="EG3" s="497"/>
      <c r="EH3" s="497"/>
      <c r="EI3" s="497"/>
      <c r="EJ3" s="497"/>
      <c r="EK3" s="497"/>
      <c r="EL3" s="497"/>
      <c r="EM3" s="497"/>
      <c r="EN3" s="497"/>
      <c r="EO3" s="497"/>
      <c r="EP3" s="497"/>
      <c r="EQ3" s="497"/>
      <c r="ER3" s="497" t="s">
        <v>239</v>
      </c>
      <c r="ES3" s="497"/>
      <c r="ET3" s="497"/>
      <c r="EU3" s="497"/>
      <c r="EV3" s="497"/>
      <c r="EW3" s="497"/>
      <c r="EX3" s="497"/>
      <c r="EY3" s="497"/>
      <c r="EZ3" s="497"/>
      <c r="FA3" s="500"/>
    </row>
    <row r="4" spans="1:159" ht="42.75" customHeight="1" x14ac:dyDescent="0.25">
      <c r="A4" s="485" t="s">
        <v>0</v>
      </c>
      <c r="B4" s="486"/>
      <c r="C4" s="486"/>
      <c r="D4" s="486"/>
      <c r="E4" s="486"/>
      <c r="F4" s="504" t="s">
        <v>259</v>
      </c>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5"/>
      <c r="BU4" s="505"/>
      <c r="BV4" s="505"/>
      <c r="BW4" s="505"/>
      <c r="BX4" s="505"/>
      <c r="BY4" s="505"/>
      <c r="BZ4" s="505"/>
      <c r="CA4" s="505"/>
      <c r="CB4" s="505"/>
      <c r="CC4" s="505"/>
      <c r="CD4" s="505"/>
      <c r="CE4" s="505"/>
      <c r="CF4" s="505"/>
      <c r="CG4" s="505"/>
      <c r="CH4" s="505"/>
      <c r="CI4" s="505"/>
      <c r="CJ4" s="505"/>
      <c r="CK4" s="505"/>
      <c r="CL4" s="505"/>
      <c r="CM4" s="505"/>
      <c r="CN4" s="505"/>
      <c r="CO4" s="505"/>
      <c r="CP4" s="505"/>
      <c r="CQ4" s="505"/>
      <c r="CR4" s="505"/>
      <c r="CS4" s="505"/>
      <c r="CT4" s="505"/>
      <c r="CU4" s="505"/>
      <c r="CV4" s="505"/>
      <c r="CW4" s="505"/>
      <c r="CX4" s="505"/>
      <c r="CY4" s="505"/>
      <c r="CZ4" s="505"/>
      <c r="DA4" s="505"/>
      <c r="DB4" s="505"/>
      <c r="DC4" s="505"/>
      <c r="DD4" s="505"/>
      <c r="DE4" s="505"/>
      <c r="DF4" s="505"/>
      <c r="DG4" s="505"/>
      <c r="DH4" s="505"/>
      <c r="DI4" s="505"/>
      <c r="DJ4" s="505"/>
      <c r="DK4" s="505"/>
      <c r="DL4" s="505"/>
      <c r="DM4" s="505"/>
      <c r="DN4" s="505"/>
      <c r="DO4" s="505"/>
      <c r="DP4" s="505"/>
      <c r="DQ4" s="505"/>
      <c r="DR4" s="505"/>
      <c r="DS4" s="505"/>
      <c r="DT4" s="505"/>
      <c r="DU4" s="505"/>
      <c r="DV4" s="505"/>
      <c r="DW4" s="505"/>
      <c r="DX4" s="505"/>
      <c r="DY4" s="505"/>
      <c r="DZ4" s="505"/>
      <c r="EA4" s="505"/>
      <c r="EB4" s="505"/>
      <c r="EC4" s="505"/>
      <c r="ED4" s="505"/>
      <c r="EE4" s="505"/>
      <c r="EF4" s="505"/>
      <c r="EG4" s="505"/>
      <c r="EH4" s="505"/>
      <c r="EI4" s="505"/>
      <c r="EJ4" s="505"/>
      <c r="EK4" s="505"/>
      <c r="EL4" s="505"/>
      <c r="EM4" s="505"/>
      <c r="EN4" s="505"/>
      <c r="EO4" s="505"/>
      <c r="EP4" s="505"/>
      <c r="EQ4" s="505"/>
      <c r="ER4" s="505"/>
      <c r="ES4" s="505"/>
      <c r="ET4" s="505"/>
      <c r="EU4" s="505"/>
      <c r="EV4" s="505"/>
      <c r="EW4" s="505"/>
      <c r="EX4" s="505"/>
      <c r="EY4" s="505"/>
      <c r="EZ4" s="505"/>
      <c r="FA4" s="506"/>
      <c r="FB4" s="104"/>
    </row>
    <row r="5" spans="1:159" ht="42.75" customHeight="1" thickBot="1" x14ac:dyDescent="0.3">
      <c r="A5" s="487" t="s">
        <v>2</v>
      </c>
      <c r="B5" s="488"/>
      <c r="C5" s="488"/>
      <c r="D5" s="488"/>
      <c r="E5" s="488"/>
      <c r="F5" s="501" t="s">
        <v>260</v>
      </c>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2"/>
      <c r="BC5" s="502"/>
      <c r="BD5" s="502"/>
      <c r="BE5" s="502"/>
      <c r="BF5" s="502"/>
      <c r="BG5" s="502"/>
      <c r="BH5" s="502"/>
      <c r="BI5" s="502"/>
      <c r="BJ5" s="502"/>
      <c r="BK5" s="502"/>
      <c r="BL5" s="502"/>
      <c r="BM5" s="502"/>
      <c r="BN5" s="502"/>
      <c r="BO5" s="502"/>
      <c r="BP5" s="502"/>
      <c r="BQ5" s="502"/>
      <c r="BR5" s="502"/>
      <c r="BS5" s="502"/>
      <c r="BT5" s="502"/>
      <c r="BU5" s="502"/>
      <c r="BV5" s="502"/>
      <c r="BW5" s="502"/>
      <c r="BX5" s="502"/>
      <c r="BY5" s="502"/>
      <c r="BZ5" s="502"/>
      <c r="CA5" s="502"/>
      <c r="CB5" s="502"/>
      <c r="CC5" s="502"/>
      <c r="CD5" s="502"/>
      <c r="CE5" s="502"/>
      <c r="CF5" s="502"/>
      <c r="CG5" s="502"/>
      <c r="CH5" s="502"/>
      <c r="CI5" s="502"/>
      <c r="CJ5" s="502"/>
      <c r="CK5" s="502"/>
      <c r="CL5" s="502"/>
      <c r="CM5" s="502"/>
      <c r="CN5" s="502"/>
      <c r="CO5" s="502"/>
      <c r="CP5" s="502"/>
      <c r="CQ5" s="502"/>
      <c r="CR5" s="502"/>
      <c r="CS5" s="502"/>
      <c r="CT5" s="502"/>
      <c r="CU5" s="502"/>
      <c r="CV5" s="502"/>
      <c r="CW5" s="502"/>
      <c r="CX5" s="502"/>
      <c r="CY5" s="502"/>
      <c r="CZ5" s="502"/>
      <c r="DA5" s="502"/>
      <c r="DB5" s="502"/>
      <c r="DC5" s="502"/>
      <c r="DD5" s="502"/>
      <c r="DE5" s="502"/>
      <c r="DF5" s="502"/>
      <c r="DG5" s="502"/>
      <c r="DH5" s="502"/>
      <c r="DI5" s="502"/>
      <c r="DJ5" s="502"/>
      <c r="DK5" s="502"/>
      <c r="DL5" s="502"/>
      <c r="DM5" s="502"/>
      <c r="DN5" s="502"/>
      <c r="DO5" s="502"/>
      <c r="DP5" s="502"/>
      <c r="DQ5" s="502"/>
      <c r="DR5" s="502"/>
      <c r="DS5" s="502"/>
      <c r="DT5" s="502"/>
      <c r="DU5" s="502"/>
      <c r="DV5" s="502"/>
      <c r="DW5" s="502"/>
      <c r="DX5" s="502"/>
      <c r="DY5" s="502"/>
      <c r="DZ5" s="502"/>
      <c r="EA5" s="502"/>
      <c r="EB5" s="502"/>
      <c r="EC5" s="502"/>
      <c r="ED5" s="502"/>
      <c r="EE5" s="502"/>
      <c r="EF5" s="502"/>
      <c r="EG5" s="502"/>
      <c r="EH5" s="502"/>
      <c r="EI5" s="502"/>
      <c r="EJ5" s="502"/>
      <c r="EK5" s="502"/>
      <c r="EL5" s="502"/>
      <c r="EM5" s="502"/>
      <c r="EN5" s="502"/>
      <c r="EO5" s="502"/>
      <c r="EP5" s="502"/>
      <c r="EQ5" s="502"/>
      <c r="ER5" s="502"/>
      <c r="ES5" s="502"/>
      <c r="ET5" s="502"/>
      <c r="EU5" s="502"/>
      <c r="EV5" s="502"/>
      <c r="EW5" s="502"/>
      <c r="EX5" s="502"/>
      <c r="EY5" s="502"/>
      <c r="EZ5" s="502"/>
      <c r="FA5" s="503"/>
      <c r="FB5" s="104"/>
    </row>
    <row r="6" spans="1:159" ht="42.75" customHeight="1" thickBot="1" x14ac:dyDescent="0.3">
      <c r="A6" s="219"/>
      <c r="B6" s="219"/>
      <c r="C6" s="219"/>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47"/>
      <c r="BB6" s="147">
        <f>BA25-BB25</f>
        <v>0</v>
      </c>
      <c r="BC6" s="147"/>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204"/>
      <c r="EX6" s="2"/>
      <c r="EY6" s="2"/>
      <c r="EZ6" s="2"/>
      <c r="FA6" s="2"/>
    </row>
    <row r="7" spans="1:159" s="217" customFormat="1" ht="24.75" customHeight="1" x14ac:dyDescent="0.25">
      <c r="A7" s="489" t="s">
        <v>88</v>
      </c>
      <c r="B7" s="490"/>
      <c r="C7" s="490"/>
      <c r="D7" s="490"/>
      <c r="E7" s="490"/>
      <c r="F7" s="490"/>
      <c r="G7" s="490"/>
      <c r="H7" s="498" t="s">
        <v>227</v>
      </c>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8"/>
      <c r="AR7" s="498"/>
      <c r="AS7" s="498"/>
      <c r="AT7" s="498"/>
      <c r="AU7" s="498"/>
      <c r="AV7" s="498"/>
      <c r="AW7" s="498"/>
      <c r="AX7" s="498"/>
      <c r="AY7" s="498"/>
      <c r="AZ7" s="498"/>
      <c r="BA7" s="498"/>
      <c r="BB7" s="498"/>
      <c r="BC7" s="498"/>
      <c r="BD7" s="498"/>
      <c r="BE7" s="498"/>
      <c r="BF7" s="498"/>
      <c r="BG7" s="498"/>
      <c r="BH7" s="498"/>
      <c r="BI7" s="498"/>
      <c r="BJ7" s="498"/>
      <c r="BK7" s="498"/>
      <c r="BL7" s="498"/>
      <c r="BM7" s="498"/>
      <c r="BN7" s="498"/>
      <c r="BO7" s="498"/>
      <c r="BP7" s="498"/>
      <c r="BQ7" s="498"/>
      <c r="BR7" s="498"/>
      <c r="BS7" s="498"/>
      <c r="BT7" s="498"/>
      <c r="BU7" s="498"/>
      <c r="BV7" s="498"/>
      <c r="BW7" s="498"/>
      <c r="BX7" s="498"/>
      <c r="BY7" s="498"/>
      <c r="BZ7" s="498"/>
      <c r="CA7" s="498"/>
      <c r="CB7" s="498"/>
      <c r="CC7" s="498"/>
      <c r="CD7" s="498"/>
      <c r="CE7" s="498"/>
      <c r="CF7" s="498"/>
      <c r="CG7" s="498"/>
      <c r="CH7" s="498"/>
      <c r="CI7" s="498"/>
      <c r="CJ7" s="498"/>
      <c r="CK7" s="498"/>
      <c r="CL7" s="498"/>
      <c r="CM7" s="498"/>
      <c r="CN7" s="498"/>
      <c r="CO7" s="498"/>
      <c r="CP7" s="498"/>
      <c r="CQ7" s="498"/>
      <c r="CR7" s="498"/>
      <c r="CS7" s="498"/>
      <c r="CT7" s="498"/>
      <c r="CU7" s="498"/>
      <c r="CV7" s="498"/>
      <c r="CW7" s="498"/>
      <c r="CX7" s="498"/>
      <c r="CY7" s="498"/>
      <c r="CZ7" s="498"/>
      <c r="DA7" s="498"/>
      <c r="DB7" s="498"/>
      <c r="DC7" s="498"/>
      <c r="DD7" s="498"/>
      <c r="DE7" s="498"/>
      <c r="DF7" s="498"/>
      <c r="DG7" s="498"/>
      <c r="DH7" s="498"/>
      <c r="DI7" s="498"/>
      <c r="DJ7" s="498"/>
      <c r="DK7" s="498"/>
      <c r="DL7" s="498"/>
      <c r="DM7" s="498"/>
      <c r="DN7" s="498"/>
      <c r="DO7" s="498"/>
      <c r="DP7" s="498"/>
      <c r="DQ7" s="498"/>
      <c r="DR7" s="498"/>
      <c r="DS7" s="498"/>
      <c r="DT7" s="498"/>
      <c r="DU7" s="498"/>
      <c r="DV7" s="498"/>
      <c r="DW7" s="498"/>
      <c r="DX7" s="498"/>
      <c r="DY7" s="498"/>
      <c r="DZ7" s="498"/>
      <c r="EA7" s="498"/>
      <c r="EB7" s="498"/>
      <c r="EC7" s="498"/>
      <c r="ED7" s="498"/>
      <c r="EE7" s="498"/>
      <c r="EF7" s="498"/>
      <c r="EG7" s="498"/>
      <c r="EH7" s="498"/>
      <c r="EI7" s="498"/>
      <c r="EJ7" s="498"/>
      <c r="EK7" s="498"/>
      <c r="EL7" s="498"/>
      <c r="EM7" s="498"/>
      <c r="EN7" s="498"/>
      <c r="EO7" s="498"/>
      <c r="EP7" s="498"/>
      <c r="EQ7" s="498"/>
      <c r="ER7" s="467" t="s">
        <v>220</v>
      </c>
      <c r="ES7" s="467" t="s">
        <v>221</v>
      </c>
      <c r="ET7" s="471" t="s">
        <v>222</v>
      </c>
      <c r="EU7" s="463" t="s">
        <v>549</v>
      </c>
      <c r="EV7" s="512" t="s">
        <v>244</v>
      </c>
      <c r="EW7" s="490" t="s">
        <v>245</v>
      </c>
      <c r="EX7" s="490" t="s">
        <v>246</v>
      </c>
      <c r="EY7" s="490" t="s">
        <v>247</v>
      </c>
      <c r="EZ7" s="490" t="s">
        <v>249</v>
      </c>
      <c r="FA7" s="507" t="s">
        <v>248</v>
      </c>
    </row>
    <row r="8" spans="1:159" s="217" customFormat="1" ht="42.75" customHeight="1" thickBot="1" x14ac:dyDescent="0.3">
      <c r="A8" s="491"/>
      <c r="B8" s="492"/>
      <c r="C8" s="492"/>
      <c r="D8" s="492"/>
      <c r="E8" s="492"/>
      <c r="F8" s="492"/>
      <c r="G8" s="492"/>
      <c r="H8" s="499" t="s">
        <v>64</v>
      </c>
      <c r="I8" s="499"/>
      <c r="J8" s="499"/>
      <c r="K8" s="499"/>
      <c r="L8" s="499"/>
      <c r="M8" s="499"/>
      <c r="N8" s="499"/>
      <c r="O8" s="499"/>
      <c r="P8" s="499"/>
      <c r="Q8" s="499"/>
      <c r="R8" s="499"/>
      <c r="S8" s="499"/>
      <c r="T8" s="499"/>
      <c r="U8" s="499"/>
      <c r="V8" s="499"/>
      <c r="W8" s="499"/>
      <c r="X8" s="499"/>
      <c r="Y8" s="499"/>
      <c r="Z8" s="499"/>
      <c r="AA8" s="499"/>
      <c r="AB8" s="499" t="s">
        <v>511</v>
      </c>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t="s">
        <v>61</v>
      </c>
      <c r="BG8" s="499"/>
      <c r="BH8" s="499"/>
      <c r="BI8" s="499"/>
      <c r="BJ8" s="499"/>
      <c r="BK8" s="499"/>
      <c r="BL8" s="499"/>
      <c r="BM8" s="499"/>
      <c r="BN8" s="499"/>
      <c r="BO8" s="499"/>
      <c r="BP8" s="499"/>
      <c r="BQ8" s="499"/>
      <c r="BR8" s="499"/>
      <c r="BS8" s="499"/>
      <c r="BT8" s="499"/>
      <c r="BU8" s="499"/>
      <c r="BV8" s="499"/>
      <c r="BW8" s="499"/>
      <c r="BX8" s="499"/>
      <c r="BY8" s="499"/>
      <c r="BZ8" s="499"/>
      <c r="CA8" s="499"/>
      <c r="CB8" s="499"/>
      <c r="CC8" s="499"/>
      <c r="CD8" s="499"/>
      <c r="CE8" s="499"/>
      <c r="CF8" s="499"/>
      <c r="CG8" s="499"/>
      <c r="CH8" s="499"/>
      <c r="CI8" s="499"/>
      <c r="CJ8" s="499" t="s">
        <v>62</v>
      </c>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t="s">
        <v>63</v>
      </c>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c r="EN8" s="499"/>
      <c r="EO8" s="499"/>
      <c r="EP8" s="499"/>
      <c r="EQ8" s="499"/>
      <c r="ER8" s="468"/>
      <c r="ES8" s="468"/>
      <c r="ET8" s="472"/>
      <c r="EU8" s="464"/>
      <c r="EV8" s="513"/>
      <c r="EW8" s="492"/>
      <c r="EX8" s="492"/>
      <c r="EY8" s="492"/>
      <c r="EZ8" s="492"/>
      <c r="FA8" s="508"/>
    </row>
    <row r="9" spans="1:159" s="217" customFormat="1" ht="66" customHeight="1" thickBot="1" x14ac:dyDescent="0.3">
      <c r="A9" s="253" t="s">
        <v>81</v>
      </c>
      <c r="B9" s="254" t="s">
        <v>82</v>
      </c>
      <c r="C9" s="254" t="s">
        <v>83</v>
      </c>
      <c r="D9" s="254" t="s">
        <v>84</v>
      </c>
      <c r="E9" s="254" t="s">
        <v>85</v>
      </c>
      <c r="F9" s="323" t="s">
        <v>86</v>
      </c>
      <c r="G9" s="324" t="s">
        <v>87</v>
      </c>
      <c r="H9" s="325" t="s">
        <v>279</v>
      </c>
      <c r="I9" s="326" t="s">
        <v>280</v>
      </c>
      <c r="J9" s="323" t="s">
        <v>281</v>
      </c>
      <c r="K9" s="326" t="s">
        <v>282</v>
      </c>
      <c r="L9" s="323" t="s">
        <v>283</v>
      </c>
      <c r="M9" s="326" t="s">
        <v>284</v>
      </c>
      <c r="N9" s="323" t="s">
        <v>285</v>
      </c>
      <c r="O9" s="326" t="s">
        <v>286</v>
      </c>
      <c r="P9" s="323" t="s">
        <v>287</v>
      </c>
      <c r="Q9" s="326" t="s">
        <v>288</v>
      </c>
      <c r="R9" s="323" t="s">
        <v>289</v>
      </c>
      <c r="S9" s="326" t="s">
        <v>290</v>
      </c>
      <c r="T9" s="323" t="s">
        <v>291</v>
      </c>
      <c r="U9" s="326" t="s">
        <v>292</v>
      </c>
      <c r="V9" s="323" t="s">
        <v>293</v>
      </c>
      <c r="W9" s="324" t="s">
        <v>217</v>
      </c>
      <c r="X9" s="327" t="s">
        <v>250</v>
      </c>
      <c r="Y9" s="323" t="s">
        <v>251</v>
      </c>
      <c r="Z9" s="326" t="s">
        <v>252</v>
      </c>
      <c r="AA9" s="323" t="s">
        <v>253</v>
      </c>
      <c r="AB9" s="325" t="s">
        <v>279</v>
      </c>
      <c r="AC9" s="326" t="s">
        <v>294</v>
      </c>
      <c r="AD9" s="323" t="s">
        <v>295</v>
      </c>
      <c r="AE9" s="326" t="s">
        <v>296</v>
      </c>
      <c r="AF9" s="323" t="s">
        <v>297</v>
      </c>
      <c r="AG9" s="326" t="s">
        <v>298</v>
      </c>
      <c r="AH9" s="323" t="s">
        <v>299</v>
      </c>
      <c r="AI9" s="326" t="s">
        <v>300</v>
      </c>
      <c r="AJ9" s="323" t="s">
        <v>301</v>
      </c>
      <c r="AK9" s="326" t="s">
        <v>302</v>
      </c>
      <c r="AL9" s="323" t="s">
        <v>303</v>
      </c>
      <c r="AM9" s="326" t="s">
        <v>280</v>
      </c>
      <c r="AN9" s="323" t="s">
        <v>281</v>
      </c>
      <c r="AO9" s="326" t="s">
        <v>282</v>
      </c>
      <c r="AP9" s="323" t="s">
        <v>283</v>
      </c>
      <c r="AQ9" s="326" t="s">
        <v>284</v>
      </c>
      <c r="AR9" s="323" t="s">
        <v>285</v>
      </c>
      <c r="AS9" s="326" t="s">
        <v>286</v>
      </c>
      <c r="AT9" s="323" t="s">
        <v>287</v>
      </c>
      <c r="AU9" s="326" t="s">
        <v>288</v>
      </c>
      <c r="AV9" s="323" t="s">
        <v>289</v>
      </c>
      <c r="AW9" s="326" t="s">
        <v>290</v>
      </c>
      <c r="AX9" s="323" t="s">
        <v>291</v>
      </c>
      <c r="AY9" s="326" t="s">
        <v>292</v>
      </c>
      <c r="AZ9" s="323" t="s">
        <v>293</v>
      </c>
      <c r="BA9" s="324" t="s">
        <v>217</v>
      </c>
      <c r="BB9" s="327" t="s">
        <v>509</v>
      </c>
      <c r="BC9" s="323" t="s">
        <v>508</v>
      </c>
      <c r="BD9" s="326" t="s">
        <v>507</v>
      </c>
      <c r="BE9" s="323" t="s">
        <v>506</v>
      </c>
      <c r="BF9" s="325" t="s">
        <v>279</v>
      </c>
      <c r="BG9" s="326" t="s">
        <v>294</v>
      </c>
      <c r="BH9" s="323" t="s">
        <v>295</v>
      </c>
      <c r="BI9" s="326" t="s">
        <v>296</v>
      </c>
      <c r="BJ9" s="323" t="s">
        <v>297</v>
      </c>
      <c r="BK9" s="326" t="s">
        <v>298</v>
      </c>
      <c r="BL9" s="323" t="s">
        <v>299</v>
      </c>
      <c r="BM9" s="326" t="s">
        <v>300</v>
      </c>
      <c r="BN9" s="323" t="s">
        <v>301</v>
      </c>
      <c r="BO9" s="326" t="s">
        <v>302</v>
      </c>
      <c r="BP9" s="323" t="s">
        <v>303</v>
      </c>
      <c r="BQ9" s="326" t="s">
        <v>280</v>
      </c>
      <c r="BR9" s="323" t="s">
        <v>281</v>
      </c>
      <c r="BS9" s="326" t="s">
        <v>282</v>
      </c>
      <c r="BT9" s="323" t="s">
        <v>283</v>
      </c>
      <c r="BU9" s="326" t="s">
        <v>284</v>
      </c>
      <c r="BV9" s="323" t="s">
        <v>285</v>
      </c>
      <c r="BW9" s="326" t="s">
        <v>286</v>
      </c>
      <c r="BX9" s="323" t="s">
        <v>287</v>
      </c>
      <c r="BY9" s="326" t="s">
        <v>288</v>
      </c>
      <c r="BZ9" s="323" t="s">
        <v>289</v>
      </c>
      <c r="CA9" s="326" t="s">
        <v>290</v>
      </c>
      <c r="CB9" s="323" t="s">
        <v>291</v>
      </c>
      <c r="CC9" s="326" t="s">
        <v>292</v>
      </c>
      <c r="CD9" s="323" t="s">
        <v>293</v>
      </c>
      <c r="CE9" s="328" t="s">
        <v>217</v>
      </c>
      <c r="CF9" s="329" t="s">
        <v>223</v>
      </c>
      <c r="CG9" s="330" t="s">
        <v>224</v>
      </c>
      <c r="CH9" s="331" t="s">
        <v>225</v>
      </c>
      <c r="CI9" s="330" t="s">
        <v>226</v>
      </c>
      <c r="CJ9" s="325" t="s">
        <v>279</v>
      </c>
      <c r="CK9" s="326" t="s">
        <v>294</v>
      </c>
      <c r="CL9" s="323" t="s">
        <v>295</v>
      </c>
      <c r="CM9" s="326" t="s">
        <v>296</v>
      </c>
      <c r="CN9" s="323" t="s">
        <v>297</v>
      </c>
      <c r="CO9" s="326" t="s">
        <v>298</v>
      </c>
      <c r="CP9" s="323" t="s">
        <v>299</v>
      </c>
      <c r="CQ9" s="326" t="s">
        <v>300</v>
      </c>
      <c r="CR9" s="323" t="s">
        <v>301</v>
      </c>
      <c r="CS9" s="326" t="s">
        <v>302</v>
      </c>
      <c r="CT9" s="323" t="s">
        <v>303</v>
      </c>
      <c r="CU9" s="326" t="s">
        <v>280</v>
      </c>
      <c r="CV9" s="323" t="s">
        <v>281</v>
      </c>
      <c r="CW9" s="326" t="s">
        <v>282</v>
      </c>
      <c r="CX9" s="323" t="s">
        <v>283</v>
      </c>
      <c r="CY9" s="326" t="s">
        <v>284</v>
      </c>
      <c r="CZ9" s="323" t="s">
        <v>285</v>
      </c>
      <c r="DA9" s="326" t="s">
        <v>286</v>
      </c>
      <c r="DB9" s="323" t="s">
        <v>287</v>
      </c>
      <c r="DC9" s="326" t="s">
        <v>288</v>
      </c>
      <c r="DD9" s="323" t="s">
        <v>289</v>
      </c>
      <c r="DE9" s="326" t="s">
        <v>290</v>
      </c>
      <c r="DF9" s="323" t="s">
        <v>291</v>
      </c>
      <c r="DG9" s="326" t="s">
        <v>292</v>
      </c>
      <c r="DH9" s="323" t="s">
        <v>293</v>
      </c>
      <c r="DI9" s="324" t="s">
        <v>217</v>
      </c>
      <c r="DJ9" s="327" t="s">
        <v>229</v>
      </c>
      <c r="DK9" s="323" t="s">
        <v>230</v>
      </c>
      <c r="DL9" s="327" t="s">
        <v>231</v>
      </c>
      <c r="DM9" s="323" t="s">
        <v>232</v>
      </c>
      <c r="DN9" s="325" t="s">
        <v>279</v>
      </c>
      <c r="DO9" s="326" t="s">
        <v>294</v>
      </c>
      <c r="DP9" s="323" t="s">
        <v>295</v>
      </c>
      <c r="DQ9" s="326" t="s">
        <v>296</v>
      </c>
      <c r="DR9" s="323" t="s">
        <v>297</v>
      </c>
      <c r="DS9" s="326" t="s">
        <v>298</v>
      </c>
      <c r="DT9" s="323" t="s">
        <v>299</v>
      </c>
      <c r="DU9" s="326" t="s">
        <v>300</v>
      </c>
      <c r="DV9" s="323" t="s">
        <v>301</v>
      </c>
      <c r="DW9" s="326" t="s">
        <v>302</v>
      </c>
      <c r="DX9" s="323" t="s">
        <v>303</v>
      </c>
      <c r="DY9" s="326" t="s">
        <v>280</v>
      </c>
      <c r="DZ9" s="323" t="s">
        <v>281</v>
      </c>
      <c r="EA9" s="326" t="s">
        <v>282</v>
      </c>
      <c r="EB9" s="323" t="s">
        <v>283</v>
      </c>
      <c r="EC9" s="326" t="s">
        <v>284</v>
      </c>
      <c r="ED9" s="323" t="s">
        <v>285</v>
      </c>
      <c r="EE9" s="326" t="s">
        <v>286</v>
      </c>
      <c r="EF9" s="323" t="s">
        <v>287</v>
      </c>
      <c r="EG9" s="326" t="s">
        <v>288</v>
      </c>
      <c r="EH9" s="323" t="s">
        <v>289</v>
      </c>
      <c r="EI9" s="326" t="s">
        <v>290</v>
      </c>
      <c r="EJ9" s="323" t="s">
        <v>291</v>
      </c>
      <c r="EK9" s="326" t="s">
        <v>292</v>
      </c>
      <c r="EL9" s="323" t="s">
        <v>293</v>
      </c>
      <c r="EM9" s="324" t="s">
        <v>217</v>
      </c>
      <c r="EN9" s="327" t="s">
        <v>233</v>
      </c>
      <c r="EO9" s="323" t="s">
        <v>234</v>
      </c>
      <c r="EP9" s="327" t="s">
        <v>235</v>
      </c>
      <c r="EQ9" s="323" t="s">
        <v>236</v>
      </c>
      <c r="ER9" s="474"/>
      <c r="ES9" s="474"/>
      <c r="ET9" s="473"/>
      <c r="EU9" s="511"/>
      <c r="EV9" s="514"/>
      <c r="EW9" s="510"/>
      <c r="EX9" s="510"/>
      <c r="EY9" s="510"/>
      <c r="EZ9" s="510"/>
      <c r="FA9" s="509"/>
    </row>
    <row r="10" spans="1:159" s="109" customFormat="1" ht="42.75" customHeight="1" x14ac:dyDescent="0.25">
      <c r="A10" s="515" t="s">
        <v>304</v>
      </c>
      <c r="B10" s="515">
        <v>1</v>
      </c>
      <c r="C10" s="515" t="s">
        <v>308</v>
      </c>
      <c r="D10" s="515" t="s">
        <v>271</v>
      </c>
      <c r="E10" s="515">
        <v>272</v>
      </c>
      <c r="F10" s="311" t="s">
        <v>40</v>
      </c>
      <c r="G10" s="316">
        <v>1</v>
      </c>
      <c r="H10" s="106">
        <v>1</v>
      </c>
      <c r="I10" s="271"/>
      <c r="J10" s="271"/>
      <c r="K10" s="271"/>
      <c r="L10" s="271"/>
      <c r="M10" s="271"/>
      <c r="N10" s="274"/>
      <c r="O10" s="271"/>
      <c r="P10" s="274"/>
      <c r="Q10" s="271"/>
      <c r="R10" s="290"/>
      <c r="S10" s="271"/>
      <c r="T10" s="274"/>
      <c r="U10" s="271"/>
      <c r="V10" s="271"/>
      <c r="W10" s="99">
        <v>1</v>
      </c>
      <c r="X10" s="99">
        <v>1</v>
      </c>
      <c r="Y10" s="99">
        <v>1</v>
      </c>
      <c r="Z10" s="99">
        <v>1</v>
      </c>
      <c r="AA10" s="99">
        <v>1</v>
      </c>
      <c r="AB10" s="99">
        <v>1</v>
      </c>
      <c r="AC10" s="99">
        <v>1</v>
      </c>
      <c r="AD10" s="99">
        <v>0.86</v>
      </c>
      <c r="AE10" s="99">
        <v>1</v>
      </c>
      <c r="AF10" s="99">
        <v>0.75</v>
      </c>
      <c r="AG10" s="99">
        <v>1</v>
      </c>
      <c r="AH10" s="99">
        <v>0.8</v>
      </c>
      <c r="AI10" s="99">
        <v>1</v>
      </c>
      <c r="AJ10" s="99">
        <v>1</v>
      </c>
      <c r="AK10" s="99">
        <v>1</v>
      </c>
      <c r="AL10" s="99">
        <v>1</v>
      </c>
      <c r="AM10" s="99">
        <v>1</v>
      </c>
      <c r="AN10" s="99">
        <v>1</v>
      </c>
      <c r="AO10" s="99">
        <v>1</v>
      </c>
      <c r="AP10" s="99">
        <v>0.95</v>
      </c>
      <c r="AQ10" s="99">
        <v>1</v>
      </c>
      <c r="AR10" s="99">
        <v>0.95</v>
      </c>
      <c r="AS10" s="99">
        <v>1</v>
      </c>
      <c r="AT10" s="99">
        <v>0.98</v>
      </c>
      <c r="AU10" s="99">
        <v>1</v>
      </c>
      <c r="AV10" s="99">
        <v>1</v>
      </c>
      <c r="AW10" s="99">
        <v>1</v>
      </c>
      <c r="AX10" s="99">
        <v>1</v>
      </c>
      <c r="AY10" s="99">
        <v>1</v>
      </c>
      <c r="AZ10" s="99">
        <v>1</v>
      </c>
      <c r="BA10" s="99">
        <f>+AB10</f>
        <v>1</v>
      </c>
      <c r="BB10" s="99">
        <f>+AY10</f>
        <v>1</v>
      </c>
      <c r="BC10" s="99">
        <f>+AZ10</f>
        <v>1</v>
      </c>
      <c r="BD10" s="99">
        <f>+G10</f>
        <v>1</v>
      </c>
      <c r="BE10" s="99">
        <f>+AZ10</f>
        <v>1</v>
      </c>
      <c r="BF10" s="99">
        <v>1</v>
      </c>
      <c r="BG10" s="99">
        <v>1</v>
      </c>
      <c r="BH10" s="99">
        <v>1</v>
      </c>
      <c r="BI10" s="99">
        <v>1</v>
      </c>
      <c r="BJ10" s="99">
        <v>1</v>
      </c>
      <c r="BK10" s="99">
        <v>1</v>
      </c>
      <c r="BL10" s="99">
        <v>1</v>
      </c>
      <c r="BM10" s="99">
        <v>1</v>
      </c>
      <c r="BN10" s="99">
        <v>1</v>
      </c>
      <c r="BO10" s="99">
        <v>1</v>
      </c>
      <c r="BP10" s="99">
        <v>1</v>
      </c>
      <c r="BQ10" s="99">
        <v>1</v>
      </c>
      <c r="BR10" s="99">
        <v>1</v>
      </c>
      <c r="BS10" s="99">
        <v>1</v>
      </c>
      <c r="BT10" s="99">
        <v>1</v>
      </c>
      <c r="BU10" s="99">
        <v>1</v>
      </c>
      <c r="BV10" s="99">
        <v>1</v>
      </c>
      <c r="BW10" s="99">
        <v>1</v>
      </c>
      <c r="BX10" s="99">
        <v>1</v>
      </c>
      <c r="BY10" s="99">
        <v>1</v>
      </c>
      <c r="BZ10" s="99">
        <v>1</v>
      </c>
      <c r="CA10" s="99">
        <v>1</v>
      </c>
      <c r="CB10" s="99">
        <v>1</v>
      </c>
      <c r="CC10" s="99">
        <v>1</v>
      </c>
      <c r="CD10" s="99">
        <v>1</v>
      </c>
      <c r="CE10" s="99">
        <f>BF10</f>
        <v>1</v>
      </c>
      <c r="CF10" s="99">
        <f>+CC10</f>
        <v>1</v>
      </c>
      <c r="CG10" s="99">
        <f>+CD10</f>
        <v>1</v>
      </c>
      <c r="CH10" s="99">
        <f>+CC10</f>
        <v>1</v>
      </c>
      <c r="CI10" s="99">
        <f>+CD10</f>
        <v>1</v>
      </c>
      <c r="CJ10" s="99">
        <v>1</v>
      </c>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f>DG10+DE10+DC10+DA10+CY10+CW10+CU10+CS10+CQ10+CO10+CM10+CK10</f>
        <v>0</v>
      </c>
      <c r="DJ10" s="271">
        <f t="shared" ref="DJ10:DJ15" si="0">CK10+CM10+CO10+CQ10</f>
        <v>0</v>
      </c>
      <c r="DK10" s="271">
        <f t="shared" ref="DK10:DK15" si="1">CL10+CN10+CP10+CR10</f>
        <v>0</v>
      </c>
      <c r="DL10" s="96">
        <f>CM10+CO10+CQ10+CS10+CU10+CW10+CY10+DA10+DC10+DE10+DG10+CK10</f>
        <v>0</v>
      </c>
      <c r="DM10" s="271">
        <f>CL10+CN10+CP10+CR10</f>
        <v>0</v>
      </c>
      <c r="DN10" s="99">
        <v>1</v>
      </c>
      <c r="DO10" s="274"/>
      <c r="DP10" s="274"/>
      <c r="DQ10" s="274"/>
      <c r="DR10" s="274"/>
      <c r="DS10" s="274"/>
      <c r="DT10" s="274"/>
      <c r="DU10" s="274"/>
      <c r="DV10" s="274"/>
      <c r="DW10" s="274"/>
      <c r="DX10" s="274"/>
      <c r="DY10" s="274"/>
      <c r="DZ10" s="274"/>
      <c r="EA10" s="274"/>
      <c r="EB10" s="274"/>
      <c r="EC10" s="274"/>
      <c r="ED10" s="274"/>
      <c r="EE10" s="274"/>
      <c r="EF10" s="274"/>
      <c r="EG10" s="271"/>
      <c r="EH10" s="271"/>
      <c r="EI10" s="271"/>
      <c r="EJ10" s="271"/>
      <c r="EK10" s="271"/>
      <c r="EL10" s="271"/>
      <c r="EM10" s="271">
        <f>EK10+EI10+EG10+EE10+EC10+EA10+DY10+DW10+DU10+DS10+DQ10+DO10</f>
        <v>0</v>
      </c>
      <c r="EN10" s="271">
        <f t="shared" ref="EN10:EN15" si="2">DO10+DQ10+DS10+DU10</f>
        <v>0</v>
      </c>
      <c r="EO10" s="271">
        <f t="shared" ref="EO10:EO15" si="3">DP10+DR10+DT10+DV10</f>
        <v>0</v>
      </c>
      <c r="EP10" s="96">
        <f>DQ10+DS10+DU10+DW10+DY10+EA10+EC10+EE10+EG10+EI10+EK10+DO10</f>
        <v>0</v>
      </c>
      <c r="EQ10" s="271">
        <f>DP10+DR10+DT10+DV10</f>
        <v>0</v>
      </c>
      <c r="ER10" s="123">
        <f>CD10/CC10</f>
        <v>1</v>
      </c>
      <c r="ES10" s="277">
        <f>+CG10/CF10</f>
        <v>1</v>
      </c>
      <c r="ET10" s="278">
        <f>+CI10/CH10</f>
        <v>1</v>
      </c>
      <c r="EU10" s="279">
        <f>(AA10+BE10+CG10)/(Z10+BD10+CF10)</f>
        <v>1</v>
      </c>
      <c r="EV10" s="278">
        <f>+(AA10+BE10+CI10)/500%</f>
        <v>0.6</v>
      </c>
      <c r="EW10" s="516" t="s">
        <v>653</v>
      </c>
      <c r="EX10" s="475" t="s">
        <v>568</v>
      </c>
      <c r="EY10" s="475" t="s">
        <v>568</v>
      </c>
      <c r="EZ10" s="476" t="s">
        <v>525</v>
      </c>
      <c r="FA10" s="476" t="s">
        <v>526</v>
      </c>
      <c r="FB10" s="523"/>
      <c r="FC10" s="3"/>
    </row>
    <row r="11" spans="1:159" s="113" customFormat="1" ht="42.75" customHeight="1" x14ac:dyDescent="0.25">
      <c r="A11" s="515"/>
      <c r="B11" s="515"/>
      <c r="C11" s="515"/>
      <c r="D11" s="515"/>
      <c r="E11" s="515"/>
      <c r="F11" s="312" t="s">
        <v>3</v>
      </c>
      <c r="G11" s="317">
        <f>AA11+BE11+CH11+CJ11+DN11</f>
        <v>7165363237</v>
      </c>
      <c r="H11" s="107">
        <v>775545944</v>
      </c>
      <c r="I11" s="108"/>
      <c r="J11" s="108"/>
      <c r="K11" s="108"/>
      <c r="L11" s="108"/>
      <c r="M11" s="108"/>
      <c r="N11" s="108"/>
      <c r="O11" s="108"/>
      <c r="P11" s="108"/>
      <c r="Q11" s="108"/>
      <c r="R11" s="108"/>
      <c r="S11" s="108"/>
      <c r="T11" s="107"/>
      <c r="U11" s="119"/>
      <c r="V11" s="119"/>
      <c r="W11" s="107">
        <v>775545944</v>
      </c>
      <c r="X11" s="107">
        <v>775545944</v>
      </c>
      <c r="Y11" s="108">
        <v>731213017</v>
      </c>
      <c r="Z11" s="107">
        <v>780545944</v>
      </c>
      <c r="AA11" s="108">
        <v>731213017</v>
      </c>
      <c r="AB11" s="107">
        <v>1564678000</v>
      </c>
      <c r="AC11" s="108">
        <v>0</v>
      </c>
      <c r="AD11" s="108">
        <v>0</v>
      </c>
      <c r="AE11" s="119">
        <v>188232000</v>
      </c>
      <c r="AF11" s="108">
        <f>188232000-AD11</f>
        <v>188232000</v>
      </c>
      <c r="AG11" s="108">
        <v>348992000</v>
      </c>
      <c r="AH11" s="108">
        <f>537224000-AF11-AD11</f>
        <v>348992000</v>
      </c>
      <c r="AI11" s="108">
        <v>127479857</v>
      </c>
      <c r="AJ11" s="108">
        <f>664703857-AH11-AF11-AD11</f>
        <v>127479857</v>
      </c>
      <c r="AK11" s="108">
        <v>0</v>
      </c>
      <c r="AL11" s="108">
        <f>664703857-AJ11-AH11-AF11-AD11</f>
        <v>0</v>
      </c>
      <c r="AM11" s="108">
        <v>206631757</v>
      </c>
      <c r="AN11" s="108">
        <v>206477896</v>
      </c>
      <c r="AO11" s="108">
        <v>0</v>
      </c>
      <c r="AP11" s="108">
        <v>0</v>
      </c>
      <c r="AQ11" s="108">
        <v>145468477</v>
      </c>
      <c r="AR11" s="108">
        <v>0</v>
      </c>
      <c r="AS11" s="108">
        <v>81311777</v>
      </c>
      <c r="AT11" s="108">
        <v>27640334</v>
      </c>
      <c r="AU11" s="108">
        <v>145468477</v>
      </c>
      <c r="AV11" s="108">
        <v>186104768</v>
      </c>
      <c r="AW11" s="108">
        <v>145468477</v>
      </c>
      <c r="AX11" s="108">
        <v>225682042</v>
      </c>
      <c r="AY11" s="108">
        <v>145468478</v>
      </c>
      <c r="AZ11" s="108">
        <v>185979723</v>
      </c>
      <c r="BA11" s="108">
        <f>AY11+AW11+AU11+AS11+AQ11+AO11+AM11+AK11+AI11+AG11+AE11+AC11</f>
        <v>1534521300</v>
      </c>
      <c r="BB11" s="108">
        <f>AC11+AE11+AG11+AI11+AK11+AM11+AO11+AQ11+AS11+AU11+AW11+AY11</f>
        <v>1534521300</v>
      </c>
      <c r="BC11" s="108">
        <f>AD11+AF11+AH11+AJ11+AL11+AN11+AP11+AR11+AT11+AV11+AX11+AZ11</f>
        <v>1496588620</v>
      </c>
      <c r="BD11" s="108">
        <f>AE11+AG11+AI11+AK11+AM11+AO11+AQ11+AS11+AU11+AW11+AY11+AC11</f>
        <v>1534521300</v>
      </c>
      <c r="BE11" s="108">
        <f>AD11+AF11+AH11+AJ11+AL11+AN11+AP11+AR11+AT11+AV11+AX11+AZ11</f>
        <v>1496588620</v>
      </c>
      <c r="BF11" s="117">
        <v>2219609000</v>
      </c>
      <c r="BG11" s="108">
        <v>1222024000</v>
      </c>
      <c r="BH11" s="108">
        <v>665963000</v>
      </c>
      <c r="BI11" s="108">
        <v>28000000</v>
      </c>
      <c r="BJ11" s="108">
        <v>0</v>
      </c>
      <c r="BK11" s="108">
        <v>744585000</v>
      </c>
      <c r="BL11" s="108">
        <v>0</v>
      </c>
      <c r="BM11" s="108">
        <v>0</v>
      </c>
      <c r="BN11" s="108">
        <v>0</v>
      </c>
      <c r="BO11" s="108">
        <v>20000000</v>
      </c>
      <c r="BP11" s="108">
        <v>112000000</v>
      </c>
      <c r="BQ11" s="108">
        <v>30000000</v>
      </c>
      <c r="BR11" s="108">
        <v>38000000</v>
      </c>
      <c r="BS11" s="108">
        <v>0</v>
      </c>
      <c r="BT11" s="108">
        <v>0</v>
      </c>
      <c r="BU11" s="108">
        <f>170000000-50000000</f>
        <v>120000000</v>
      </c>
      <c r="BV11" s="108">
        <v>0</v>
      </c>
      <c r="BW11" s="108">
        <v>-110510041</v>
      </c>
      <c r="BX11" s="108">
        <v>20312000</v>
      </c>
      <c r="BY11" s="108">
        <f>5000000+65639641</f>
        <v>70639641</v>
      </c>
      <c r="BZ11" s="108">
        <v>103978600</v>
      </c>
      <c r="CA11" s="108">
        <v>0</v>
      </c>
      <c r="CB11" s="108">
        <v>122485900</v>
      </c>
      <c r="CC11" s="108">
        <v>16000000</v>
      </c>
      <c r="CD11" s="108">
        <v>851512450</v>
      </c>
      <c r="CE11" s="108">
        <f>CC11+CA11+BY11+BW11+BU11+BS11+BQ11+BO11+BM11+BK11+BI11+BG11</f>
        <v>2140738600</v>
      </c>
      <c r="CF11" s="108">
        <f>+BG11+BI11+BK11+BM11+BO11+BQ11+BS11+BU11+BW11+BY11+CA11+CC11</f>
        <v>2140738600</v>
      </c>
      <c r="CG11" s="108">
        <f>+BH11+BJ11+BL11+BN11+BP11+BR11+BT11+BV11+BX11+BZ11+CB11+CD11</f>
        <v>1914251950</v>
      </c>
      <c r="CH11" s="107">
        <f>CC11+CA11+BY11+BW11+BU11+BS11+BQ11+BO11+BM11+BK11+BI11+BG11</f>
        <v>2140738600</v>
      </c>
      <c r="CI11" s="107">
        <f>+BH11+BJ11+BL11+BN11+BP11+BR11+BT11+BV11+BX11+BZ11+CB11+CD11</f>
        <v>1914251950</v>
      </c>
      <c r="CJ11" s="108">
        <v>1984184000</v>
      </c>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7">
        <f>DG11+DE11+DC11+DA11+CY11+CW11+CU11+CS11+CQ11+CO11+CM11+CK11</f>
        <v>0</v>
      </c>
      <c r="DJ11" s="117">
        <f t="shared" si="0"/>
        <v>0</v>
      </c>
      <c r="DK11" s="117">
        <f t="shared" si="1"/>
        <v>0</v>
      </c>
      <c r="DL11" s="107">
        <f>CM11+CO11+CQ11+CS11+CU11+CW11+CY11+DA11+DC11+DE11+DG11+CK11</f>
        <v>0</v>
      </c>
      <c r="DM11" s="117">
        <f>CL11+CN11+CP11+CR11</f>
        <v>0</v>
      </c>
      <c r="DN11" s="108">
        <v>812639000</v>
      </c>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271">
        <f>EK11+EI11+EG11+EE11+EC11+EA11+DY11+DW11+DU11+DS11+DQ11+DO11</f>
        <v>0</v>
      </c>
      <c r="EN11" s="111">
        <f t="shared" si="2"/>
        <v>0</v>
      </c>
      <c r="EO11" s="111">
        <f t="shared" si="3"/>
        <v>0</v>
      </c>
      <c r="EP11" s="112">
        <f>DQ11+DS11+DU11+DW11+DY11+EA11+EC11+EE11+EG11+EI11+EK11+DO11</f>
        <v>0</v>
      </c>
      <c r="EQ11" s="111">
        <f>DP11+DR11+DT11+DV11</f>
        <v>0</v>
      </c>
      <c r="ER11" s="123">
        <f t="shared" ref="ER11:ER57" si="4">CD11/CC11</f>
        <v>53.219528124999997</v>
      </c>
      <c r="ES11" s="277">
        <f>+CG11/CF11</f>
        <v>0.89420163209090542</v>
      </c>
      <c r="ET11" s="278">
        <f>+CI11/CH11</f>
        <v>0.89420163209090542</v>
      </c>
      <c r="EU11" s="279">
        <f t="shared" ref="EU11:EU57" si="5">(AA11+BE11+CG11)/(Z11+BD11+CF11)</f>
        <v>0.92958574318885878</v>
      </c>
      <c r="EV11" s="278">
        <f>+(AA11+BE11+CI11)/G11</f>
        <v>0.57806610076814446</v>
      </c>
      <c r="EW11" s="516"/>
      <c r="EX11" s="475" t="s">
        <v>568</v>
      </c>
      <c r="EY11" s="475" t="s">
        <v>568</v>
      </c>
      <c r="EZ11" s="476"/>
      <c r="FA11" s="476"/>
      <c r="FB11" s="523"/>
    </row>
    <row r="12" spans="1:159" s="113" customFormat="1" ht="42.75" customHeight="1" x14ac:dyDescent="0.25">
      <c r="A12" s="515"/>
      <c r="B12" s="515"/>
      <c r="C12" s="515"/>
      <c r="D12" s="515"/>
      <c r="E12" s="515"/>
      <c r="F12" s="313" t="s">
        <v>216</v>
      </c>
      <c r="G12" s="318"/>
      <c r="H12" s="107">
        <v>0</v>
      </c>
      <c r="I12" s="108">
        <v>0</v>
      </c>
      <c r="J12" s="108">
        <v>0</v>
      </c>
      <c r="K12" s="108">
        <v>0</v>
      </c>
      <c r="L12" s="108">
        <v>0</v>
      </c>
      <c r="M12" s="108">
        <v>0</v>
      </c>
      <c r="N12" s="108">
        <v>0</v>
      </c>
      <c r="O12" s="108">
        <v>0</v>
      </c>
      <c r="P12" s="108">
        <v>0</v>
      </c>
      <c r="Q12" s="108">
        <v>0</v>
      </c>
      <c r="R12" s="108">
        <v>0</v>
      </c>
      <c r="S12" s="108">
        <v>0</v>
      </c>
      <c r="T12" s="107">
        <v>0</v>
      </c>
      <c r="U12" s="119">
        <v>0</v>
      </c>
      <c r="V12" s="119">
        <v>0</v>
      </c>
      <c r="W12" s="107">
        <v>0</v>
      </c>
      <c r="X12" s="107">
        <v>0</v>
      </c>
      <c r="Y12" s="107">
        <v>0</v>
      </c>
      <c r="Z12" s="107">
        <v>0</v>
      </c>
      <c r="AA12" s="108">
        <v>0</v>
      </c>
      <c r="AB12" s="107">
        <v>0</v>
      </c>
      <c r="AC12" s="119">
        <v>0</v>
      </c>
      <c r="AD12" s="108">
        <v>0</v>
      </c>
      <c r="AE12" s="108">
        <v>0</v>
      </c>
      <c r="AF12" s="108">
        <v>0</v>
      </c>
      <c r="AG12" s="108">
        <v>0</v>
      </c>
      <c r="AH12" s="108">
        <v>0</v>
      </c>
      <c r="AI12" s="108">
        <v>41026232</v>
      </c>
      <c r="AJ12" s="108">
        <v>41026232</v>
      </c>
      <c r="AK12" s="108">
        <v>77319714</v>
      </c>
      <c r="AL12" s="108">
        <f>118345946-AJ12</f>
        <v>77319714</v>
      </c>
      <c r="AM12" s="117">
        <f>+AL12+6000000</f>
        <v>83319714</v>
      </c>
      <c r="AN12" s="117">
        <v>90469225</v>
      </c>
      <c r="AO12" s="117">
        <f>+AM12+6000000</f>
        <v>89319714</v>
      </c>
      <c r="AP12" s="117">
        <v>75047610</v>
      </c>
      <c r="AQ12" s="117">
        <f>+AO12+6000000</f>
        <v>95319714</v>
      </c>
      <c r="AR12" s="117">
        <v>153699654</v>
      </c>
      <c r="AS12" s="117">
        <f>+AQ12+6000000</f>
        <v>101319714</v>
      </c>
      <c r="AT12" s="117">
        <v>91591256</v>
      </c>
      <c r="AU12" s="117">
        <f>+AS12+6000000</f>
        <v>107319714</v>
      </c>
      <c r="AV12" s="117">
        <v>87340509</v>
      </c>
      <c r="AW12" s="117">
        <f>+AU12+6000000</f>
        <v>113319714</v>
      </c>
      <c r="AX12" s="117">
        <v>175197762</v>
      </c>
      <c r="AY12" s="117">
        <f>+AW12+6000000</f>
        <v>119319714</v>
      </c>
      <c r="AZ12" s="117">
        <v>94410397</v>
      </c>
      <c r="BA12" s="108">
        <f>AY12+AW12+AU12+AS12+AQ12+AO12+AM12+AK12+AI12+AG12+AE12+AC12</f>
        <v>827583944</v>
      </c>
      <c r="BB12" s="108">
        <f>AC12+AE12+AG12+AI12+AK12+AM12+AO12+AQ12+AS12+AU12+AW12+AY12</f>
        <v>827583944</v>
      </c>
      <c r="BC12" s="108">
        <f>AD12+AF12+AH12+AJ12+AL12+AN12+AP12+AR12+AT12+AV12+AX12+AZ12</f>
        <v>886102359</v>
      </c>
      <c r="BD12" s="108">
        <f>AE12+AG12+AI12+AK12+AM12+AO12+AQ12+AS12+AU12+AW12+AY12+AC12</f>
        <v>827583944</v>
      </c>
      <c r="BE12" s="108">
        <f>AD12+AF12+AH12+AJ12+AL12+AN12+AP12+AR12+AT12+AV12+AX12+AZ12</f>
        <v>886102359</v>
      </c>
      <c r="BF12" s="108">
        <v>0</v>
      </c>
      <c r="BG12" s="108">
        <v>0</v>
      </c>
      <c r="BH12" s="108">
        <v>0</v>
      </c>
      <c r="BI12" s="108">
        <v>0</v>
      </c>
      <c r="BJ12" s="108">
        <v>14552866</v>
      </c>
      <c r="BK12" s="108">
        <v>0</v>
      </c>
      <c r="BL12" s="108">
        <v>68674033</v>
      </c>
      <c r="BM12" s="108">
        <v>0</v>
      </c>
      <c r="BN12" s="108">
        <v>78859000</v>
      </c>
      <c r="BO12" s="108">
        <v>0</v>
      </c>
      <c r="BP12" s="108">
        <v>74946000</v>
      </c>
      <c r="BQ12" s="108">
        <v>0</v>
      </c>
      <c r="BR12" s="108">
        <v>74946000</v>
      </c>
      <c r="BS12" s="108">
        <v>0</v>
      </c>
      <c r="BT12" s="108">
        <v>76437919</v>
      </c>
      <c r="BU12" s="108">
        <v>0</v>
      </c>
      <c r="BV12" s="108">
        <v>75471274</v>
      </c>
      <c r="BW12" s="108">
        <v>0</v>
      </c>
      <c r="BX12" s="108">
        <v>186183357</v>
      </c>
      <c r="BY12" s="108"/>
      <c r="BZ12" s="108">
        <v>77384356</v>
      </c>
      <c r="CA12" s="108">
        <v>0</v>
      </c>
      <c r="CB12" s="108">
        <v>70919924</v>
      </c>
      <c r="CC12" s="108">
        <v>0</v>
      </c>
      <c r="CD12" s="108">
        <v>127789651</v>
      </c>
      <c r="CE12" s="108">
        <f>CC12+CA12+BY12+BW12+BU12+BS12+BQ12+BO12+BM12+BK12+BI12+BG12</f>
        <v>0</v>
      </c>
      <c r="CF12" s="108">
        <f>+BG12+BI12+BK12+BM12+BO12+BQ12+BS12+BU12+BW12+BY12+CA12+CC12</f>
        <v>0</v>
      </c>
      <c r="CG12" s="108">
        <f>+BH12+BJ12+BL12+BN12+BP12+BR12+BT12+BV12+BX12+BZ12+CB12+CD12</f>
        <v>926164380</v>
      </c>
      <c r="CH12" s="107">
        <f>CC12+CA12+BY12+BW12+BU12+BS12+BQ12+BO12+BM12+BK12+BI12+BG12</f>
        <v>0</v>
      </c>
      <c r="CI12" s="107">
        <f>+BH12+BJ12+BL12+BN12+BP12+BR12+BT12+BV12+BX12+BZ12+CB12+CD12</f>
        <v>926164380</v>
      </c>
      <c r="CJ12" s="108">
        <v>0</v>
      </c>
      <c r="CK12" s="108">
        <v>0</v>
      </c>
      <c r="CL12" s="108">
        <v>0</v>
      </c>
      <c r="CM12" s="108">
        <v>0</v>
      </c>
      <c r="CN12" s="108">
        <v>0</v>
      </c>
      <c r="CO12" s="108">
        <v>0</v>
      </c>
      <c r="CP12" s="108">
        <v>0</v>
      </c>
      <c r="CQ12" s="108">
        <v>0</v>
      </c>
      <c r="CR12" s="108">
        <v>0</v>
      </c>
      <c r="CS12" s="108">
        <v>0</v>
      </c>
      <c r="CT12" s="108">
        <v>0</v>
      </c>
      <c r="CU12" s="108">
        <v>0</v>
      </c>
      <c r="CV12" s="108">
        <v>0</v>
      </c>
      <c r="CW12" s="108">
        <v>0</v>
      </c>
      <c r="CX12" s="108">
        <v>0</v>
      </c>
      <c r="CY12" s="108">
        <v>0</v>
      </c>
      <c r="CZ12" s="108">
        <v>0</v>
      </c>
      <c r="DA12" s="108">
        <v>0</v>
      </c>
      <c r="DB12" s="108">
        <v>0</v>
      </c>
      <c r="DC12" s="108">
        <v>0</v>
      </c>
      <c r="DD12" s="108">
        <v>0</v>
      </c>
      <c r="DE12" s="108">
        <v>0</v>
      </c>
      <c r="DF12" s="108">
        <v>0</v>
      </c>
      <c r="DG12" s="108">
        <v>0</v>
      </c>
      <c r="DH12" s="108">
        <v>0</v>
      </c>
      <c r="DI12" s="107">
        <v>0</v>
      </c>
      <c r="DJ12" s="117">
        <v>0</v>
      </c>
      <c r="DK12" s="117">
        <v>0</v>
      </c>
      <c r="DL12" s="107">
        <v>0</v>
      </c>
      <c r="DM12" s="117">
        <v>0</v>
      </c>
      <c r="DN12" s="108">
        <v>0</v>
      </c>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271">
        <f>EI12+EG12+EE12+EC12+EA12+DY12+DW12+DU12+DS12+DQ12+DO12+EK12</f>
        <v>0</v>
      </c>
      <c r="EN12" s="111">
        <f t="shared" si="2"/>
        <v>0</v>
      </c>
      <c r="EO12" s="111">
        <f t="shared" si="3"/>
        <v>0</v>
      </c>
      <c r="EP12" s="107">
        <f>DQ12+DS12+DU12+DW12+DY12+EA12+EC12+EE12+EG12+EI12+EK12</f>
        <v>0</v>
      </c>
      <c r="EQ12" s="111">
        <f>DP12+DR12+DT12+DV12</f>
        <v>0</v>
      </c>
      <c r="ER12" s="123" t="e">
        <f t="shared" si="4"/>
        <v>#DIV/0!</v>
      </c>
      <c r="ES12" s="277" t="e">
        <f t="shared" ref="ES12:ES58" si="6">+CG12/CF12</f>
        <v>#DIV/0!</v>
      </c>
      <c r="ET12" s="278" t="e">
        <f t="shared" ref="ET12:ET58" si="7">+CI12/CH12</f>
        <v>#DIV/0!</v>
      </c>
      <c r="EU12" s="279">
        <f t="shared" si="5"/>
        <v>2.1898282973455077</v>
      </c>
      <c r="EV12" s="278" t="e">
        <f t="shared" ref="EV12:EV58" si="8">+(AA12+BE12+CI12)/G12</f>
        <v>#DIV/0!</v>
      </c>
      <c r="EW12" s="516"/>
      <c r="EX12" s="475" t="s">
        <v>568</v>
      </c>
      <c r="EY12" s="475" t="s">
        <v>568</v>
      </c>
      <c r="EZ12" s="476"/>
      <c r="FA12" s="476"/>
      <c r="FB12" s="523"/>
    </row>
    <row r="13" spans="1:159" s="109" customFormat="1" ht="42.75" customHeight="1" x14ac:dyDescent="0.25">
      <c r="A13" s="515"/>
      <c r="B13" s="515"/>
      <c r="C13" s="515"/>
      <c r="D13" s="515"/>
      <c r="E13" s="515"/>
      <c r="F13" s="311" t="s">
        <v>41</v>
      </c>
      <c r="G13" s="316">
        <v>0</v>
      </c>
      <c r="H13" s="106">
        <v>0</v>
      </c>
      <c r="I13" s="271"/>
      <c r="J13" s="271"/>
      <c r="K13" s="271"/>
      <c r="L13" s="271"/>
      <c r="M13" s="271"/>
      <c r="N13" s="274"/>
      <c r="O13" s="271"/>
      <c r="P13" s="274"/>
      <c r="Q13" s="271"/>
      <c r="R13" s="290"/>
      <c r="S13" s="271"/>
      <c r="T13" s="274"/>
      <c r="U13" s="271"/>
      <c r="V13" s="271"/>
      <c r="W13" s="99">
        <v>0</v>
      </c>
      <c r="X13" s="99">
        <v>0</v>
      </c>
      <c r="Y13" s="99">
        <v>0</v>
      </c>
      <c r="Z13" s="99">
        <v>0</v>
      </c>
      <c r="AA13" s="99">
        <v>0</v>
      </c>
      <c r="AB13" s="99">
        <v>0</v>
      </c>
      <c r="AC13" s="99">
        <v>0</v>
      </c>
      <c r="AD13" s="99">
        <v>0</v>
      </c>
      <c r="AE13" s="99">
        <v>0</v>
      </c>
      <c r="AF13" s="99">
        <v>0</v>
      </c>
      <c r="AG13" s="99">
        <v>0</v>
      </c>
      <c r="AH13" s="99">
        <v>0</v>
      </c>
      <c r="AI13" s="99">
        <v>0</v>
      </c>
      <c r="AJ13" s="99">
        <v>0</v>
      </c>
      <c r="AK13" s="99">
        <v>0</v>
      </c>
      <c r="AL13" s="99">
        <v>0</v>
      </c>
      <c r="AM13" s="99">
        <v>0</v>
      </c>
      <c r="AN13" s="99">
        <v>0</v>
      </c>
      <c r="AO13" s="99">
        <v>0</v>
      </c>
      <c r="AP13" s="99">
        <v>0</v>
      </c>
      <c r="AQ13" s="99">
        <v>0</v>
      </c>
      <c r="AR13" s="99">
        <v>0</v>
      </c>
      <c r="AS13" s="99">
        <v>0</v>
      </c>
      <c r="AT13" s="99">
        <v>0</v>
      </c>
      <c r="AU13" s="99">
        <v>0</v>
      </c>
      <c r="AV13" s="99">
        <v>0</v>
      </c>
      <c r="AW13" s="99">
        <v>0</v>
      </c>
      <c r="AX13" s="99">
        <v>0</v>
      </c>
      <c r="AY13" s="99">
        <v>0</v>
      </c>
      <c r="AZ13" s="106">
        <v>0</v>
      </c>
      <c r="BA13" s="99">
        <f>+AB13</f>
        <v>0</v>
      </c>
      <c r="BB13" s="99">
        <f>+AY13</f>
        <v>0</v>
      </c>
      <c r="BC13" s="99">
        <f>+AZ13</f>
        <v>0</v>
      </c>
      <c r="BD13" s="99">
        <f>+G13</f>
        <v>0</v>
      </c>
      <c r="BE13" s="99">
        <f>+AZ13</f>
        <v>0</v>
      </c>
      <c r="BF13" s="99">
        <v>0</v>
      </c>
      <c r="BG13" s="99">
        <v>0</v>
      </c>
      <c r="BH13" s="99">
        <v>0</v>
      </c>
      <c r="BI13" s="99">
        <v>0</v>
      </c>
      <c r="BJ13" s="99">
        <v>0</v>
      </c>
      <c r="BK13" s="99">
        <v>0</v>
      </c>
      <c r="BL13" s="99">
        <v>0</v>
      </c>
      <c r="BM13" s="99">
        <v>0</v>
      </c>
      <c r="BN13" s="99">
        <v>0</v>
      </c>
      <c r="BO13" s="99">
        <v>0</v>
      </c>
      <c r="BP13" s="99">
        <v>0</v>
      </c>
      <c r="BQ13" s="99">
        <v>0</v>
      </c>
      <c r="BR13" s="99">
        <v>0</v>
      </c>
      <c r="BS13" s="99">
        <v>0</v>
      </c>
      <c r="BT13" s="99">
        <v>0</v>
      </c>
      <c r="BU13" s="99">
        <v>0</v>
      </c>
      <c r="BV13" s="99">
        <v>0</v>
      </c>
      <c r="BW13" s="99">
        <v>0</v>
      </c>
      <c r="BX13" s="99">
        <v>0</v>
      </c>
      <c r="BY13" s="99">
        <v>0</v>
      </c>
      <c r="BZ13" s="99">
        <v>0</v>
      </c>
      <c r="CA13" s="99">
        <v>0</v>
      </c>
      <c r="CB13" s="99">
        <v>0</v>
      </c>
      <c r="CC13" s="99">
        <v>0</v>
      </c>
      <c r="CD13" s="99">
        <v>0</v>
      </c>
      <c r="CE13" s="99">
        <f>BF13</f>
        <v>0</v>
      </c>
      <c r="CF13" s="99">
        <f>+CC13</f>
        <v>0</v>
      </c>
      <c r="CG13" s="99">
        <f>CD13</f>
        <v>0</v>
      </c>
      <c r="CH13" s="99">
        <f>+CC13</f>
        <v>0</v>
      </c>
      <c r="CI13" s="99">
        <f>+CD13</f>
        <v>0</v>
      </c>
      <c r="CJ13" s="99">
        <v>0</v>
      </c>
      <c r="CK13" s="271">
        <v>0</v>
      </c>
      <c r="CL13" s="271">
        <v>0</v>
      </c>
      <c r="CM13" s="271">
        <v>0</v>
      </c>
      <c r="CN13" s="271">
        <v>0</v>
      </c>
      <c r="CO13" s="271">
        <v>0</v>
      </c>
      <c r="CP13" s="271">
        <v>0</v>
      </c>
      <c r="CQ13" s="271">
        <v>0</v>
      </c>
      <c r="CR13" s="271">
        <v>0</v>
      </c>
      <c r="CS13" s="271">
        <v>0</v>
      </c>
      <c r="CT13" s="271">
        <v>0</v>
      </c>
      <c r="CU13" s="271">
        <v>0</v>
      </c>
      <c r="CV13" s="271">
        <v>0</v>
      </c>
      <c r="CW13" s="271">
        <v>0</v>
      </c>
      <c r="CX13" s="271">
        <v>0</v>
      </c>
      <c r="CY13" s="271">
        <v>0</v>
      </c>
      <c r="CZ13" s="271">
        <v>0</v>
      </c>
      <c r="DA13" s="271">
        <v>0</v>
      </c>
      <c r="DB13" s="271">
        <v>0</v>
      </c>
      <c r="DC13" s="271">
        <v>0</v>
      </c>
      <c r="DD13" s="271">
        <v>0</v>
      </c>
      <c r="DE13" s="271">
        <v>0</v>
      </c>
      <c r="DF13" s="271">
        <v>0</v>
      </c>
      <c r="DG13" s="271">
        <v>0</v>
      </c>
      <c r="DH13" s="271">
        <v>0</v>
      </c>
      <c r="DI13" s="271">
        <v>0</v>
      </c>
      <c r="DJ13" s="271">
        <v>0</v>
      </c>
      <c r="DK13" s="271">
        <v>0</v>
      </c>
      <c r="DL13" s="96">
        <v>0</v>
      </c>
      <c r="DM13" s="271">
        <v>0</v>
      </c>
      <c r="DN13" s="99">
        <v>0</v>
      </c>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74">
        <f>EI13+EG13+EE13+EC13+EA13+DY13+DW13+DU13+DS13+DQ13+DO13+EK13</f>
        <v>0</v>
      </c>
      <c r="EN13" s="114">
        <f t="shared" si="2"/>
        <v>0</v>
      </c>
      <c r="EO13" s="114">
        <f t="shared" si="3"/>
        <v>0</v>
      </c>
      <c r="EP13" s="96">
        <f>DQ13+DS13+DU13+DW13+DY13+EA13+EC13+EE13+EG13+EI13+EK13</f>
        <v>0</v>
      </c>
      <c r="EQ13" s="274">
        <f>DP13+DR13+DT13+DV13</f>
        <v>0</v>
      </c>
      <c r="ER13" s="123" t="e">
        <f t="shared" si="4"/>
        <v>#DIV/0!</v>
      </c>
      <c r="ES13" s="277" t="e">
        <f t="shared" si="6"/>
        <v>#DIV/0!</v>
      </c>
      <c r="ET13" s="278" t="e">
        <f t="shared" si="7"/>
        <v>#DIV/0!</v>
      </c>
      <c r="EU13" s="279" t="e">
        <f t="shared" si="5"/>
        <v>#DIV/0!</v>
      </c>
      <c r="EV13" s="278" t="e">
        <f t="shared" si="8"/>
        <v>#DIV/0!</v>
      </c>
      <c r="EW13" s="516"/>
      <c r="EX13" s="475" t="s">
        <v>568</v>
      </c>
      <c r="EY13" s="475" t="s">
        <v>568</v>
      </c>
      <c r="EZ13" s="476"/>
      <c r="FA13" s="476"/>
      <c r="FB13" s="523"/>
    </row>
    <row r="14" spans="1:159" s="109" customFormat="1" ht="42.75" customHeight="1" x14ac:dyDescent="0.25">
      <c r="A14" s="515"/>
      <c r="B14" s="515"/>
      <c r="C14" s="515"/>
      <c r="D14" s="515"/>
      <c r="E14" s="515"/>
      <c r="F14" s="312" t="s">
        <v>4</v>
      </c>
      <c r="G14" s="317">
        <f>AA14+BE14+CH14+CJ14+DN14</f>
        <v>887818577</v>
      </c>
      <c r="H14" s="107">
        <v>0</v>
      </c>
      <c r="I14" s="108"/>
      <c r="J14" s="108"/>
      <c r="K14" s="108"/>
      <c r="L14" s="108"/>
      <c r="M14" s="108"/>
      <c r="N14" s="108"/>
      <c r="O14" s="108"/>
      <c r="P14" s="108"/>
      <c r="Q14" s="108"/>
      <c r="R14" s="108"/>
      <c r="S14" s="108"/>
      <c r="T14" s="107"/>
      <c r="U14" s="119"/>
      <c r="V14" s="119"/>
      <c r="W14" s="107">
        <v>0</v>
      </c>
      <c r="X14" s="107">
        <v>0</v>
      </c>
      <c r="Y14" s="107">
        <v>0</v>
      </c>
      <c r="Z14" s="107">
        <v>0</v>
      </c>
      <c r="AA14" s="108">
        <v>0</v>
      </c>
      <c r="AB14" s="107">
        <v>349704142</v>
      </c>
      <c r="AC14" s="108">
        <v>62876122</v>
      </c>
      <c r="AD14" s="108">
        <v>62876122</v>
      </c>
      <c r="AE14" s="119">
        <v>54302358</v>
      </c>
      <c r="AF14" s="108">
        <f>117178480-AD14</f>
        <v>54302358</v>
      </c>
      <c r="AG14" s="108">
        <v>104432327</v>
      </c>
      <c r="AH14" s="108">
        <f>221610807-AF14-AD14</f>
        <v>104432327</v>
      </c>
      <c r="AI14" s="108">
        <v>5682842</v>
      </c>
      <c r="AJ14" s="108">
        <f>227293649-AH14-AF14-AD14</f>
        <v>5682842</v>
      </c>
      <c r="AK14" s="108">
        <v>80059278</v>
      </c>
      <c r="AL14" s="108">
        <f>307352927-AJ14-AH14-AF14-AD14</f>
        <v>80059278</v>
      </c>
      <c r="AM14" s="108">
        <v>16097586</v>
      </c>
      <c r="AN14" s="108">
        <v>19233596</v>
      </c>
      <c r="AO14" s="108">
        <v>0</v>
      </c>
      <c r="AP14" s="108">
        <v>0</v>
      </c>
      <c r="AQ14" s="108">
        <v>0</v>
      </c>
      <c r="AR14" s="108">
        <v>9064999</v>
      </c>
      <c r="AS14" s="108">
        <f>26253629-11970000</f>
        <v>14283629</v>
      </c>
      <c r="AT14" s="108">
        <v>755053</v>
      </c>
      <c r="AU14" s="108">
        <v>0</v>
      </c>
      <c r="AV14" s="108">
        <v>0</v>
      </c>
      <c r="AW14" s="108">
        <v>0</v>
      </c>
      <c r="AX14" s="108">
        <v>337959</v>
      </c>
      <c r="AY14" s="108">
        <v>0</v>
      </c>
      <c r="AZ14" s="108">
        <v>989608</v>
      </c>
      <c r="BA14" s="108">
        <f>AY14+AW14+AU14+AS14+AQ14+AO14+AM14+AK14+AI14+AG14+AE14+AC14</f>
        <v>337734142</v>
      </c>
      <c r="BB14" s="108">
        <f>AC14+AE14+AG14+AI14+AK14+AM14+AO14+AQ14+AS14+AU14+AW14+AY14</f>
        <v>337734142</v>
      </c>
      <c r="BC14" s="108">
        <f>AD14+AF14+AH14+AJ14+AL14+AN14+AP14+AR14+AT14+AV14+AX14+AZ14</f>
        <v>337734142</v>
      </c>
      <c r="BD14" s="108">
        <f>AE14+AG14+AI14+AK14+AM14+AO14+AQ14+AS14+AU14+AW14+AY14+AC14</f>
        <v>337734142</v>
      </c>
      <c r="BE14" s="108">
        <f>AD14+AF14+AH14+AJ14+AL14+AN14+AP14+AR14+AT14+AV14+AX14+AZ14</f>
        <v>337734142</v>
      </c>
      <c r="BF14" s="108">
        <v>557602926</v>
      </c>
      <c r="BG14" s="108">
        <v>14814800</v>
      </c>
      <c r="BH14" s="108"/>
      <c r="BI14" s="108">
        <v>86403771</v>
      </c>
      <c r="BJ14" s="108">
        <v>42955919</v>
      </c>
      <c r="BK14" s="108">
        <v>66341056</v>
      </c>
      <c r="BL14" s="108">
        <v>0</v>
      </c>
      <c r="BM14" s="108">
        <v>37348492</v>
      </c>
      <c r="BN14" s="108">
        <v>0</v>
      </c>
      <c r="BO14" s="108">
        <v>6178859</v>
      </c>
      <c r="BP14" s="108">
        <v>0</v>
      </c>
      <c r="BQ14" s="108">
        <f>121462820- 1161533</f>
        <v>120301287</v>
      </c>
      <c r="BR14" s="108">
        <v>0</v>
      </c>
      <c r="BS14" s="108">
        <f>216642665+1161533</f>
        <v>217804198</v>
      </c>
      <c r="BT14" s="108">
        <v>514647007</v>
      </c>
      <c r="BU14" s="108">
        <v>4010463</v>
      </c>
      <c r="BV14" s="108">
        <v>-1518487</v>
      </c>
      <c r="BW14" s="108">
        <f>2400000-1518491</f>
        <v>881509</v>
      </c>
      <c r="BX14" s="108">
        <v>-111746667</v>
      </c>
      <c r="BY14" s="108">
        <f>--2000000-6000000</f>
        <v>-4000000</v>
      </c>
      <c r="BZ14" s="108">
        <v>62056044</v>
      </c>
      <c r="CA14" s="108">
        <v>7518491</v>
      </c>
      <c r="CB14" s="108">
        <v>29318876</v>
      </c>
      <c r="CC14" s="108">
        <v>-7518491</v>
      </c>
      <c r="CD14" s="108">
        <v>0</v>
      </c>
      <c r="CE14" s="108">
        <f>CC14+CA14+BY14+BW14+BU14+BS14+BQ14+BO14+BM14+BK14+BI14+BG14</f>
        <v>550084435</v>
      </c>
      <c r="CF14" s="108">
        <f>+BG14+BI14+BK14+BM14+BO14+BQ14+BS14+BU14+BW14+BY14+CA14+CC14</f>
        <v>550084435</v>
      </c>
      <c r="CG14" s="108">
        <f>+BH14+BJ14+BL14+BN14+BP14+BR14+BT14+BV14+BX14+BZ14+CB14+CD14</f>
        <v>535712692</v>
      </c>
      <c r="CH14" s="107">
        <f>CC14+CA14+BY14+BW14+BU14+BS14+BQ14+BO14+BM14+BK14+BI14+BG14</f>
        <v>550084435</v>
      </c>
      <c r="CI14" s="107">
        <f>+BH14+BJ14+BL14+BN14+BP14+BR14+BT14+BV14+BX14+BZ14+CB14+CD14</f>
        <v>535712692</v>
      </c>
      <c r="CJ14" s="108">
        <v>0</v>
      </c>
      <c r="CK14" s="108">
        <v>0</v>
      </c>
      <c r="CL14" s="108">
        <v>0</v>
      </c>
      <c r="CM14" s="108">
        <v>0</v>
      </c>
      <c r="CN14" s="108">
        <v>0</v>
      </c>
      <c r="CO14" s="108">
        <v>0</v>
      </c>
      <c r="CP14" s="108">
        <v>0</v>
      </c>
      <c r="CQ14" s="108">
        <v>0</v>
      </c>
      <c r="CR14" s="108">
        <v>0</v>
      </c>
      <c r="CS14" s="108">
        <v>0</v>
      </c>
      <c r="CT14" s="108">
        <v>0</v>
      </c>
      <c r="CU14" s="108">
        <v>0</v>
      </c>
      <c r="CV14" s="108">
        <v>0</v>
      </c>
      <c r="CW14" s="108">
        <v>0</v>
      </c>
      <c r="CX14" s="108">
        <v>0</v>
      </c>
      <c r="CY14" s="108">
        <v>0</v>
      </c>
      <c r="CZ14" s="108">
        <v>0</v>
      </c>
      <c r="DA14" s="108">
        <v>0</v>
      </c>
      <c r="DB14" s="108">
        <v>0</v>
      </c>
      <c r="DC14" s="108">
        <v>0</v>
      </c>
      <c r="DD14" s="108">
        <v>0</v>
      </c>
      <c r="DE14" s="108">
        <v>0</v>
      </c>
      <c r="DF14" s="108">
        <v>0</v>
      </c>
      <c r="DG14" s="108">
        <v>0</v>
      </c>
      <c r="DH14" s="108">
        <v>0</v>
      </c>
      <c r="DI14" s="107">
        <v>0</v>
      </c>
      <c r="DJ14" s="117">
        <v>0</v>
      </c>
      <c r="DK14" s="117">
        <v>0</v>
      </c>
      <c r="DL14" s="107">
        <v>0</v>
      </c>
      <c r="DM14" s="117">
        <v>0</v>
      </c>
      <c r="DN14" s="108">
        <v>0</v>
      </c>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274">
        <f>EI14+EG14+EE14+EC14+EA14+DY14+DW14+DU14+DS14+DQ14+DO14+EK14</f>
        <v>0</v>
      </c>
      <c r="EN14" s="111">
        <f t="shared" si="2"/>
        <v>0</v>
      </c>
      <c r="EO14" s="111">
        <f t="shared" si="3"/>
        <v>0</v>
      </c>
      <c r="EP14" s="107">
        <f>DQ14+DS14+DU14+DW14+DY14+EA14+EC14+EE14+EG14+EI14+EK14+DO14</f>
        <v>0</v>
      </c>
      <c r="EQ14" s="111">
        <f>DP14+DR14+DT14+DV14</f>
        <v>0</v>
      </c>
      <c r="ER14" s="123">
        <f t="shared" si="4"/>
        <v>0</v>
      </c>
      <c r="ES14" s="277">
        <f t="shared" si="6"/>
        <v>0.97387356906399292</v>
      </c>
      <c r="ET14" s="278">
        <f t="shared" si="7"/>
        <v>0.97387356906399292</v>
      </c>
      <c r="EU14" s="279">
        <f t="shared" si="5"/>
        <v>0.98381229749825339</v>
      </c>
      <c r="EV14" s="278">
        <f t="shared" si="8"/>
        <v>0.98381229749825339</v>
      </c>
      <c r="EW14" s="516"/>
      <c r="EX14" s="475" t="s">
        <v>568</v>
      </c>
      <c r="EY14" s="475" t="s">
        <v>568</v>
      </c>
      <c r="EZ14" s="476"/>
      <c r="FA14" s="476"/>
      <c r="FB14" s="523"/>
    </row>
    <row r="15" spans="1:159" s="109" customFormat="1" ht="42.75" customHeight="1" thickBot="1" x14ac:dyDescent="0.3">
      <c r="A15" s="515"/>
      <c r="B15" s="515"/>
      <c r="C15" s="515"/>
      <c r="D15" s="515"/>
      <c r="E15" s="515"/>
      <c r="F15" s="311" t="s">
        <v>42</v>
      </c>
      <c r="G15" s="332">
        <f>+G10+G13</f>
        <v>1</v>
      </c>
      <c r="H15" s="333">
        <f>+H10+H13</f>
        <v>1</v>
      </c>
      <c r="I15" s="334"/>
      <c r="J15" s="334"/>
      <c r="K15" s="334"/>
      <c r="L15" s="334"/>
      <c r="M15" s="334"/>
      <c r="N15" s="335"/>
      <c r="O15" s="334"/>
      <c r="P15" s="335"/>
      <c r="Q15" s="334"/>
      <c r="R15" s="336"/>
      <c r="S15" s="334"/>
      <c r="T15" s="335"/>
      <c r="U15" s="334"/>
      <c r="V15" s="334"/>
      <c r="W15" s="337">
        <f t="shared" ref="W15:AK15" si="9">+W10+W13</f>
        <v>1</v>
      </c>
      <c r="X15" s="337">
        <f t="shared" si="9"/>
        <v>1</v>
      </c>
      <c r="Y15" s="337">
        <f t="shared" si="9"/>
        <v>1</v>
      </c>
      <c r="Z15" s="337">
        <f t="shared" si="9"/>
        <v>1</v>
      </c>
      <c r="AA15" s="337">
        <f t="shared" si="9"/>
        <v>1</v>
      </c>
      <c r="AB15" s="337">
        <f t="shared" si="9"/>
        <v>1</v>
      </c>
      <c r="AC15" s="337">
        <f t="shared" si="9"/>
        <v>1</v>
      </c>
      <c r="AD15" s="337">
        <f t="shared" si="9"/>
        <v>0.86</v>
      </c>
      <c r="AE15" s="337">
        <f t="shared" si="9"/>
        <v>1</v>
      </c>
      <c r="AF15" s="337">
        <f t="shared" si="9"/>
        <v>0.75</v>
      </c>
      <c r="AG15" s="337">
        <f t="shared" si="9"/>
        <v>1</v>
      </c>
      <c r="AH15" s="337">
        <f t="shared" si="9"/>
        <v>0.8</v>
      </c>
      <c r="AI15" s="337">
        <f t="shared" si="9"/>
        <v>1</v>
      </c>
      <c r="AJ15" s="337">
        <f t="shared" si="9"/>
        <v>1</v>
      </c>
      <c r="AK15" s="337">
        <f t="shared" si="9"/>
        <v>1</v>
      </c>
      <c r="AL15" s="337">
        <f t="shared" ref="AL15:BJ15" si="10">+AL10+AL13</f>
        <v>1</v>
      </c>
      <c r="AM15" s="337">
        <f t="shared" si="10"/>
        <v>1</v>
      </c>
      <c r="AN15" s="337">
        <f t="shared" si="10"/>
        <v>1</v>
      </c>
      <c r="AO15" s="337">
        <f t="shared" si="10"/>
        <v>1</v>
      </c>
      <c r="AP15" s="337">
        <f t="shared" si="10"/>
        <v>0.95</v>
      </c>
      <c r="AQ15" s="337">
        <f t="shared" si="10"/>
        <v>1</v>
      </c>
      <c r="AR15" s="337">
        <f t="shared" si="10"/>
        <v>0.95</v>
      </c>
      <c r="AS15" s="337">
        <f t="shared" si="10"/>
        <v>1</v>
      </c>
      <c r="AT15" s="337">
        <f t="shared" si="10"/>
        <v>0.98</v>
      </c>
      <c r="AU15" s="337">
        <f t="shared" si="10"/>
        <v>1</v>
      </c>
      <c r="AV15" s="337">
        <f t="shared" si="10"/>
        <v>1</v>
      </c>
      <c r="AW15" s="337">
        <f t="shared" si="10"/>
        <v>1</v>
      </c>
      <c r="AX15" s="337">
        <f t="shared" si="10"/>
        <v>1</v>
      </c>
      <c r="AY15" s="337">
        <f t="shared" si="10"/>
        <v>1</v>
      </c>
      <c r="AZ15" s="337">
        <f t="shared" si="10"/>
        <v>1</v>
      </c>
      <c r="BA15" s="337">
        <f t="shared" si="10"/>
        <v>1</v>
      </c>
      <c r="BB15" s="337">
        <f t="shared" si="10"/>
        <v>1</v>
      </c>
      <c r="BC15" s="337">
        <f t="shared" si="10"/>
        <v>1</v>
      </c>
      <c r="BD15" s="337">
        <f t="shared" si="10"/>
        <v>1</v>
      </c>
      <c r="BE15" s="337">
        <f t="shared" si="10"/>
        <v>1</v>
      </c>
      <c r="BF15" s="337">
        <f t="shared" si="10"/>
        <v>1</v>
      </c>
      <c r="BG15" s="337">
        <f t="shared" si="10"/>
        <v>1</v>
      </c>
      <c r="BH15" s="337">
        <f t="shared" si="10"/>
        <v>1</v>
      </c>
      <c r="BI15" s="337">
        <f t="shared" si="10"/>
        <v>1</v>
      </c>
      <c r="BJ15" s="337">
        <f t="shared" si="10"/>
        <v>1</v>
      </c>
      <c r="BK15" s="337">
        <f t="shared" ref="BK15:CD15" si="11">+BK10+BK13</f>
        <v>1</v>
      </c>
      <c r="BL15" s="337">
        <f t="shared" si="11"/>
        <v>1</v>
      </c>
      <c r="BM15" s="337">
        <f t="shared" si="11"/>
        <v>1</v>
      </c>
      <c r="BN15" s="337">
        <f>+BN10+BN13</f>
        <v>1</v>
      </c>
      <c r="BO15" s="337">
        <f t="shared" si="11"/>
        <v>1</v>
      </c>
      <c r="BP15" s="337">
        <f t="shared" si="11"/>
        <v>1</v>
      </c>
      <c r="BQ15" s="337">
        <f t="shared" si="11"/>
        <v>1</v>
      </c>
      <c r="BR15" s="337">
        <f t="shared" si="11"/>
        <v>1</v>
      </c>
      <c r="BS15" s="337">
        <f t="shared" si="11"/>
        <v>1</v>
      </c>
      <c r="BT15" s="337">
        <f t="shared" si="11"/>
        <v>1</v>
      </c>
      <c r="BU15" s="337">
        <f t="shared" si="11"/>
        <v>1</v>
      </c>
      <c r="BV15" s="337">
        <f>+BV10+BV13</f>
        <v>1</v>
      </c>
      <c r="BW15" s="337">
        <f t="shared" si="11"/>
        <v>1</v>
      </c>
      <c r="BX15" s="337">
        <f t="shared" si="11"/>
        <v>1</v>
      </c>
      <c r="BY15" s="337">
        <f t="shared" si="11"/>
        <v>1</v>
      </c>
      <c r="BZ15" s="337">
        <f t="shared" si="11"/>
        <v>1</v>
      </c>
      <c r="CA15" s="337">
        <f t="shared" si="11"/>
        <v>1</v>
      </c>
      <c r="CB15" s="337">
        <f t="shared" si="11"/>
        <v>1</v>
      </c>
      <c r="CC15" s="337">
        <f t="shared" si="11"/>
        <v>1</v>
      </c>
      <c r="CD15" s="337">
        <f t="shared" si="11"/>
        <v>1</v>
      </c>
      <c r="CE15" s="337">
        <f t="shared" ref="CE15:CJ16" si="12">+CE10+CE13</f>
        <v>1</v>
      </c>
      <c r="CF15" s="337">
        <f t="shared" si="12"/>
        <v>1</v>
      </c>
      <c r="CG15" s="337">
        <f t="shared" si="12"/>
        <v>1</v>
      </c>
      <c r="CH15" s="337">
        <f t="shared" si="12"/>
        <v>1</v>
      </c>
      <c r="CI15" s="337">
        <f t="shared" si="12"/>
        <v>1</v>
      </c>
      <c r="CJ15" s="337">
        <f t="shared" si="12"/>
        <v>1</v>
      </c>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334"/>
      <c r="DI15" s="334">
        <f>DE15+DC15+DA15+CY15+CW15+CU15+CS15+CQ15+CO15+CM15+CK15+DG15</f>
        <v>0</v>
      </c>
      <c r="DJ15" s="334">
        <f t="shared" si="0"/>
        <v>0</v>
      </c>
      <c r="DK15" s="334">
        <f t="shared" si="1"/>
        <v>0</v>
      </c>
      <c r="DL15" s="338">
        <f>CM15+CO15+CQ15+CS15+CU15+CW15+CY15+DA15+DC15+DE15+DG15+CK15</f>
        <v>0</v>
      </c>
      <c r="DM15" s="334">
        <f>CN15+CP15+CR15+CL15</f>
        <v>0</v>
      </c>
      <c r="DN15" s="337">
        <f>+DN10+DN13</f>
        <v>1</v>
      </c>
      <c r="DO15" s="339"/>
      <c r="DP15" s="339"/>
      <c r="DQ15" s="339"/>
      <c r="DR15" s="339"/>
      <c r="DS15" s="339"/>
      <c r="DT15" s="339"/>
      <c r="DU15" s="339"/>
      <c r="DV15" s="339"/>
      <c r="DW15" s="339"/>
      <c r="DX15" s="339"/>
      <c r="DY15" s="339"/>
      <c r="DZ15" s="339"/>
      <c r="EA15" s="339"/>
      <c r="EB15" s="339"/>
      <c r="EC15" s="339"/>
      <c r="ED15" s="339"/>
      <c r="EE15" s="339"/>
      <c r="EF15" s="339"/>
      <c r="EG15" s="339"/>
      <c r="EH15" s="339"/>
      <c r="EI15" s="339"/>
      <c r="EJ15" s="339"/>
      <c r="EK15" s="339"/>
      <c r="EL15" s="339"/>
      <c r="EM15" s="340">
        <f>EI15+EG15+EE15+EC15+EA15+DY15+DW15+DU15+DS15+DQ15+DO15+EK15</f>
        <v>0</v>
      </c>
      <c r="EN15" s="341">
        <f t="shared" si="2"/>
        <v>0</v>
      </c>
      <c r="EO15" s="341">
        <f t="shared" si="3"/>
        <v>0</v>
      </c>
      <c r="EP15" s="342">
        <f>DQ15+DS15+DU15+DW15+DY15+EA15+EC15+EE15+EG15+EI15+EK15+DO15</f>
        <v>0</v>
      </c>
      <c r="EQ15" s="341">
        <f>DR15+DT15+DV15+DP15</f>
        <v>0</v>
      </c>
      <c r="ER15" s="343">
        <f t="shared" si="4"/>
        <v>1</v>
      </c>
      <c r="ES15" s="280">
        <f t="shared" si="6"/>
        <v>1</v>
      </c>
      <c r="ET15" s="281">
        <f t="shared" si="7"/>
        <v>1</v>
      </c>
      <c r="EU15" s="282">
        <f t="shared" si="5"/>
        <v>1</v>
      </c>
      <c r="EV15" s="281">
        <f>+(AA15+BE15+CI15)/500%</f>
        <v>0.6</v>
      </c>
      <c r="EW15" s="516"/>
      <c r="EX15" s="475" t="s">
        <v>568</v>
      </c>
      <c r="EY15" s="475" t="s">
        <v>568</v>
      </c>
      <c r="EZ15" s="476"/>
      <c r="FA15" s="476"/>
      <c r="FB15" s="523"/>
    </row>
    <row r="16" spans="1:159" s="113" customFormat="1" ht="42.75" customHeight="1" thickBot="1" x14ac:dyDescent="0.3">
      <c r="A16" s="515"/>
      <c r="B16" s="515"/>
      <c r="C16" s="515"/>
      <c r="D16" s="515"/>
      <c r="E16" s="515"/>
      <c r="F16" s="312" t="s">
        <v>44</v>
      </c>
      <c r="G16" s="287">
        <f>+G11+G14</f>
        <v>8053181814</v>
      </c>
      <c r="H16" s="358">
        <f>+H11+H14</f>
        <v>775545944</v>
      </c>
      <c r="I16" s="358"/>
      <c r="J16" s="358"/>
      <c r="K16" s="358"/>
      <c r="L16" s="358"/>
      <c r="M16" s="358"/>
      <c r="N16" s="358"/>
      <c r="O16" s="358"/>
      <c r="P16" s="358"/>
      <c r="Q16" s="358"/>
      <c r="R16" s="358"/>
      <c r="S16" s="358"/>
      <c r="T16" s="359"/>
      <c r="U16" s="358"/>
      <c r="V16" s="358"/>
      <c r="W16" s="358">
        <f t="shared" ref="W16:AK16" si="13">+W11+W14</f>
        <v>775545944</v>
      </c>
      <c r="X16" s="358">
        <f t="shared" si="13"/>
        <v>775545944</v>
      </c>
      <c r="Y16" s="358">
        <f t="shared" si="13"/>
        <v>731213017</v>
      </c>
      <c r="Z16" s="358">
        <f t="shared" si="13"/>
        <v>780545944</v>
      </c>
      <c r="AA16" s="358">
        <f t="shared" si="13"/>
        <v>731213017</v>
      </c>
      <c r="AB16" s="358">
        <f t="shared" si="13"/>
        <v>1914382142</v>
      </c>
      <c r="AC16" s="358">
        <f t="shared" si="13"/>
        <v>62876122</v>
      </c>
      <c r="AD16" s="358">
        <f t="shared" si="13"/>
        <v>62876122</v>
      </c>
      <c r="AE16" s="358">
        <f t="shared" si="13"/>
        <v>242534358</v>
      </c>
      <c r="AF16" s="358">
        <f t="shared" si="13"/>
        <v>242534358</v>
      </c>
      <c r="AG16" s="358">
        <f t="shared" si="13"/>
        <v>453424327</v>
      </c>
      <c r="AH16" s="358">
        <f t="shared" si="13"/>
        <v>453424327</v>
      </c>
      <c r="AI16" s="358">
        <f t="shared" si="13"/>
        <v>133162699</v>
      </c>
      <c r="AJ16" s="358">
        <f t="shared" si="13"/>
        <v>133162699</v>
      </c>
      <c r="AK16" s="358">
        <f t="shared" si="13"/>
        <v>80059278</v>
      </c>
      <c r="AL16" s="358">
        <f t="shared" ref="AL16:BJ16" si="14">+AL11+AL14</f>
        <v>80059278</v>
      </c>
      <c r="AM16" s="358">
        <f t="shared" si="14"/>
        <v>222729343</v>
      </c>
      <c r="AN16" s="358">
        <f t="shared" si="14"/>
        <v>225711492</v>
      </c>
      <c r="AO16" s="358">
        <f t="shared" si="14"/>
        <v>0</v>
      </c>
      <c r="AP16" s="358">
        <f t="shared" si="14"/>
        <v>0</v>
      </c>
      <c r="AQ16" s="358">
        <f t="shared" si="14"/>
        <v>145468477</v>
      </c>
      <c r="AR16" s="358">
        <f t="shared" si="14"/>
        <v>9064999</v>
      </c>
      <c r="AS16" s="358">
        <f t="shared" si="14"/>
        <v>95595406</v>
      </c>
      <c r="AT16" s="358">
        <f t="shared" si="14"/>
        <v>28395387</v>
      </c>
      <c r="AU16" s="358">
        <f t="shared" si="14"/>
        <v>145468477</v>
      </c>
      <c r="AV16" s="358">
        <f t="shared" si="14"/>
        <v>186104768</v>
      </c>
      <c r="AW16" s="358">
        <f t="shared" si="14"/>
        <v>145468477</v>
      </c>
      <c r="AX16" s="358">
        <f t="shared" si="14"/>
        <v>226020001</v>
      </c>
      <c r="AY16" s="358">
        <f t="shared" si="14"/>
        <v>145468478</v>
      </c>
      <c r="AZ16" s="358">
        <f t="shared" si="14"/>
        <v>186969331</v>
      </c>
      <c r="BA16" s="358">
        <f t="shared" si="14"/>
        <v>1872255442</v>
      </c>
      <c r="BB16" s="358">
        <f t="shared" si="14"/>
        <v>1872255442</v>
      </c>
      <c r="BC16" s="358">
        <f t="shared" si="14"/>
        <v>1834322762</v>
      </c>
      <c r="BD16" s="358">
        <f t="shared" si="14"/>
        <v>1872255442</v>
      </c>
      <c r="BE16" s="358">
        <f t="shared" si="14"/>
        <v>1834322762</v>
      </c>
      <c r="BF16" s="358">
        <f t="shared" si="14"/>
        <v>2777211926</v>
      </c>
      <c r="BG16" s="358">
        <f t="shared" si="14"/>
        <v>1236838800</v>
      </c>
      <c r="BH16" s="358">
        <f t="shared" si="14"/>
        <v>665963000</v>
      </c>
      <c r="BI16" s="358">
        <f t="shared" si="14"/>
        <v>114403771</v>
      </c>
      <c r="BJ16" s="358">
        <f t="shared" si="14"/>
        <v>42955919</v>
      </c>
      <c r="BK16" s="358">
        <f t="shared" ref="BK16:CD16" si="15">+BK11+BK14</f>
        <v>810926056</v>
      </c>
      <c r="BL16" s="358">
        <f t="shared" si="15"/>
        <v>0</v>
      </c>
      <c r="BM16" s="358">
        <f t="shared" si="15"/>
        <v>37348492</v>
      </c>
      <c r="BN16" s="358">
        <f t="shared" si="15"/>
        <v>0</v>
      </c>
      <c r="BO16" s="358">
        <f t="shared" si="15"/>
        <v>26178859</v>
      </c>
      <c r="BP16" s="358">
        <f t="shared" si="15"/>
        <v>112000000</v>
      </c>
      <c r="BQ16" s="358">
        <f t="shared" si="15"/>
        <v>150301287</v>
      </c>
      <c r="BR16" s="358">
        <f t="shared" si="15"/>
        <v>38000000</v>
      </c>
      <c r="BS16" s="358">
        <f t="shared" si="15"/>
        <v>217804198</v>
      </c>
      <c r="BT16" s="358">
        <f t="shared" si="15"/>
        <v>514647007</v>
      </c>
      <c r="BU16" s="358">
        <f t="shared" si="15"/>
        <v>124010463</v>
      </c>
      <c r="BV16" s="358">
        <f>+BV11+BV14</f>
        <v>-1518487</v>
      </c>
      <c r="BW16" s="358">
        <f t="shared" si="15"/>
        <v>-109628532</v>
      </c>
      <c r="BX16" s="358">
        <f t="shared" si="15"/>
        <v>-91434667</v>
      </c>
      <c r="BY16" s="358">
        <f t="shared" si="15"/>
        <v>66639641</v>
      </c>
      <c r="BZ16" s="358">
        <f t="shared" si="15"/>
        <v>166034644</v>
      </c>
      <c r="CA16" s="358">
        <f t="shared" si="15"/>
        <v>7518491</v>
      </c>
      <c r="CB16" s="358">
        <f t="shared" si="15"/>
        <v>151804776</v>
      </c>
      <c r="CC16" s="358">
        <f t="shared" si="15"/>
        <v>8481509</v>
      </c>
      <c r="CD16" s="358">
        <f t="shared" si="15"/>
        <v>851512450</v>
      </c>
      <c r="CE16" s="358">
        <f t="shared" si="12"/>
        <v>2690823035</v>
      </c>
      <c r="CF16" s="358">
        <f t="shared" si="12"/>
        <v>2690823035</v>
      </c>
      <c r="CG16" s="358">
        <f t="shared" si="12"/>
        <v>2449964642</v>
      </c>
      <c r="CH16" s="359">
        <f t="shared" si="12"/>
        <v>2690823035</v>
      </c>
      <c r="CI16" s="359">
        <f>+CI11+CI14</f>
        <v>2449964642</v>
      </c>
      <c r="CJ16" s="358">
        <f t="shared" si="12"/>
        <v>1984184000</v>
      </c>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9">
        <f>DG16+DE16+DC16+DA16+CY16+CW16+CU16+CS16+CQ16+CO16+CM16+CK16</f>
        <v>0</v>
      </c>
      <c r="DJ16" s="358">
        <f>+DJ11+DJ14</f>
        <v>0</v>
      </c>
      <c r="DK16" s="360">
        <f>DK11+DK14</f>
        <v>0</v>
      </c>
      <c r="DL16" s="358">
        <f>+DL11+DL14</f>
        <v>0</v>
      </c>
      <c r="DM16" s="358">
        <f>+DM11+DM14</f>
        <v>0</v>
      </c>
      <c r="DN16" s="358">
        <f>+DN11+DN14</f>
        <v>812639000</v>
      </c>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2">
        <f>EK16+EI16+EG16+EE16+EC16+EA16+DY16+DW16+DU16+DS16+DQ16+DO16</f>
        <v>0</v>
      </c>
      <c r="EN16" s="363">
        <f>+EN11+EN14</f>
        <v>0</v>
      </c>
      <c r="EO16" s="364">
        <f>EO11+EO14</f>
        <v>0</v>
      </c>
      <c r="EP16" s="363">
        <f>+EP11+EP14</f>
        <v>0</v>
      </c>
      <c r="EQ16" s="363">
        <f>+EQ11+EQ14</f>
        <v>0</v>
      </c>
      <c r="ER16" s="365">
        <f t="shared" si="4"/>
        <v>100.39633867039461</v>
      </c>
      <c r="ES16" s="283">
        <f t="shared" si="6"/>
        <v>0.91048895082764147</v>
      </c>
      <c r="ET16" s="284">
        <f t="shared" si="7"/>
        <v>0.91048895082764147</v>
      </c>
      <c r="EU16" s="285">
        <f t="shared" si="5"/>
        <v>0.93859523534054901</v>
      </c>
      <c r="EV16" s="286">
        <f t="shared" si="8"/>
        <v>0.62279736591577217</v>
      </c>
      <c r="EW16" s="517"/>
      <c r="EX16" s="475" t="s">
        <v>568</v>
      </c>
      <c r="EY16" s="475" t="s">
        <v>568</v>
      </c>
      <c r="EZ16" s="476"/>
      <c r="FA16" s="476"/>
      <c r="FB16" s="523"/>
    </row>
    <row r="17" spans="1:159" s="109" customFormat="1" ht="42.75" customHeight="1" x14ac:dyDescent="0.25">
      <c r="A17" s="515" t="s">
        <v>304</v>
      </c>
      <c r="B17" s="515">
        <v>2</v>
      </c>
      <c r="C17" s="515" t="s">
        <v>699</v>
      </c>
      <c r="D17" s="515" t="s">
        <v>266</v>
      </c>
      <c r="E17" s="515">
        <v>272</v>
      </c>
      <c r="F17" s="311" t="s">
        <v>40</v>
      </c>
      <c r="G17" s="344">
        <f>+AA17+BE17+CH17+CJ17+DN17</f>
        <v>30</v>
      </c>
      <c r="H17" s="345">
        <v>4</v>
      </c>
      <c r="I17" s="345"/>
      <c r="J17" s="345"/>
      <c r="K17" s="345"/>
      <c r="L17" s="345"/>
      <c r="M17" s="345"/>
      <c r="N17" s="345"/>
      <c r="O17" s="345"/>
      <c r="P17" s="345"/>
      <c r="Q17" s="345"/>
      <c r="R17" s="345"/>
      <c r="S17" s="345"/>
      <c r="T17" s="346"/>
      <c r="U17" s="345"/>
      <c r="V17" s="345"/>
      <c r="W17" s="345">
        <v>4</v>
      </c>
      <c r="X17" s="345">
        <v>4</v>
      </c>
      <c r="Y17" s="345">
        <v>4</v>
      </c>
      <c r="Z17" s="345">
        <v>4</v>
      </c>
      <c r="AA17" s="345">
        <v>4</v>
      </c>
      <c r="AB17" s="345">
        <v>8</v>
      </c>
      <c r="AC17" s="347">
        <v>0.2</v>
      </c>
      <c r="AD17" s="347">
        <v>0.2</v>
      </c>
      <c r="AE17" s="347">
        <v>0.25</v>
      </c>
      <c r="AF17" s="347">
        <v>0.25</v>
      </c>
      <c r="AG17" s="347">
        <v>0.55000000000000004</v>
      </c>
      <c r="AH17" s="347">
        <v>0.55000000000000004</v>
      </c>
      <c r="AI17" s="347">
        <v>0.6</v>
      </c>
      <c r="AJ17" s="347">
        <v>0.6</v>
      </c>
      <c r="AK17" s="347">
        <v>0.7</v>
      </c>
      <c r="AL17" s="347">
        <v>0.7</v>
      </c>
      <c r="AM17" s="347">
        <v>0.7</v>
      </c>
      <c r="AN17" s="347">
        <v>0.7</v>
      </c>
      <c r="AO17" s="347">
        <v>0.75</v>
      </c>
      <c r="AP17" s="347">
        <v>0.75</v>
      </c>
      <c r="AQ17" s="347">
        <v>0.85</v>
      </c>
      <c r="AR17" s="347">
        <v>0.85</v>
      </c>
      <c r="AS17" s="347">
        <v>1.05</v>
      </c>
      <c r="AT17" s="347">
        <v>1.05</v>
      </c>
      <c r="AU17" s="347">
        <v>0.85</v>
      </c>
      <c r="AV17" s="347">
        <v>0.85</v>
      </c>
      <c r="AW17" s="347">
        <v>0.6</v>
      </c>
      <c r="AX17" s="347">
        <v>0.6</v>
      </c>
      <c r="AY17" s="347">
        <v>0.9</v>
      </c>
      <c r="AZ17" s="347">
        <v>0.9</v>
      </c>
      <c r="BA17" s="345">
        <f>AY17+AW17+AU17+AS17+AQ17+AO17+AM17+AK17+AI17+AG17+AE17+AC17</f>
        <v>8</v>
      </c>
      <c r="BB17" s="345">
        <f t="shared" ref="BB17:BC21" si="16">AC17+AE17+AG17+AI17+AK17+AM17+AO17+AQ17+AS17+AU17+AW17+AY17</f>
        <v>7.9999999999999991</v>
      </c>
      <c r="BC17" s="345">
        <f t="shared" si="16"/>
        <v>7.9999999999999991</v>
      </c>
      <c r="BD17" s="345">
        <f>AE17+AG17+AI17+AK17+AM17+AO17+AQ17+AS17+AU17+AW17+AY17+AC17</f>
        <v>7.9999999999999991</v>
      </c>
      <c r="BE17" s="345">
        <f>AD17+AF17+AH17+AJ17+AL17+AN17+AP17+AR17+AT17+AV17+AX17+AZ17</f>
        <v>7.9999999999999991</v>
      </c>
      <c r="BF17" s="347">
        <v>6</v>
      </c>
      <c r="BG17" s="347">
        <v>0.2</v>
      </c>
      <c r="BH17" s="347">
        <v>0</v>
      </c>
      <c r="BI17" s="347">
        <v>0.25</v>
      </c>
      <c r="BJ17" s="347">
        <v>0.45</v>
      </c>
      <c r="BK17" s="347">
        <v>0.55000000000000004</v>
      </c>
      <c r="BL17" s="347">
        <v>0.55000000000000004</v>
      </c>
      <c r="BM17" s="347">
        <v>0.60000000000000009</v>
      </c>
      <c r="BN17" s="347">
        <v>0.6</v>
      </c>
      <c r="BO17" s="347">
        <v>0.7</v>
      </c>
      <c r="BP17" s="347">
        <v>0.7</v>
      </c>
      <c r="BQ17" s="347">
        <v>0.7</v>
      </c>
      <c r="BR17" s="347">
        <v>0.7</v>
      </c>
      <c r="BS17" s="347">
        <v>0.30000000000000004</v>
      </c>
      <c r="BT17" s="347">
        <v>0.3</v>
      </c>
      <c r="BU17" s="347">
        <v>0.2</v>
      </c>
      <c r="BV17" s="347">
        <v>0.2</v>
      </c>
      <c r="BW17" s="347">
        <v>0.6</v>
      </c>
      <c r="BX17" s="347">
        <v>0.6</v>
      </c>
      <c r="BY17" s="347">
        <f>0.6+1</f>
        <v>1.6</v>
      </c>
      <c r="BZ17" s="347">
        <v>0.6</v>
      </c>
      <c r="CA17" s="347">
        <v>0.7</v>
      </c>
      <c r="CB17" s="347">
        <v>0.7</v>
      </c>
      <c r="CC17" s="347">
        <v>0.6</v>
      </c>
      <c r="CD17" s="347">
        <v>0.6</v>
      </c>
      <c r="CE17" s="347">
        <f>CC17+CA17+BY17+BW17+BU17+BS17+BQ17+BO17+BM17+BK17+BI17+BG17</f>
        <v>7</v>
      </c>
      <c r="CF17" s="347">
        <f t="shared" ref="CF17:CG21" si="17">+BG17+BI17+BK17+BM17+BO17+BQ17+BS17+BU17+BW17+BY17+CA17+CC17</f>
        <v>6.9999999999999991</v>
      </c>
      <c r="CG17" s="348">
        <f t="shared" si="17"/>
        <v>5.9999999999999991</v>
      </c>
      <c r="CH17" s="348">
        <f>CC17+CA17+BY17+BW17+BU17+BS17+BQ17+BO17+BM17+BK17+BI17+BG17</f>
        <v>7</v>
      </c>
      <c r="CI17" s="348">
        <f>+BH17+BJ17+BL17+BN17+BP17+BR17+BT17+BV17+BX17+BZ17+CB17+CD17</f>
        <v>5.9999999999999991</v>
      </c>
      <c r="CJ17" s="345">
        <v>7</v>
      </c>
      <c r="CK17" s="345"/>
      <c r="CL17" s="345"/>
      <c r="CM17" s="345"/>
      <c r="CN17" s="345"/>
      <c r="CO17" s="345"/>
      <c r="CP17" s="345"/>
      <c r="CQ17" s="345"/>
      <c r="CR17" s="345"/>
      <c r="CS17" s="345"/>
      <c r="CT17" s="345"/>
      <c r="CU17" s="345"/>
      <c r="CV17" s="345"/>
      <c r="CW17" s="345"/>
      <c r="CX17" s="345"/>
      <c r="CY17" s="345"/>
      <c r="CZ17" s="345"/>
      <c r="DA17" s="345"/>
      <c r="DB17" s="345"/>
      <c r="DC17" s="345"/>
      <c r="DD17" s="345"/>
      <c r="DE17" s="345"/>
      <c r="DF17" s="345"/>
      <c r="DG17" s="345"/>
      <c r="DH17" s="345"/>
      <c r="DI17" s="346">
        <f>DG17+DE17+DC17+DA17+CY17+CW17+CU17+CS17+CQ17+CO17+CM17+CK17</f>
        <v>0</v>
      </c>
      <c r="DJ17" s="345">
        <f>CK17+CM17+CO17+CQ17</f>
        <v>0</v>
      </c>
      <c r="DK17" s="346">
        <f>CL17+CN17+CP17+CR17</f>
        <v>0</v>
      </c>
      <c r="DL17" s="349">
        <f>CM17+CO17+CQ17+CS17+CU17+CW17+CY17+DA17+DC17+DE17+DG17+CK17</f>
        <v>0</v>
      </c>
      <c r="DM17" s="345">
        <f>CL17+CN17+CP17+CR17</f>
        <v>0</v>
      </c>
      <c r="DN17" s="345">
        <v>4</v>
      </c>
      <c r="DO17" s="350"/>
      <c r="DP17" s="350"/>
      <c r="DQ17" s="350"/>
      <c r="DR17" s="350"/>
      <c r="DS17" s="350"/>
      <c r="DT17" s="350"/>
      <c r="DU17" s="350"/>
      <c r="DV17" s="350"/>
      <c r="DW17" s="350"/>
      <c r="DX17" s="350"/>
      <c r="DY17" s="350"/>
      <c r="DZ17" s="350"/>
      <c r="EA17" s="350"/>
      <c r="EB17" s="350"/>
      <c r="EC17" s="350"/>
      <c r="ED17" s="350"/>
      <c r="EE17" s="350"/>
      <c r="EF17" s="350"/>
      <c r="EG17" s="351"/>
      <c r="EH17" s="351"/>
      <c r="EI17" s="351"/>
      <c r="EJ17" s="351"/>
      <c r="EK17" s="351"/>
      <c r="EL17" s="351"/>
      <c r="EM17" s="352">
        <f>EK17+EI17+EG17+EE17+EC17+EA17+DY17+DW17+DU17+DS17+DQ17+DO17</f>
        <v>0</v>
      </c>
      <c r="EN17" s="351">
        <f t="shared" ref="EN17:EN22" si="18">DO17+DQ17+DS17+DU17</f>
        <v>0</v>
      </c>
      <c r="EO17" s="352">
        <f t="shared" ref="EO17:EO22" si="19">DP17+DR17+DT17+DV17</f>
        <v>0</v>
      </c>
      <c r="EP17" s="353">
        <f>DQ17+DS17+DU17+DW17+DY17+EA17+EC17+EE17+EG17+EI17+EK17+DO17</f>
        <v>0</v>
      </c>
      <c r="EQ17" s="351">
        <f>DP17+DR17+DT17+DV17</f>
        <v>0</v>
      </c>
      <c r="ER17" s="354">
        <f t="shared" si="4"/>
        <v>1</v>
      </c>
      <c r="ES17" s="355">
        <f t="shared" si="6"/>
        <v>0.8571428571428571</v>
      </c>
      <c r="ET17" s="356">
        <f t="shared" si="7"/>
        <v>0.85714285714285698</v>
      </c>
      <c r="EU17" s="357">
        <f t="shared" si="5"/>
        <v>0.94736842105263153</v>
      </c>
      <c r="EV17" s="356">
        <f t="shared" si="8"/>
        <v>0.6</v>
      </c>
      <c r="EW17" s="516" t="s">
        <v>662</v>
      </c>
      <c r="EX17" s="475" t="s">
        <v>661</v>
      </c>
      <c r="EY17" s="475" t="s">
        <v>660</v>
      </c>
      <c r="EZ17" s="476" t="s">
        <v>529</v>
      </c>
      <c r="FA17" s="476" t="s">
        <v>530</v>
      </c>
      <c r="FB17" s="523"/>
      <c r="FC17" s="3"/>
    </row>
    <row r="18" spans="1:159" s="113" customFormat="1" ht="42.75" customHeight="1" x14ac:dyDescent="0.25">
      <c r="A18" s="515"/>
      <c r="B18" s="515"/>
      <c r="C18" s="515"/>
      <c r="D18" s="515"/>
      <c r="E18" s="515"/>
      <c r="F18" s="312" t="s">
        <v>3</v>
      </c>
      <c r="G18" s="317">
        <f>AA18+BE18+CH18+CJ18+DN18</f>
        <v>11831138754</v>
      </c>
      <c r="H18" s="107">
        <v>613840322</v>
      </c>
      <c r="I18" s="108"/>
      <c r="J18" s="108"/>
      <c r="K18" s="108"/>
      <c r="L18" s="108"/>
      <c r="M18" s="108"/>
      <c r="N18" s="108"/>
      <c r="O18" s="108"/>
      <c r="P18" s="108"/>
      <c r="Q18" s="108"/>
      <c r="R18" s="108"/>
      <c r="S18" s="108"/>
      <c r="T18" s="118"/>
      <c r="U18" s="119"/>
      <c r="V18" s="119"/>
      <c r="W18" s="107">
        <v>613840322</v>
      </c>
      <c r="X18" s="107">
        <v>613840322</v>
      </c>
      <c r="Y18" s="119">
        <v>670473105</v>
      </c>
      <c r="Z18" s="119">
        <v>826840322</v>
      </c>
      <c r="AA18" s="119">
        <v>670473105</v>
      </c>
      <c r="AB18" s="119">
        <v>1374057000</v>
      </c>
      <c r="AC18" s="108">
        <v>0</v>
      </c>
      <c r="AD18" s="108">
        <v>0</v>
      </c>
      <c r="AE18" s="119">
        <v>582050000</v>
      </c>
      <c r="AF18" s="108">
        <f>582050000-AD18</f>
        <v>582050000</v>
      </c>
      <c r="AG18" s="108">
        <v>539567000</v>
      </c>
      <c r="AH18" s="108">
        <f>1121617000-AF18-AD18</f>
        <v>539567000</v>
      </c>
      <c r="AI18" s="108">
        <v>94112000</v>
      </c>
      <c r="AJ18" s="108">
        <f>1215729000-AH18-AF18-AD18</f>
        <v>94112000</v>
      </c>
      <c r="AK18" s="108">
        <v>0</v>
      </c>
      <c r="AL18" s="108">
        <f>1215729000-AJ18-AH18-AF18-AD18</f>
        <v>0</v>
      </c>
      <c r="AM18" s="108">
        <v>0</v>
      </c>
      <c r="AN18" s="108">
        <v>0</v>
      </c>
      <c r="AO18" s="108">
        <v>0</v>
      </c>
      <c r="AP18" s="108">
        <v>24890000</v>
      </c>
      <c r="AQ18" s="108">
        <f>15755000+22212600</f>
        <v>37967600</v>
      </c>
      <c r="AR18" s="108">
        <v>0</v>
      </c>
      <c r="AS18" s="108">
        <f>15755000+22212600+15940314</f>
        <v>53907914</v>
      </c>
      <c r="AT18" s="108">
        <v>15763667</v>
      </c>
      <c r="AU18" s="108">
        <f>15755000+22212600</f>
        <v>37967600</v>
      </c>
      <c r="AV18" s="108">
        <v>42747866</v>
      </c>
      <c r="AW18" s="108">
        <v>22212600</v>
      </c>
      <c r="AX18" s="108">
        <v>26787667</v>
      </c>
      <c r="AY18" s="108">
        <v>22212600</v>
      </c>
      <c r="AZ18" s="108">
        <v>12430600</v>
      </c>
      <c r="BA18" s="117">
        <f>AY18+AW18+AU18+AS18+AQ18+AO18+AM18+AK18+AI18+AG18+AE18+AC18</f>
        <v>1389997314</v>
      </c>
      <c r="BB18" s="117">
        <f t="shared" si="16"/>
        <v>1389997314</v>
      </c>
      <c r="BC18" s="117">
        <f t="shared" si="16"/>
        <v>1338348800</v>
      </c>
      <c r="BD18" s="117">
        <f>AE18+AG18+AI18+AK18+AM18+AO18+AQ18+AS18+AU18+AW18+AY18+AC18</f>
        <v>1389997314</v>
      </c>
      <c r="BE18" s="117">
        <f>AD18+AF18+AH18+AJ18+AL18+AN18+AP18+AR18+AT18+AV18+AX18+AZ18</f>
        <v>1338348800</v>
      </c>
      <c r="BF18" s="117">
        <v>6130432000</v>
      </c>
      <c r="BG18" s="108">
        <v>1620441000</v>
      </c>
      <c r="BH18" s="108">
        <v>1835843000</v>
      </c>
      <c r="BI18" s="108">
        <v>0</v>
      </c>
      <c r="BJ18" s="108">
        <v>0</v>
      </c>
      <c r="BK18" s="108">
        <f>25000000+88827000</f>
        <v>113827000</v>
      </c>
      <c r="BL18" s="108">
        <v>0</v>
      </c>
      <c r="BM18" s="108">
        <v>450000000</v>
      </c>
      <c r="BN18" s="108">
        <v>0</v>
      </c>
      <c r="BO18" s="108">
        <v>0</v>
      </c>
      <c r="BP18" s="108">
        <v>0</v>
      </c>
      <c r="BQ18" s="108">
        <v>4034991000</v>
      </c>
      <c r="BR18" s="108">
        <v>90000000</v>
      </c>
      <c r="BS18" s="108">
        <v>0</v>
      </c>
      <c r="BT18" s="108">
        <v>-45866000</v>
      </c>
      <c r="BU18" s="108">
        <v>-60207700</v>
      </c>
      <c r="BV18" s="108">
        <v>0</v>
      </c>
      <c r="BW18" s="108">
        <v>-622145332</v>
      </c>
      <c r="BX18" s="108">
        <v>235812834</v>
      </c>
      <c r="BY18" s="108">
        <v>699803138</v>
      </c>
      <c r="BZ18" s="108">
        <v>220773700</v>
      </c>
      <c r="CA18" s="108">
        <v>211140743</v>
      </c>
      <c r="CB18" s="108">
        <v>2941298639</v>
      </c>
      <c r="CC18" s="108">
        <v>-456000000</v>
      </c>
      <c r="CD18" s="108">
        <v>428033688</v>
      </c>
      <c r="CE18" s="108">
        <f>CC18+CA18+BY18+BW18+BU18+BS18+BQ18+BO18+BM18+BK18+BI18+BG18</f>
        <v>5991849849</v>
      </c>
      <c r="CF18" s="108">
        <f t="shared" si="17"/>
        <v>5991849849</v>
      </c>
      <c r="CG18" s="108">
        <f t="shared" si="17"/>
        <v>5705895861</v>
      </c>
      <c r="CH18" s="107">
        <f>CC18+CA18+BY18+BW18+BU18+BS18+BQ18+BO18+BM18+BK18+BI18+BG18</f>
        <v>5991849849</v>
      </c>
      <c r="CI18" s="107">
        <f>+BH18+BJ18+BL18+BN18+BP18+BR18+BT18+BV18+BX18+BZ18+CB18+CD18</f>
        <v>5705895861</v>
      </c>
      <c r="CJ18" s="108">
        <v>3039461000</v>
      </c>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7">
        <f>DG18+DE18+DC18+DA18+CY18+CW18+CU18+CS18+CQ18+CO18+CM18+CK18</f>
        <v>0</v>
      </c>
      <c r="DJ18" s="117">
        <f>CK18+CM18+CO18+CQ18</f>
        <v>0</v>
      </c>
      <c r="DK18" s="117">
        <f>CL18+CN18+CP18+CR18</f>
        <v>0</v>
      </c>
      <c r="DL18" s="107">
        <f>CM18+CO18+CQ18+CS18+CU18+CW18+CY18+DA18+DC18+DE18+DG18+CK18</f>
        <v>0</v>
      </c>
      <c r="DM18" s="117">
        <f>CL18+CN18+CP18+CR18</f>
        <v>0</v>
      </c>
      <c r="DN18" s="108">
        <v>791006000</v>
      </c>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271">
        <f>EK18+EI18+EG18+EE18+EC18+EA18+DY18+DW18+DU18+DS18+DQ18+DO18</f>
        <v>0</v>
      </c>
      <c r="EN18" s="111">
        <f t="shared" si="18"/>
        <v>0</v>
      </c>
      <c r="EO18" s="111">
        <f t="shared" si="19"/>
        <v>0</v>
      </c>
      <c r="EP18" s="112">
        <f>DQ18+DS18+DU18+DW18+DY18+EA18+EC18+EE18+EG18+EI18+EK18+DO18</f>
        <v>0</v>
      </c>
      <c r="EQ18" s="111">
        <f>DP18+DR18+DT18+DV18</f>
        <v>0</v>
      </c>
      <c r="ER18" s="123">
        <f t="shared" si="4"/>
        <v>-0.93867036842105267</v>
      </c>
      <c r="ES18" s="277">
        <f t="shared" si="6"/>
        <v>0.95227617593793279</v>
      </c>
      <c r="ET18" s="278">
        <f t="shared" si="7"/>
        <v>0.95227617593793279</v>
      </c>
      <c r="EU18" s="279">
        <f t="shared" si="5"/>
        <v>0.93982354427517834</v>
      </c>
      <c r="EV18" s="278">
        <f t="shared" si="8"/>
        <v>0.65206891123576116</v>
      </c>
      <c r="EW18" s="516"/>
      <c r="EX18" s="475" t="s">
        <v>568</v>
      </c>
      <c r="EY18" s="475" t="s">
        <v>568</v>
      </c>
      <c r="EZ18" s="476"/>
      <c r="FA18" s="476"/>
      <c r="FB18" s="523"/>
    </row>
    <row r="19" spans="1:159" s="113" customFormat="1" ht="42.75" customHeight="1" x14ac:dyDescent="0.25">
      <c r="A19" s="515"/>
      <c r="B19" s="515"/>
      <c r="C19" s="515"/>
      <c r="D19" s="515"/>
      <c r="E19" s="515"/>
      <c r="F19" s="313" t="s">
        <v>216</v>
      </c>
      <c r="G19" s="318"/>
      <c r="H19" s="107"/>
      <c r="I19" s="108"/>
      <c r="J19" s="108"/>
      <c r="K19" s="108"/>
      <c r="L19" s="108"/>
      <c r="M19" s="108"/>
      <c r="N19" s="108"/>
      <c r="O19" s="108"/>
      <c r="P19" s="108"/>
      <c r="Q19" s="108"/>
      <c r="R19" s="108"/>
      <c r="S19" s="108"/>
      <c r="T19" s="118"/>
      <c r="U19" s="119"/>
      <c r="V19" s="119"/>
      <c r="W19" s="107"/>
      <c r="X19" s="107"/>
      <c r="Y19" s="107"/>
      <c r="Z19" s="119"/>
      <c r="AA19" s="119"/>
      <c r="AB19" s="119"/>
      <c r="AC19" s="108">
        <v>0</v>
      </c>
      <c r="AD19" s="108">
        <v>0</v>
      </c>
      <c r="AE19" s="119">
        <v>0</v>
      </c>
      <c r="AF19" s="108">
        <v>0</v>
      </c>
      <c r="AG19" s="108">
        <v>3498367</v>
      </c>
      <c r="AH19" s="108">
        <v>3498367</v>
      </c>
      <c r="AI19" s="108">
        <v>88785267</v>
      </c>
      <c r="AJ19" s="108">
        <f>92283634-AH19</f>
        <v>88785267</v>
      </c>
      <c r="AK19" s="108">
        <v>122743101</v>
      </c>
      <c r="AL19" s="108">
        <f>211528368-AJ19-AH19</f>
        <v>119244734</v>
      </c>
      <c r="AM19" s="108">
        <v>175067700</v>
      </c>
      <c r="AN19" s="108">
        <v>175067700</v>
      </c>
      <c r="AO19" s="108">
        <v>0</v>
      </c>
      <c r="AP19" s="108">
        <v>147283000</v>
      </c>
      <c r="AQ19" s="108">
        <v>0</v>
      </c>
      <c r="AR19" s="108">
        <v>142960000</v>
      </c>
      <c r="AS19" s="108">
        <v>0</v>
      </c>
      <c r="AT19" s="108">
        <v>149431400</v>
      </c>
      <c r="AU19" s="108">
        <v>0</v>
      </c>
      <c r="AV19" s="108">
        <v>147938000</v>
      </c>
      <c r="AW19" s="108">
        <v>0</v>
      </c>
      <c r="AX19" s="108">
        <v>139522000</v>
      </c>
      <c r="AY19" s="108">
        <v>0</v>
      </c>
      <c r="AZ19" s="108">
        <v>169754698</v>
      </c>
      <c r="BA19" s="117">
        <f>AY19+AW19+AU19+AS19+AQ19+AO19+AM19+AK19+AI19+AG19+AE19+AC19</f>
        <v>390094435</v>
      </c>
      <c r="BB19" s="117">
        <f t="shared" si="16"/>
        <v>390094435</v>
      </c>
      <c r="BC19" s="117">
        <f t="shared" si="16"/>
        <v>1283485166</v>
      </c>
      <c r="BD19" s="117">
        <f>AE19+AG19+AI19+AK19+AM19+AO19+AQ19+AS19+AU19+AW19+AY19+AC19</f>
        <v>390094435</v>
      </c>
      <c r="BE19" s="117">
        <f>AD19+AF19+AH19+AJ19+AL19+AN19+AP19+AR19+AT19+AV19+AX19+AZ19</f>
        <v>1283485166</v>
      </c>
      <c r="BF19" s="108">
        <v>0</v>
      </c>
      <c r="BG19" s="120">
        <v>0</v>
      </c>
      <c r="BH19" s="120">
        <v>0</v>
      </c>
      <c r="BI19" s="120"/>
      <c r="BJ19" s="108">
        <v>3828801</v>
      </c>
      <c r="BK19" s="120"/>
      <c r="BL19" s="108">
        <v>168435968</v>
      </c>
      <c r="BM19" s="120"/>
      <c r="BN19" s="108">
        <v>230989133</v>
      </c>
      <c r="BO19" s="120"/>
      <c r="BP19" s="108">
        <v>200317933</v>
      </c>
      <c r="BQ19" s="120"/>
      <c r="BR19" s="108">
        <v>220946000</v>
      </c>
      <c r="BS19" s="120"/>
      <c r="BT19" s="108">
        <v>196290000</v>
      </c>
      <c r="BU19" s="120">
        <v>0</v>
      </c>
      <c r="BV19" s="108">
        <v>209790500</v>
      </c>
      <c r="BW19" s="120">
        <v>0</v>
      </c>
      <c r="BX19" s="108">
        <v>188565633</v>
      </c>
      <c r="BY19" s="120">
        <v>0</v>
      </c>
      <c r="BZ19" s="108">
        <v>196695592</v>
      </c>
      <c r="CA19" s="120">
        <v>0</v>
      </c>
      <c r="CB19" s="108">
        <v>2955742324</v>
      </c>
      <c r="CC19" s="120">
        <v>0</v>
      </c>
      <c r="CD19" s="108">
        <v>362171772</v>
      </c>
      <c r="CE19" s="120">
        <f>CC19+CA19+BY19+BW19+BU19+BS19+BQ19+BO19+BM19+BK19+BI19+BG19</f>
        <v>0</v>
      </c>
      <c r="CF19" s="108">
        <f t="shared" si="17"/>
        <v>0</v>
      </c>
      <c r="CG19" s="108">
        <f t="shared" si="17"/>
        <v>4933773656</v>
      </c>
      <c r="CH19" s="107">
        <f>CC19+CA19+BY19+BW19+BU19+BS19+BQ19+BO19+BM19+BK19+BI19+BG19</f>
        <v>0</v>
      </c>
      <c r="CI19" s="107">
        <f>+BH19+BJ19+BL19+BN19+BP19+BR19+BT19+BV19+BX19+BZ19+CB19+CD19</f>
        <v>4933773656</v>
      </c>
      <c r="CJ19" s="108">
        <v>0</v>
      </c>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7"/>
      <c r="DJ19" s="117"/>
      <c r="DK19" s="117"/>
      <c r="DL19" s="107"/>
      <c r="DM19" s="117"/>
      <c r="DN19" s="108">
        <v>0</v>
      </c>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271">
        <f>EI19+EG19+EE19+EC19+EA19+DY19+DW19+DU19+DS19+DQ19+DO19+EK19</f>
        <v>0</v>
      </c>
      <c r="EN19" s="111">
        <f t="shared" si="18"/>
        <v>0</v>
      </c>
      <c r="EO19" s="111">
        <f t="shared" si="19"/>
        <v>0</v>
      </c>
      <c r="EP19" s="107">
        <f>DQ19+DS19+DU19+DW19+DY19+EA19+EC19+EE19+EG19+EI19+EK19</f>
        <v>0</v>
      </c>
      <c r="EQ19" s="111">
        <f>DP19+DR19+DT19+DV19</f>
        <v>0</v>
      </c>
      <c r="ER19" s="123" t="e">
        <f t="shared" si="4"/>
        <v>#DIV/0!</v>
      </c>
      <c r="ES19" s="277" t="e">
        <f t="shared" si="6"/>
        <v>#DIV/0!</v>
      </c>
      <c r="ET19" s="278" t="e">
        <f t="shared" si="7"/>
        <v>#DIV/0!</v>
      </c>
      <c r="EU19" s="279">
        <f t="shared" si="5"/>
        <v>15.937830084656296</v>
      </c>
      <c r="EV19" s="278" t="e">
        <f t="shared" si="8"/>
        <v>#DIV/0!</v>
      </c>
      <c r="EW19" s="516"/>
      <c r="EX19" s="475" t="s">
        <v>568</v>
      </c>
      <c r="EY19" s="475" t="s">
        <v>568</v>
      </c>
      <c r="EZ19" s="476"/>
      <c r="FA19" s="476"/>
      <c r="FB19" s="523"/>
    </row>
    <row r="20" spans="1:159" s="109" customFormat="1" ht="42.75" customHeight="1" x14ac:dyDescent="0.25">
      <c r="A20" s="515"/>
      <c r="B20" s="515"/>
      <c r="C20" s="515"/>
      <c r="D20" s="515"/>
      <c r="E20" s="515"/>
      <c r="F20" s="311" t="s">
        <v>41</v>
      </c>
      <c r="G20" s="319">
        <f>+AA20+BD20+BF20+CJ20+DN20</f>
        <v>0</v>
      </c>
      <c r="H20" s="274">
        <v>0</v>
      </c>
      <c r="I20" s="274"/>
      <c r="J20" s="274"/>
      <c r="K20" s="274"/>
      <c r="L20" s="274"/>
      <c r="M20" s="274"/>
      <c r="N20" s="274"/>
      <c r="O20" s="274"/>
      <c r="P20" s="274"/>
      <c r="Q20" s="274"/>
      <c r="R20" s="274"/>
      <c r="S20" s="274"/>
      <c r="T20" s="291"/>
      <c r="U20" s="274"/>
      <c r="V20" s="274"/>
      <c r="W20" s="274">
        <v>0</v>
      </c>
      <c r="X20" s="274">
        <v>0</v>
      </c>
      <c r="Y20" s="274">
        <v>0</v>
      </c>
      <c r="Z20" s="274">
        <v>0</v>
      </c>
      <c r="AA20" s="274">
        <v>0</v>
      </c>
      <c r="AB20" s="274">
        <v>0</v>
      </c>
      <c r="AC20" s="274">
        <v>0</v>
      </c>
      <c r="AD20" s="274">
        <v>0</v>
      </c>
      <c r="AE20" s="274">
        <v>0</v>
      </c>
      <c r="AF20" s="274">
        <v>0</v>
      </c>
      <c r="AG20" s="274">
        <v>0</v>
      </c>
      <c r="AH20" s="274">
        <v>0</v>
      </c>
      <c r="AI20" s="274">
        <v>0</v>
      </c>
      <c r="AJ20" s="274">
        <v>0</v>
      </c>
      <c r="AK20" s="274">
        <v>0</v>
      </c>
      <c r="AL20" s="274">
        <v>0</v>
      </c>
      <c r="AM20" s="274">
        <v>0</v>
      </c>
      <c r="AN20" s="274">
        <v>0</v>
      </c>
      <c r="AO20" s="274">
        <v>0</v>
      </c>
      <c r="AP20" s="274">
        <v>0</v>
      </c>
      <c r="AQ20" s="274">
        <v>0</v>
      </c>
      <c r="AR20" s="274">
        <v>0</v>
      </c>
      <c r="AS20" s="274">
        <v>0</v>
      </c>
      <c r="AT20" s="274">
        <v>0</v>
      </c>
      <c r="AU20" s="274">
        <v>0</v>
      </c>
      <c r="AV20" s="274">
        <v>0</v>
      </c>
      <c r="AW20" s="274">
        <v>0</v>
      </c>
      <c r="AX20" s="274">
        <v>0</v>
      </c>
      <c r="AY20" s="274">
        <v>0</v>
      </c>
      <c r="AZ20" s="274">
        <v>0</v>
      </c>
      <c r="BA20" s="274">
        <f>AY20+AW20+AU20+AS20+AQ20+AO20+AM20+AK20+AI20+AG20+AE20+AC20</f>
        <v>0</v>
      </c>
      <c r="BB20" s="274">
        <f t="shared" si="16"/>
        <v>0</v>
      </c>
      <c r="BC20" s="274">
        <f t="shared" si="16"/>
        <v>0</v>
      </c>
      <c r="BD20" s="274">
        <f>AE20+AG20+AI20+AK20+AM20+AO20+AQ20+AS20+AU20+AW20+AY20+AC20</f>
        <v>0</v>
      </c>
      <c r="BE20" s="274">
        <f>AD20+AF20+AH20+AJ20+AL20+AN20+AP20+AR20+AT20+AV20+AX20+AZ20</f>
        <v>0</v>
      </c>
      <c r="BF20" s="274">
        <v>0</v>
      </c>
      <c r="BG20" s="293">
        <v>0</v>
      </c>
      <c r="BH20" s="293">
        <v>0</v>
      </c>
      <c r="BI20" s="293">
        <v>0</v>
      </c>
      <c r="BJ20" s="293">
        <v>0</v>
      </c>
      <c r="BK20" s="293">
        <v>0</v>
      </c>
      <c r="BL20" s="293">
        <v>0</v>
      </c>
      <c r="BM20" s="293">
        <v>0</v>
      </c>
      <c r="BN20" s="293">
        <v>0</v>
      </c>
      <c r="BO20" s="293">
        <v>0</v>
      </c>
      <c r="BP20" s="293">
        <v>0</v>
      </c>
      <c r="BQ20" s="293">
        <v>0</v>
      </c>
      <c r="BR20" s="293">
        <v>0</v>
      </c>
      <c r="BS20" s="293">
        <v>0</v>
      </c>
      <c r="BT20" s="293">
        <v>0</v>
      </c>
      <c r="BU20" s="293">
        <v>0</v>
      </c>
      <c r="BV20" s="293">
        <v>0</v>
      </c>
      <c r="BW20" s="293">
        <v>0</v>
      </c>
      <c r="BX20" s="293">
        <v>0</v>
      </c>
      <c r="BY20" s="293">
        <v>0</v>
      </c>
      <c r="BZ20" s="293">
        <v>0</v>
      </c>
      <c r="CA20" s="293">
        <v>0</v>
      </c>
      <c r="CB20" s="293">
        <v>0</v>
      </c>
      <c r="CC20" s="293">
        <v>0</v>
      </c>
      <c r="CD20" s="274">
        <v>0</v>
      </c>
      <c r="CE20" s="293">
        <f>CC20+CA20+BY20+BW20+BU20+BS20+BQ20+BO20+BM20+BK20+BI20+BG20</f>
        <v>0</v>
      </c>
      <c r="CF20" s="292">
        <f t="shared" si="17"/>
        <v>0</v>
      </c>
      <c r="CG20" s="240">
        <f t="shared" si="17"/>
        <v>0</v>
      </c>
      <c r="CH20" s="237">
        <f>CC20+CA20+BY20+BW20+BU20+BS20+BQ20+BO20+BM20+BK20+BI20+BG20</f>
        <v>0</v>
      </c>
      <c r="CI20" s="240">
        <f>+BH20+BJ20+BL20+BN20+BP20+BR20+BT20+BV20+BX20+BZ20+CB20+CD20</f>
        <v>0</v>
      </c>
      <c r="CJ20" s="294"/>
      <c r="CK20" s="293"/>
      <c r="CL20" s="293"/>
      <c r="CM20" s="293"/>
      <c r="CN20" s="293"/>
      <c r="CO20" s="293"/>
      <c r="CP20" s="293"/>
      <c r="CQ20" s="293"/>
      <c r="CR20" s="293"/>
      <c r="CS20" s="293"/>
      <c r="CT20" s="293"/>
      <c r="CU20" s="293"/>
      <c r="CV20" s="293"/>
      <c r="CW20" s="293"/>
      <c r="CX20" s="293"/>
      <c r="CY20" s="293"/>
      <c r="CZ20" s="293"/>
      <c r="DA20" s="293"/>
      <c r="DB20" s="293"/>
      <c r="DC20" s="293"/>
      <c r="DD20" s="293"/>
      <c r="DE20" s="293"/>
      <c r="DF20" s="293"/>
      <c r="DG20" s="293"/>
      <c r="DH20" s="293"/>
      <c r="DI20" s="295">
        <f>DE20+DC20+DA20+CY20+CW20+CU20+CS20+CQ20+CO20+CM20+CK20+DG20</f>
        <v>0</v>
      </c>
      <c r="DJ20" s="293">
        <f t="shared" ref="DJ20:DK23" si="20">CK20+CM20+CO20+CQ20</f>
        <v>0</v>
      </c>
      <c r="DK20" s="295">
        <f t="shared" si="20"/>
        <v>0</v>
      </c>
      <c r="DL20" s="237">
        <f>CM20+CO20+CQ20+CS20+CU20+CW20+CY20+DA20+DC20+DE20+DG20</f>
        <v>0</v>
      </c>
      <c r="DM20" s="293">
        <f>CL20+CN20+CP20+CR20</f>
        <v>0</v>
      </c>
      <c r="DN20" s="293">
        <v>0</v>
      </c>
      <c r="DO20" s="266"/>
      <c r="DP20" s="266"/>
      <c r="DQ20" s="266"/>
      <c r="DR20" s="266"/>
      <c r="DS20" s="266"/>
      <c r="DT20" s="266"/>
      <c r="DU20" s="266"/>
      <c r="DV20" s="266"/>
      <c r="DW20" s="266"/>
      <c r="DX20" s="266"/>
      <c r="DY20" s="266"/>
      <c r="DZ20" s="266"/>
      <c r="EA20" s="266"/>
      <c r="EB20" s="266"/>
      <c r="EC20" s="266"/>
      <c r="ED20" s="266"/>
      <c r="EE20" s="266"/>
      <c r="EF20" s="266"/>
      <c r="EG20" s="266"/>
      <c r="EH20" s="266"/>
      <c r="EI20" s="266"/>
      <c r="EJ20" s="266"/>
      <c r="EK20" s="266"/>
      <c r="EL20" s="266"/>
      <c r="EM20" s="274">
        <f>EI20+EG20+EE20+EC20+EA20+DY20+DW20+DU20+DS20+DQ20+DO20+EK20</f>
        <v>0</v>
      </c>
      <c r="EN20" s="114">
        <f t="shared" si="18"/>
        <v>0</v>
      </c>
      <c r="EO20" s="114">
        <f t="shared" si="19"/>
        <v>0</v>
      </c>
      <c r="EP20" s="96">
        <f>DQ20+DS20+DU20+DW20+DY20+EA20+EC20+EE20+EG20+EI20+EK20</f>
        <v>0</v>
      </c>
      <c r="EQ20" s="274">
        <f>DP20+DR20+DT20+DV20</f>
        <v>0</v>
      </c>
      <c r="ER20" s="123" t="e">
        <f t="shared" si="4"/>
        <v>#DIV/0!</v>
      </c>
      <c r="ES20" s="277" t="e">
        <f t="shared" si="6"/>
        <v>#DIV/0!</v>
      </c>
      <c r="ET20" s="278" t="e">
        <f t="shared" si="7"/>
        <v>#DIV/0!</v>
      </c>
      <c r="EU20" s="279" t="e">
        <f t="shared" si="5"/>
        <v>#DIV/0!</v>
      </c>
      <c r="EV20" s="278" t="e">
        <f t="shared" si="8"/>
        <v>#DIV/0!</v>
      </c>
      <c r="EW20" s="516"/>
      <c r="EX20" s="475" t="s">
        <v>568</v>
      </c>
      <c r="EY20" s="475" t="s">
        <v>568</v>
      </c>
      <c r="EZ20" s="476"/>
      <c r="FA20" s="476"/>
      <c r="FB20" s="523"/>
    </row>
    <row r="21" spans="1:159" s="109" customFormat="1" ht="42.75" customHeight="1" x14ac:dyDescent="0.25">
      <c r="A21" s="515"/>
      <c r="B21" s="515"/>
      <c r="C21" s="515"/>
      <c r="D21" s="515"/>
      <c r="E21" s="515"/>
      <c r="F21" s="312" t="s">
        <v>4</v>
      </c>
      <c r="G21" s="317">
        <f>AA21+BE21+CH21+CJ21+DN21</f>
        <v>224326701</v>
      </c>
      <c r="H21" s="107">
        <v>0</v>
      </c>
      <c r="I21" s="108">
        <v>0</v>
      </c>
      <c r="J21" s="108">
        <v>0</v>
      </c>
      <c r="K21" s="108">
        <v>0</v>
      </c>
      <c r="L21" s="108">
        <v>0</v>
      </c>
      <c r="M21" s="108">
        <v>0</v>
      </c>
      <c r="N21" s="108">
        <v>0</v>
      </c>
      <c r="O21" s="108">
        <v>0</v>
      </c>
      <c r="P21" s="108">
        <v>0</v>
      </c>
      <c r="Q21" s="108">
        <v>0</v>
      </c>
      <c r="R21" s="108">
        <v>0</v>
      </c>
      <c r="S21" s="108">
        <v>0</v>
      </c>
      <c r="T21" s="118">
        <v>0</v>
      </c>
      <c r="U21" s="119">
        <v>0</v>
      </c>
      <c r="V21" s="119">
        <v>0</v>
      </c>
      <c r="W21" s="107">
        <v>0</v>
      </c>
      <c r="X21" s="107">
        <v>0</v>
      </c>
      <c r="Y21" s="107">
        <v>0</v>
      </c>
      <c r="Z21" s="119">
        <v>0</v>
      </c>
      <c r="AA21" s="119">
        <v>0</v>
      </c>
      <c r="AB21" s="119">
        <v>220512384</v>
      </c>
      <c r="AC21" s="108">
        <v>62045867</v>
      </c>
      <c r="AD21" s="108">
        <v>62045867</v>
      </c>
      <c r="AE21" s="119">
        <v>68053533</v>
      </c>
      <c r="AF21" s="108">
        <f>130099400-AD21</f>
        <v>68053533</v>
      </c>
      <c r="AG21" s="108">
        <v>10948200</v>
      </c>
      <c r="AH21" s="108">
        <f>141047600-AF21-AD21</f>
        <v>10948200</v>
      </c>
      <c r="AI21" s="108">
        <v>8101667</v>
      </c>
      <c r="AJ21" s="108">
        <f>149149267-AH21-AF21-AD21</f>
        <v>8101667</v>
      </c>
      <c r="AK21" s="108">
        <v>15903967</v>
      </c>
      <c r="AL21" s="108">
        <f>165053234-AJ21-AH21-AF21-AD21</f>
        <v>15903967</v>
      </c>
      <c r="AM21" s="108">
        <v>5571367</v>
      </c>
      <c r="AN21" s="108">
        <v>5571367</v>
      </c>
      <c r="AO21" s="108">
        <v>0</v>
      </c>
      <c r="AP21" s="108">
        <v>0</v>
      </c>
      <c r="AQ21" s="108">
        <v>49887783</v>
      </c>
      <c r="AR21" s="108">
        <v>0</v>
      </c>
      <c r="AS21" s="108">
        <v>0</v>
      </c>
      <c r="AT21" s="108">
        <v>0</v>
      </c>
      <c r="AU21" s="108">
        <v>0</v>
      </c>
      <c r="AV21" s="108">
        <v>0</v>
      </c>
      <c r="AW21" s="108">
        <v>0</v>
      </c>
      <c r="AX21" s="108">
        <v>0</v>
      </c>
      <c r="AY21" s="108">
        <v>0</v>
      </c>
      <c r="AZ21" s="108"/>
      <c r="BA21" s="117">
        <f>AY21+AW21+AU21+AS21+AQ21+AO21+AM21+AK21+AI21+AG21+AE21+AC21</f>
        <v>220512384</v>
      </c>
      <c r="BB21" s="117">
        <f t="shared" si="16"/>
        <v>220512384</v>
      </c>
      <c r="BC21" s="117">
        <f t="shared" si="16"/>
        <v>170624601</v>
      </c>
      <c r="BD21" s="117">
        <f>AE21+AG21+AI21+AK21+AM21+AO21+AQ21+AS21+AU21+AW21+AY21+AC21</f>
        <v>220512384</v>
      </c>
      <c r="BE21" s="117">
        <f>AD21+AF21+AH21+AJ21+AL21+AN21+AP21+AR21+AT21+AV21+AX21+AZ21</f>
        <v>170624601</v>
      </c>
      <c r="BF21" s="108">
        <v>54863634</v>
      </c>
      <c r="BG21" s="108">
        <v>9071666</v>
      </c>
      <c r="BH21" s="108">
        <v>0</v>
      </c>
      <c r="BI21" s="108">
        <v>45791968</v>
      </c>
      <c r="BJ21" s="108">
        <v>45990566</v>
      </c>
      <c r="BK21" s="108"/>
      <c r="BL21" s="108">
        <v>0</v>
      </c>
      <c r="BM21" s="108"/>
      <c r="BN21" s="108">
        <v>0</v>
      </c>
      <c r="BO21" s="108"/>
      <c r="BP21" s="108">
        <v>0</v>
      </c>
      <c r="BQ21" s="108"/>
      <c r="BR21" s="108">
        <v>0</v>
      </c>
      <c r="BS21" s="108">
        <v>0</v>
      </c>
      <c r="BT21" s="108">
        <v>7711535</v>
      </c>
      <c r="BU21" s="108">
        <v>0</v>
      </c>
      <c r="BV21" s="108">
        <v>0</v>
      </c>
      <c r="BW21" s="108">
        <v>-1161534</v>
      </c>
      <c r="BX21" s="108">
        <v>-2157135</v>
      </c>
      <c r="BY21" s="108">
        <v>0</v>
      </c>
      <c r="BZ21" s="108">
        <v>0</v>
      </c>
      <c r="CA21" s="108">
        <v>1161534</v>
      </c>
      <c r="CB21" s="108">
        <v>2157134</v>
      </c>
      <c r="CC21" s="108">
        <v>-1161534</v>
      </c>
      <c r="CD21" s="108">
        <v>0</v>
      </c>
      <c r="CE21" s="108">
        <f>CC21+CA21+BY21+BW21+BU21+BS21+BQ21+BO21+BM21+BK21+BI21+BG21</f>
        <v>53702100</v>
      </c>
      <c r="CF21" s="108">
        <f t="shared" si="17"/>
        <v>53702100</v>
      </c>
      <c r="CG21" s="108">
        <f t="shared" si="17"/>
        <v>53702100</v>
      </c>
      <c r="CH21" s="107">
        <f>CC21+CA21+BY21+BW21+BU21+BS21+BQ21+BO21+BM21+BK21+BI21+BG21</f>
        <v>53702100</v>
      </c>
      <c r="CI21" s="107">
        <f>+BH21+BJ21+BL21+BN21+BP21+BR21+BT21+BV21+BX21+BZ21+CB21+CD21</f>
        <v>53702100</v>
      </c>
      <c r="CJ21" s="108">
        <v>0</v>
      </c>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7">
        <f>DE21+DC21+DA21+CY21+CW21+CU21+CS21+CQ21+CO21+CM21+CK21+DG21</f>
        <v>0</v>
      </c>
      <c r="DJ21" s="117">
        <f t="shared" si="20"/>
        <v>0</v>
      </c>
      <c r="DK21" s="117">
        <f t="shared" si="20"/>
        <v>0</v>
      </c>
      <c r="DL21" s="107">
        <f>CM21+CO21+CQ21+CS21+CU21+CW21+CY21+DA21+DC21+DE21+DG21</f>
        <v>0</v>
      </c>
      <c r="DM21" s="117">
        <f>CL21+CN21+CP21+CR21</f>
        <v>0</v>
      </c>
      <c r="DN21" s="108">
        <v>0</v>
      </c>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274">
        <f>EI21+EG21+EE21+EC21+EA21+DY21+DW21+DU21+DS21+DQ21+DO21+EK21</f>
        <v>0</v>
      </c>
      <c r="EN21" s="111">
        <f t="shared" si="18"/>
        <v>0</v>
      </c>
      <c r="EO21" s="111">
        <f t="shared" si="19"/>
        <v>0</v>
      </c>
      <c r="EP21" s="107">
        <f>DQ21+DS21+DU21+DW21+DY21+EA21+EC21+EE21+EG21+EI21+EK21+DO21</f>
        <v>0</v>
      </c>
      <c r="EQ21" s="111">
        <f>DP21+DR21+DT21+DV21</f>
        <v>0</v>
      </c>
      <c r="ER21" s="123">
        <f t="shared" si="4"/>
        <v>0</v>
      </c>
      <c r="ES21" s="277">
        <f t="shared" si="6"/>
        <v>1</v>
      </c>
      <c r="ET21" s="278">
        <f t="shared" si="7"/>
        <v>1</v>
      </c>
      <c r="EU21" s="279">
        <f t="shared" si="5"/>
        <v>0.81807021178356132</v>
      </c>
      <c r="EV21" s="278">
        <f t="shared" si="8"/>
        <v>1</v>
      </c>
      <c r="EW21" s="516"/>
      <c r="EX21" s="475" t="s">
        <v>568</v>
      </c>
      <c r="EY21" s="475" t="s">
        <v>568</v>
      </c>
      <c r="EZ21" s="476"/>
      <c r="FA21" s="476"/>
      <c r="FB21" s="523"/>
    </row>
    <row r="22" spans="1:159" s="109" customFormat="1" ht="42.75" customHeight="1" thickBot="1" x14ac:dyDescent="0.3">
      <c r="A22" s="515"/>
      <c r="B22" s="515"/>
      <c r="C22" s="515"/>
      <c r="D22" s="515"/>
      <c r="E22" s="515"/>
      <c r="F22" s="311" t="s">
        <v>42</v>
      </c>
      <c r="G22" s="366">
        <f>+G17+G20</f>
        <v>30</v>
      </c>
      <c r="H22" s="335">
        <f>+H17+H19</f>
        <v>4</v>
      </c>
      <c r="I22" s="335"/>
      <c r="J22" s="335"/>
      <c r="K22" s="335"/>
      <c r="L22" s="335"/>
      <c r="M22" s="335"/>
      <c r="N22" s="335"/>
      <c r="O22" s="335"/>
      <c r="P22" s="335"/>
      <c r="Q22" s="335"/>
      <c r="R22" s="335"/>
      <c r="S22" s="335"/>
      <c r="T22" s="335"/>
      <c r="U22" s="335"/>
      <c r="V22" s="335"/>
      <c r="W22" s="335">
        <f>+W17+W19</f>
        <v>4</v>
      </c>
      <c r="X22" s="335">
        <f>+X17+X19</f>
        <v>4</v>
      </c>
      <c r="Y22" s="335">
        <f t="shared" ref="Y22:AM22" si="21">+Y17+Y20</f>
        <v>4</v>
      </c>
      <c r="Z22" s="335">
        <f t="shared" si="21"/>
        <v>4</v>
      </c>
      <c r="AA22" s="335">
        <f t="shared" si="21"/>
        <v>4</v>
      </c>
      <c r="AB22" s="335">
        <f t="shared" si="21"/>
        <v>8</v>
      </c>
      <c r="AC22" s="335">
        <f t="shared" si="21"/>
        <v>0.2</v>
      </c>
      <c r="AD22" s="335">
        <f t="shared" si="21"/>
        <v>0.2</v>
      </c>
      <c r="AE22" s="335">
        <f t="shared" si="21"/>
        <v>0.25</v>
      </c>
      <c r="AF22" s="335">
        <f t="shared" si="21"/>
        <v>0.25</v>
      </c>
      <c r="AG22" s="335">
        <f t="shared" si="21"/>
        <v>0.55000000000000004</v>
      </c>
      <c r="AH22" s="335">
        <f t="shared" si="21"/>
        <v>0.55000000000000004</v>
      </c>
      <c r="AI22" s="335">
        <f t="shared" si="21"/>
        <v>0.6</v>
      </c>
      <c r="AJ22" s="335">
        <f t="shared" si="21"/>
        <v>0.6</v>
      </c>
      <c r="AK22" s="335">
        <f t="shared" si="21"/>
        <v>0.7</v>
      </c>
      <c r="AL22" s="335">
        <f t="shared" si="21"/>
        <v>0.7</v>
      </c>
      <c r="AM22" s="335">
        <f t="shared" si="21"/>
        <v>0.7</v>
      </c>
      <c r="AN22" s="335">
        <f>+AN17+AN20</f>
        <v>0.7</v>
      </c>
      <c r="AO22" s="335">
        <f t="shared" ref="AO22:AQ23" si="22">+AO17+AO20</f>
        <v>0.75</v>
      </c>
      <c r="AP22" s="335">
        <f t="shared" si="22"/>
        <v>0.75</v>
      </c>
      <c r="AQ22" s="335">
        <f t="shared" si="22"/>
        <v>0.85</v>
      </c>
      <c r="AR22" s="335">
        <f>+AR17+AR20</f>
        <v>0.85</v>
      </c>
      <c r="AS22" s="335">
        <f t="shared" ref="AS22:AU23" si="23">+AS17+AS20</f>
        <v>1.05</v>
      </c>
      <c r="AT22" s="335">
        <f t="shared" si="23"/>
        <v>1.05</v>
      </c>
      <c r="AU22" s="335">
        <f t="shared" si="23"/>
        <v>0.85</v>
      </c>
      <c r="AV22" s="335">
        <f t="shared" ref="AV22:AZ23" si="24">+AV17+AV20</f>
        <v>0.85</v>
      </c>
      <c r="AW22" s="335">
        <f t="shared" si="24"/>
        <v>0.6</v>
      </c>
      <c r="AX22" s="335">
        <f t="shared" si="24"/>
        <v>0.6</v>
      </c>
      <c r="AY22" s="335">
        <f t="shared" si="24"/>
        <v>0.9</v>
      </c>
      <c r="AZ22" s="335">
        <f t="shared" si="24"/>
        <v>0.9</v>
      </c>
      <c r="BA22" s="335">
        <f t="shared" ref="BA22:BE23" si="25">+BA17+BA20</f>
        <v>8</v>
      </c>
      <c r="BB22" s="335">
        <f>+BB17+BB20</f>
        <v>7.9999999999999991</v>
      </c>
      <c r="BC22" s="335">
        <f t="shared" si="25"/>
        <v>7.9999999999999991</v>
      </c>
      <c r="BD22" s="335">
        <f t="shared" si="25"/>
        <v>7.9999999999999991</v>
      </c>
      <c r="BE22" s="335">
        <f t="shared" si="25"/>
        <v>7.9999999999999991</v>
      </c>
      <c r="BF22" s="335">
        <f t="shared" ref="BF22:CD22" si="26">+BF17+BF20</f>
        <v>6</v>
      </c>
      <c r="BG22" s="335">
        <f t="shared" si="26"/>
        <v>0.2</v>
      </c>
      <c r="BH22" s="335">
        <f t="shared" si="26"/>
        <v>0</v>
      </c>
      <c r="BI22" s="335">
        <f t="shared" si="26"/>
        <v>0.25</v>
      </c>
      <c r="BJ22" s="335">
        <f>+BJ17+BJ20</f>
        <v>0.45</v>
      </c>
      <c r="BK22" s="335">
        <f t="shared" si="26"/>
        <v>0.55000000000000004</v>
      </c>
      <c r="BL22" s="335">
        <f t="shared" si="26"/>
        <v>0.55000000000000004</v>
      </c>
      <c r="BM22" s="335">
        <f t="shared" si="26"/>
        <v>0.60000000000000009</v>
      </c>
      <c r="BN22" s="335">
        <f t="shared" si="26"/>
        <v>0.6</v>
      </c>
      <c r="BO22" s="335">
        <f t="shared" si="26"/>
        <v>0.7</v>
      </c>
      <c r="BP22" s="335">
        <f t="shared" si="26"/>
        <v>0.7</v>
      </c>
      <c r="BQ22" s="335">
        <f t="shared" si="26"/>
        <v>0.7</v>
      </c>
      <c r="BR22" s="335">
        <f t="shared" si="26"/>
        <v>0.7</v>
      </c>
      <c r="BS22" s="335">
        <f t="shared" si="26"/>
        <v>0.30000000000000004</v>
      </c>
      <c r="BT22" s="335">
        <f t="shared" si="26"/>
        <v>0.3</v>
      </c>
      <c r="BU22" s="335">
        <f t="shared" si="26"/>
        <v>0.2</v>
      </c>
      <c r="BV22" s="335">
        <f t="shared" si="26"/>
        <v>0.2</v>
      </c>
      <c r="BW22" s="335">
        <f t="shared" si="26"/>
        <v>0.6</v>
      </c>
      <c r="BX22" s="335">
        <f t="shared" si="26"/>
        <v>0.6</v>
      </c>
      <c r="BY22" s="335">
        <f t="shared" si="26"/>
        <v>1.6</v>
      </c>
      <c r="BZ22" s="335">
        <f t="shared" si="26"/>
        <v>0.6</v>
      </c>
      <c r="CA22" s="335">
        <f t="shared" si="26"/>
        <v>0.7</v>
      </c>
      <c r="CB22" s="335">
        <f t="shared" si="26"/>
        <v>0.7</v>
      </c>
      <c r="CC22" s="335">
        <f t="shared" si="26"/>
        <v>0.6</v>
      </c>
      <c r="CD22" s="335">
        <f t="shared" si="26"/>
        <v>0.6</v>
      </c>
      <c r="CE22" s="335">
        <f>+CE17+CE20</f>
        <v>7</v>
      </c>
      <c r="CF22" s="335">
        <f t="shared" ref="CE22:CI23" si="27">+CF17+CF20</f>
        <v>6.9999999999999991</v>
      </c>
      <c r="CG22" s="335">
        <f t="shared" si="27"/>
        <v>5.9999999999999991</v>
      </c>
      <c r="CH22" s="367">
        <f t="shared" si="27"/>
        <v>7</v>
      </c>
      <c r="CI22" s="367">
        <f t="shared" si="27"/>
        <v>5.9999999999999991</v>
      </c>
      <c r="CJ22" s="335">
        <v>8</v>
      </c>
      <c r="CK22" s="335"/>
      <c r="CL22" s="335"/>
      <c r="CM22" s="335"/>
      <c r="CN22" s="335"/>
      <c r="CO22" s="335"/>
      <c r="CP22" s="335"/>
      <c r="CQ22" s="335"/>
      <c r="CR22" s="335"/>
      <c r="CS22" s="335"/>
      <c r="CT22" s="335"/>
      <c r="CU22" s="335"/>
      <c r="CV22" s="335"/>
      <c r="CW22" s="335"/>
      <c r="CX22" s="335"/>
      <c r="CY22" s="335"/>
      <c r="CZ22" s="335"/>
      <c r="DA22" s="335"/>
      <c r="DB22" s="335"/>
      <c r="DC22" s="335"/>
      <c r="DD22" s="335"/>
      <c r="DE22" s="335"/>
      <c r="DF22" s="335"/>
      <c r="DG22" s="335"/>
      <c r="DH22" s="335"/>
      <c r="DI22" s="335">
        <f>DE22+DC22+DA22+CY22+CW22+CU22+CS22+CQ22+CO22+CM22+CK22+DG22</f>
        <v>0</v>
      </c>
      <c r="DJ22" s="335">
        <f t="shared" si="20"/>
        <v>0</v>
      </c>
      <c r="DK22" s="335">
        <f t="shared" si="20"/>
        <v>0</v>
      </c>
      <c r="DL22" s="368">
        <f>CM22+CO22+CQ22+CS22+CU22+CW22+CY22+DA22+DC22+DE22+DG22+CK22</f>
        <v>0</v>
      </c>
      <c r="DM22" s="335">
        <f>CL22+CN22+CP22+CR22</f>
        <v>0</v>
      </c>
      <c r="DN22" s="335">
        <v>4</v>
      </c>
      <c r="DO22" s="369"/>
      <c r="DP22" s="369"/>
      <c r="DQ22" s="369"/>
      <c r="DR22" s="369"/>
      <c r="DS22" s="369"/>
      <c r="DT22" s="369"/>
      <c r="DU22" s="369"/>
      <c r="DV22" s="369"/>
      <c r="DW22" s="369"/>
      <c r="DX22" s="369"/>
      <c r="DY22" s="369"/>
      <c r="DZ22" s="369"/>
      <c r="EA22" s="369"/>
      <c r="EB22" s="369"/>
      <c r="EC22" s="369"/>
      <c r="ED22" s="369"/>
      <c r="EE22" s="369"/>
      <c r="EF22" s="369"/>
      <c r="EG22" s="369"/>
      <c r="EH22" s="369"/>
      <c r="EI22" s="369"/>
      <c r="EJ22" s="369"/>
      <c r="EK22" s="369"/>
      <c r="EL22" s="369"/>
      <c r="EM22" s="340">
        <f>EI22+EG22+EE22+EC22+EA22+DY22+DW22+DU22+DS22+DQ22+DO22+EK22</f>
        <v>0</v>
      </c>
      <c r="EN22" s="341">
        <f t="shared" si="18"/>
        <v>0</v>
      </c>
      <c r="EO22" s="341">
        <f t="shared" si="19"/>
        <v>0</v>
      </c>
      <c r="EP22" s="342">
        <f>DQ22+DS22+DU22+DW22+DY22+EA22+EC22+EE22+EG22+EI22+EK22+DO22</f>
        <v>0</v>
      </c>
      <c r="EQ22" s="341">
        <f>DR22+DT22+DV22+DP22</f>
        <v>0</v>
      </c>
      <c r="ER22" s="343">
        <f t="shared" si="4"/>
        <v>1</v>
      </c>
      <c r="ES22" s="280">
        <f t="shared" si="6"/>
        <v>0.8571428571428571</v>
      </c>
      <c r="ET22" s="281">
        <f t="shared" si="7"/>
        <v>0.85714285714285698</v>
      </c>
      <c r="EU22" s="282">
        <f t="shared" si="5"/>
        <v>0.94736842105263153</v>
      </c>
      <c r="EV22" s="281">
        <f t="shared" si="8"/>
        <v>0.6</v>
      </c>
      <c r="EW22" s="516"/>
      <c r="EX22" s="475" t="s">
        <v>568</v>
      </c>
      <c r="EY22" s="475" t="s">
        <v>568</v>
      </c>
      <c r="EZ22" s="476"/>
      <c r="FA22" s="476"/>
      <c r="FB22" s="523"/>
    </row>
    <row r="23" spans="1:159" s="116" customFormat="1" ht="42.75" customHeight="1" thickBot="1" x14ac:dyDescent="0.3">
      <c r="A23" s="515"/>
      <c r="B23" s="515"/>
      <c r="C23" s="515"/>
      <c r="D23" s="515"/>
      <c r="E23" s="515"/>
      <c r="F23" s="312" t="s">
        <v>44</v>
      </c>
      <c r="G23" s="287">
        <f>+G18+G21</f>
        <v>12055465455</v>
      </c>
      <c r="H23" s="359">
        <f>+H18+H20</f>
        <v>613840322</v>
      </c>
      <c r="I23" s="358"/>
      <c r="J23" s="358"/>
      <c r="K23" s="358"/>
      <c r="L23" s="358"/>
      <c r="M23" s="358"/>
      <c r="N23" s="358"/>
      <c r="O23" s="358"/>
      <c r="P23" s="358"/>
      <c r="Q23" s="358"/>
      <c r="R23" s="358"/>
      <c r="S23" s="358"/>
      <c r="T23" s="359"/>
      <c r="U23" s="376"/>
      <c r="V23" s="376"/>
      <c r="W23" s="359">
        <f>+W18+W20</f>
        <v>613840322</v>
      </c>
      <c r="X23" s="359">
        <f>+X18+X20</f>
        <v>613840322</v>
      </c>
      <c r="Y23" s="359">
        <f t="shared" ref="Y23:AM23" si="28">+Y18+Y21</f>
        <v>670473105</v>
      </c>
      <c r="Z23" s="376">
        <f t="shared" si="28"/>
        <v>826840322</v>
      </c>
      <c r="AA23" s="376">
        <f t="shared" si="28"/>
        <v>670473105</v>
      </c>
      <c r="AB23" s="376">
        <f t="shared" si="28"/>
        <v>1594569384</v>
      </c>
      <c r="AC23" s="376">
        <f t="shared" si="28"/>
        <v>62045867</v>
      </c>
      <c r="AD23" s="358">
        <f t="shared" si="28"/>
        <v>62045867</v>
      </c>
      <c r="AE23" s="376">
        <f t="shared" si="28"/>
        <v>650103533</v>
      </c>
      <c r="AF23" s="358">
        <f t="shared" si="28"/>
        <v>650103533</v>
      </c>
      <c r="AG23" s="358">
        <f t="shared" si="28"/>
        <v>550515200</v>
      </c>
      <c r="AH23" s="358">
        <f t="shared" si="28"/>
        <v>550515200</v>
      </c>
      <c r="AI23" s="358">
        <f t="shared" si="28"/>
        <v>102213667</v>
      </c>
      <c r="AJ23" s="358">
        <f t="shared" si="28"/>
        <v>102213667</v>
      </c>
      <c r="AK23" s="358">
        <f t="shared" si="28"/>
        <v>15903967</v>
      </c>
      <c r="AL23" s="358">
        <f>+AL18+AL21</f>
        <v>15903967</v>
      </c>
      <c r="AM23" s="358">
        <f t="shared" si="28"/>
        <v>5571367</v>
      </c>
      <c r="AN23" s="358">
        <f>+AN18+AN21</f>
        <v>5571367</v>
      </c>
      <c r="AO23" s="358">
        <f t="shared" si="22"/>
        <v>0</v>
      </c>
      <c r="AP23" s="358">
        <f t="shared" si="22"/>
        <v>24890000</v>
      </c>
      <c r="AQ23" s="358">
        <f t="shared" si="22"/>
        <v>87855383</v>
      </c>
      <c r="AR23" s="358">
        <f>+AR18+AR21</f>
        <v>0</v>
      </c>
      <c r="AS23" s="358">
        <f t="shared" si="23"/>
        <v>53907914</v>
      </c>
      <c r="AT23" s="358">
        <f t="shared" si="23"/>
        <v>15763667</v>
      </c>
      <c r="AU23" s="358">
        <f t="shared" si="23"/>
        <v>37967600</v>
      </c>
      <c r="AV23" s="358">
        <f t="shared" si="24"/>
        <v>42747866</v>
      </c>
      <c r="AW23" s="358">
        <f t="shared" si="24"/>
        <v>22212600</v>
      </c>
      <c r="AX23" s="358">
        <f t="shared" si="24"/>
        <v>26787667</v>
      </c>
      <c r="AY23" s="358">
        <f t="shared" si="24"/>
        <v>22212600</v>
      </c>
      <c r="AZ23" s="358">
        <f t="shared" si="24"/>
        <v>12430600</v>
      </c>
      <c r="BA23" s="360">
        <f t="shared" si="25"/>
        <v>1610509698</v>
      </c>
      <c r="BB23" s="360">
        <f t="shared" si="25"/>
        <v>1610509698</v>
      </c>
      <c r="BC23" s="360">
        <f t="shared" si="25"/>
        <v>1508973401</v>
      </c>
      <c r="BD23" s="360">
        <f t="shared" si="25"/>
        <v>1610509698</v>
      </c>
      <c r="BE23" s="360">
        <f t="shared" si="25"/>
        <v>1508973401</v>
      </c>
      <c r="BF23" s="360">
        <f t="shared" ref="BF23:CD23" si="29">+BF18+BF21</f>
        <v>6185295634</v>
      </c>
      <c r="BG23" s="360">
        <f t="shared" si="29"/>
        <v>1629512666</v>
      </c>
      <c r="BH23" s="360">
        <f>+BH18+BH21</f>
        <v>1835843000</v>
      </c>
      <c r="BI23" s="360">
        <f t="shared" si="29"/>
        <v>45791968</v>
      </c>
      <c r="BJ23" s="360">
        <f>+BJ18+BJ21</f>
        <v>45990566</v>
      </c>
      <c r="BK23" s="360">
        <f t="shared" si="29"/>
        <v>113827000</v>
      </c>
      <c r="BL23" s="360">
        <f t="shared" si="29"/>
        <v>0</v>
      </c>
      <c r="BM23" s="360">
        <f t="shared" si="29"/>
        <v>450000000</v>
      </c>
      <c r="BN23" s="360">
        <f t="shared" si="29"/>
        <v>0</v>
      </c>
      <c r="BO23" s="360">
        <f t="shared" si="29"/>
        <v>0</v>
      </c>
      <c r="BP23" s="360">
        <f t="shared" si="29"/>
        <v>0</v>
      </c>
      <c r="BQ23" s="360">
        <f t="shared" si="29"/>
        <v>4034991000</v>
      </c>
      <c r="BR23" s="360">
        <f t="shared" si="29"/>
        <v>90000000</v>
      </c>
      <c r="BS23" s="360">
        <f t="shared" si="29"/>
        <v>0</v>
      </c>
      <c r="BT23" s="360">
        <f t="shared" si="29"/>
        <v>-38154465</v>
      </c>
      <c r="BU23" s="360">
        <f t="shared" si="29"/>
        <v>-60207700</v>
      </c>
      <c r="BV23" s="360">
        <f t="shared" si="29"/>
        <v>0</v>
      </c>
      <c r="BW23" s="360">
        <f t="shared" si="29"/>
        <v>-623306866</v>
      </c>
      <c r="BX23" s="360">
        <f t="shared" si="29"/>
        <v>233655699</v>
      </c>
      <c r="BY23" s="360">
        <f t="shared" si="29"/>
        <v>699803138</v>
      </c>
      <c r="BZ23" s="360">
        <f t="shared" si="29"/>
        <v>220773700</v>
      </c>
      <c r="CA23" s="360">
        <f t="shared" si="29"/>
        <v>212302277</v>
      </c>
      <c r="CB23" s="360">
        <f t="shared" si="29"/>
        <v>2943455773</v>
      </c>
      <c r="CC23" s="360">
        <f t="shared" si="29"/>
        <v>-457161534</v>
      </c>
      <c r="CD23" s="360">
        <f t="shared" si="29"/>
        <v>428033688</v>
      </c>
      <c r="CE23" s="360">
        <f t="shared" si="27"/>
        <v>6045551949</v>
      </c>
      <c r="CF23" s="360">
        <f t="shared" si="27"/>
        <v>6045551949</v>
      </c>
      <c r="CG23" s="360">
        <f t="shared" si="27"/>
        <v>5759597961</v>
      </c>
      <c r="CH23" s="359">
        <f t="shared" si="27"/>
        <v>6045551949</v>
      </c>
      <c r="CI23" s="359">
        <f t="shared" si="27"/>
        <v>5759597961</v>
      </c>
      <c r="CJ23" s="358">
        <v>1515392000</v>
      </c>
      <c r="CK23" s="358"/>
      <c r="CL23" s="358"/>
      <c r="CM23" s="358"/>
      <c r="CN23" s="358"/>
      <c r="CO23" s="358"/>
      <c r="CP23" s="358"/>
      <c r="CQ23" s="358"/>
      <c r="CR23" s="358"/>
      <c r="CS23" s="358"/>
      <c r="CT23" s="358"/>
      <c r="CU23" s="358"/>
      <c r="CV23" s="358"/>
      <c r="CW23" s="358"/>
      <c r="CX23" s="358"/>
      <c r="CY23" s="358"/>
      <c r="CZ23" s="358"/>
      <c r="DA23" s="358"/>
      <c r="DB23" s="358"/>
      <c r="DC23" s="358"/>
      <c r="DD23" s="358"/>
      <c r="DE23" s="358"/>
      <c r="DF23" s="358"/>
      <c r="DG23" s="358"/>
      <c r="DH23" s="358"/>
      <c r="DI23" s="359">
        <f>DE23+DC23+DA23+CY23+CW23+CU23+CS23+CQ23+CO23+CM23+CK23+DG23</f>
        <v>0</v>
      </c>
      <c r="DJ23" s="360">
        <f t="shared" si="20"/>
        <v>0</v>
      </c>
      <c r="DK23" s="360">
        <f t="shared" si="20"/>
        <v>0</v>
      </c>
      <c r="DL23" s="359">
        <f>CM23+CO23+CQ23+CS23+CU23+CW23+CY23+DA23+DC23+DE23+DG23+CK23</f>
        <v>0</v>
      </c>
      <c r="DM23" s="360">
        <f>CN23+CP23+CR23+CL23</f>
        <v>0</v>
      </c>
      <c r="DN23" s="358">
        <v>791006000</v>
      </c>
      <c r="DO23" s="377"/>
      <c r="DP23" s="377"/>
      <c r="DQ23" s="377"/>
      <c r="DR23" s="377"/>
      <c r="DS23" s="377"/>
      <c r="DT23" s="377"/>
      <c r="DU23" s="377"/>
      <c r="DV23" s="377"/>
      <c r="DW23" s="377"/>
      <c r="DX23" s="377"/>
      <c r="DY23" s="377"/>
      <c r="DZ23" s="377"/>
      <c r="EA23" s="377"/>
      <c r="EB23" s="377"/>
      <c r="EC23" s="377"/>
      <c r="ED23" s="377"/>
      <c r="EE23" s="377"/>
      <c r="EF23" s="377"/>
      <c r="EG23" s="377"/>
      <c r="EH23" s="377"/>
      <c r="EI23" s="377"/>
      <c r="EJ23" s="377"/>
      <c r="EK23" s="377"/>
      <c r="EL23" s="377"/>
      <c r="EM23" s="362">
        <f>EK23+EI23+EG23+EE23+EC23+EA23+DY23+DW23+DU23+DS23+DQ23+DO23</f>
        <v>0</v>
      </c>
      <c r="EN23" s="363">
        <f>+EN18+EN21</f>
        <v>0</v>
      </c>
      <c r="EO23" s="364">
        <f>EO18+EO21</f>
        <v>0</v>
      </c>
      <c r="EP23" s="363">
        <f>+EP18+EP21</f>
        <v>0</v>
      </c>
      <c r="EQ23" s="363">
        <f>+EQ18+EQ21</f>
        <v>0</v>
      </c>
      <c r="ER23" s="365">
        <f t="shared" si="4"/>
        <v>-0.93628543997317148</v>
      </c>
      <c r="ES23" s="283">
        <f t="shared" si="6"/>
        <v>0.95270010242037539</v>
      </c>
      <c r="ET23" s="284">
        <f t="shared" si="7"/>
        <v>0.95270010242037539</v>
      </c>
      <c r="EU23" s="285">
        <f t="shared" si="5"/>
        <v>0.93588780066214627</v>
      </c>
      <c r="EV23" s="286">
        <f t="shared" si="8"/>
        <v>0.65854317252489691</v>
      </c>
      <c r="EW23" s="517"/>
      <c r="EX23" s="475" t="s">
        <v>568</v>
      </c>
      <c r="EY23" s="475" t="s">
        <v>568</v>
      </c>
      <c r="EZ23" s="476"/>
      <c r="FA23" s="476"/>
      <c r="FB23" s="523"/>
    </row>
    <row r="24" spans="1:159" s="3" customFormat="1" ht="42.75" customHeight="1" x14ac:dyDescent="0.25">
      <c r="A24" s="515" t="s">
        <v>304</v>
      </c>
      <c r="B24" s="515">
        <v>3</v>
      </c>
      <c r="C24" s="515" t="s">
        <v>538</v>
      </c>
      <c r="D24" s="515" t="s">
        <v>266</v>
      </c>
      <c r="E24" s="515">
        <v>272</v>
      </c>
      <c r="F24" s="311" t="s">
        <v>40</v>
      </c>
      <c r="G24" s="344">
        <f>+AA24+BD24+BF24+CJ24+DN24</f>
        <v>8</v>
      </c>
      <c r="H24" s="345">
        <v>1</v>
      </c>
      <c r="I24" s="345"/>
      <c r="J24" s="345"/>
      <c r="K24" s="345"/>
      <c r="L24" s="345"/>
      <c r="M24" s="345"/>
      <c r="N24" s="345"/>
      <c r="O24" s="345"/>
      <c r="P24" s="345"/>
      <c r="Q24" s="345"/>
      <c r="R24" s="345"/>
      <c r="S24" s="345"/>
      <c r="T24" s="346"/>
      <c r="U24" s="345"/>
      <c r="V24" s="345"/>
      <c r="W24" s="345">
        <v>1</v>
      </c>
      <c r="X24" s="345">
        <v>1</v>
      </c>
      <c r="Y24" s="345">
        <v>1</v>
      </c>
      <c r="Z24" s="345">
        <v>1</v>
      </c>
      <c r="AA24" s="345">
        <v>1</v>
      </c>
      <c r="AB24" s="345">
        <v>2</v>
      </c>
      <c r="AC24" s="347">
        <v>0.17</v>
      </c>
      <c r="AD24" s="347">
        <v>0.15</v>
      </c>
      <c r="AE24" s="347">
        <v>0.17</v>
      </c>
      <c r="AF24" s="347">
        <v>0.11</v>
      </c>
      <c r="AG24" s="347">
        <v>0.17</v>
      </c>
      <c r="AH24" s="347">
        <v>0.1</v>
      </c>
      <c r="AI24" s="347">
        <v>0.17</v>
      </c>
      <c r="AJ24" s="347">
        <v>0.15</v>
      </c>
      <c r="AK24" s="347">
        <v>0.14000000000000001</v>
      </c>
      <c r="AL24" s="347">
        <v>0.14000000000000001</v>
      </c>
      <c r="AM24" s="347">
        <v>0.17</v>
      </c>
      <c r="AN24" s="347">
        <v>0.35</v>
      </c>
      <c r="AO24" s="347">
        <v>0.17</v>
      </c>
      <c r="AP24" s="347">
        <v>0.26</v>
      </c>
      <c r="AQ24" s="347">
        <v>0.17</v>
      </c>
      <c r="AR24" s="347">
        <v>0.13</v>
      </c>
      <c r="AS24" s="347">
        <v>0.17</v>
      </c>
      <c r="AT24" s="347">
        <v>0.17</v>
      </c>
      <c r="AU24" s="347">
        <v>0.17</v>
      </c>
      <c r="AV24" s="347">
        <v>0.21</v>
      </c>
      <c r="AW24" s="347">
        <v>0.17</v>
      </c>
      <c r="AX24" s="347">
        <v>0.17</v>
      </c>
      <c r="AY24" s="347">
        <v>0.16</v>
      </c>
      <c r="AZ24" s="347">
        <v>0.06</v>
      </c>
      <c r="BA24" s="370">
        <f>AY24+AW24+AU24+AS24+AQ24+AO24+AM24+AK24+AI24+AG24+AE24+AC24</f>
        <v>1.9999999999999996</v>
      </c>
      <c r="BB24" s="370">
        <f t="shared" ref="BB24:BC28" si="30">AC24+AE24+AG24+AI24+AK24+AM24+AO24+AQ24+AS24+AU24+AW24+AY24</f>
        <v>1.9999999999999998</v>
      </c>
      <c r="BC24" s="370">
        <f t="shared" si="30"/>
        <v>2</v>
      </c>
      <c r="BD24" s="370">
        <f>AE24+AG24+AI24+AK24+AM24+AO24+AQ24+AS24+AU24+AW24+AY24+AC24</f>
        <v>1.9999999999999998</v>
      </c>
      <c r="BE24" s="370">
        <f>AD24+AF24+AH24+AJ24+AL24+AN24+AP24+AR24+AT24+AV24+AX24+AZ24</f>
        <v>2</v>
      </c>
      <c r="BF24" s="345">
        <v>2</v>
      </c>
      <c r="BG24" s="347">
        <v>0.17</v>
      </c>
      <c r="BH24" s="347">
        <v>0</v>
      </c>
      <c r="BI24" s="347">
        <v>0.17</v>
      </c>
      <c r="BJ24" s="347">
        <v>0.33</v>
      </c>
      <c r="BK24" s="347">
        <v>0.17</v>
      </c>
      <c r="BL24" s="347">
        <v>0.17</v>
      </c>
      <c r="BM24" s="347">
        <v>0.17</v>
      </c>
      <c r="BN24" s="347">
        <v>0.17</v>
      </c>
      <c r="BO24" s="347">
        <v>0.14000000000000001</v>
      </c>
      <c r="BP24" s="347">
        <v>0.14000000000000001</v>
      </c>
      <c r="BQ24" s="347">
        <v>0.18</v>
      </c>
      <c r="BR24" s="347">
        <v>0.17</v>
      </c>
      <c r="BS24" s="347">
        <v>0.17</v>
      </c>
      <c r="BT24" s="347">
        <v>0.19</v>
      </c>
      <c r="BU24" s="347">
        <v>0.17</v>
      </c>
      <c r="BV24" s="347">
        <v>0.17</v>
      </c>
      <c r="BW24" s="347">
        <v>0.17</v>
      </c>
      <c r="BX24" s="347">
        <v>0.17</v>
      </c>
      <c r="BY24" s="347">
        <v>0.17</v>
      </c>
      <c r="BZ24" s="347">
        <v>0.17</v>
      </c>
      <c r="CA24" s="347">
        <v>0.17</v>
      </c>
      <c r="CB24" s="347">
        <v>0.17</v>
      </c>
      <c r="CC24" s="347">
        <v>0.15</v>
      </c>
      <c r="CD24" s="347">
        <v>0.15</v>
      </c>
      <c r="CE24" s="347">
        <f>CC24+CA24+BY24+BW24+BU24+BS24+BQ24+BO24+BM24+BK24+BI24+BG24</f>
        <v>1.9999999999999996</v>
      </c>
      <c r="CF24" s="347">
        <f t="shared" ref="CF24:CG28" si="31">+BG24+BI24+BK24+BM24+BO24+BQ24+BS24+BU24+BW24+BY24+CA24+CC24</f>
        <v>1.9999999999999996</v>
      </c>
      <c r="CG24" s="348">
        <f t="shared" si="31"/>
        <v>1.9999999999999998</v>
      </c>
      <c r="CH24" s="348">
        <f>CC24+CA24+BY24+BW24+BU24+BS24+BQ24+BO24+BM24+BK24+BI24+BG24</f>
        <v>1.9999999999999996</v>
      </c>
      <c r="CI24" s="348">
        <f>+BH24+BJ24+BL24+BN24+BP24+BR24+BT24+BV24+BX24+BZ24+CB24+CD24</f>
        <v>1.9999999999999998</v>
      </c>
      <c r="CJ24" s="345">
        <v>2</v>
      </c>
      <c r="CK24" s="345"/>
      <c r="CL24" s="345"/>
      <c r="CM24" s="345"/>
      <c r="CN24" s="345"/>
      <c r="CO24" s="345"/>
      <c r="CP24" s="345"/>
      <c r="CQ24" s="345"/>
      <c r="CR24" s="345"/>
      <c r="CS24" s="345"/>
      <c r="CT24" s="345"/>
      <c r="CU24" s="345"/>
      <c r="CV24" s="345"/>
      <c r="CW24" s="345"/>
      <c r="CX24" s="345"/>
      <c r="CY24" s="345"/>
      <c r="CZ24" s="345"/>
      <c r="DA24" s="345"/>
      <c r="DB24" s="345"/>
      <c r="DC24" s="345"/>
      <c r="DD24" s="345"/>
      <c r="DE24" s="345"/>
      <c r="DF24" s="345"/>
      <c r="DG24" s="345"/>
      <c r="DH24" s="345"/>
      <c r="DI24" s="346">
        <v>0</v>
      </c>
      <c r="DJ24" s="345">
        <v>0</v>
      </c>
      <c r="DK24" s="346">
        <v>0</v>
      </c>
      <c r="DL24" s="349">
        <v>0</v>
      </c>
      <c r="DM24" s="345">
        <v>0</v>
      </c>
      <c r="DN24" s="345">
        <v>1</v>
      </c>
      <c r="DO24" s="371"/>
      <c r="DP24" s="371"/>
      <c r="DQ24" s="371"/>
      <c r="DR24" s="371"/>
      <c r="DS24" s="371"/>
      <c r="DT24" s="371"/>
      <c r="DU24" s="371"/>
      <c r="DV24" s="371"/>
      <c r="DW24" s="371"/>
      <c r="DX24" s="371"/>
      <c r="DY24" s="371"/>
      <c r="DZ24" s="371"/>
      <c r="EA24" s="371"/>
      <c r="EB24" s="371"/>
      <c r="EC24" s="371"/>
      <c r="ED24" s="371"/>
      <c r="EE24" s="371"/>
      <c r="EF24" s="371"/>
      <c r="EG24" s="372"/>
      <c r="EH24" s="372"/>
      <c r="EI24" s="372"/>
      <c r="EJ24" s="372"/>
      <c r="EK24" s="372"/>
      <c r="EL24" s="372"/>
      <c r="EM24" s="373">
        <f>EK24+EI24+EG24+EE24+EC24+EA24+DY24+DW24+DU24+DS24+DQ24+DO24</f>
        <v>0</v>
      </c>
      <c r="EN24" s="372">
        <f t="shared" ref="EN24:EN29" si="32">DO24+DQ24+DS24+DU24</f>
        <v>0</v>
      </c>
      <c r="EO24" s="374">
        <f t="shared" ref="EO24:EO29" si="33">DP24+DR24+DT24+DV24</f>
        <v>0</v>
      </c>
      <c r="EP24" s="375">
        <f>DQ24+DS24+DU24+DW24+DY24+EA24+EC24+EE24+EG24+EI24+EK24+DO24</f>
        <v>0</v>
      </c>
      <c r="EQ24" s="372">
        <f>DP24+DR24+DT24+DV24</f>
        <v>0</v>
      </c>
      <c r="ER24" s="354">
        <f t="shared" si="4"/>
        <v>1</v>
      </c>
      <c r="ES24" s="355">
        <f t="shared" si="6"/>
        <v>1</v>
      </c>
      <c r="ET24" s="356">
        <f t="shared" si="7"/>
        <v>1</v>
      </c>
      <c r="EU24" s="357">
        <f t="shared" si="5"/>
        <v>1</v>
      </c>
      <c r="EV24" s="356">
        <f t="shared" si="8"/>
        <v>0.625</v>
      </c>
      <c r="EW24" s="477" t="s">
        <v>663</v>
      </c>
      <c r="EX24" s="475" t="s">
        <v>568</v>
      </c>
      <c r="EY24" s="475" t="s">
        <v>568</v>
      </c>
      <c r="EZ24" s="476" t="s">
        <v>531</v>
      </c>
      <c r="FA24" s="476" t="s">
        <v>530</v>
      </c>
      <c r="FB24" s="479"/>
    </row>
    <row r="25" spans="1:159" s="57" customFormat="1" ht="42.75" customHeight="1" x14ac:dyDescent="0.25">
      <c r="A25" s="515"/>
      <c r="B25" s="515"/>
      <c r="C25" s="515"/>
      <c r="D25" s="515"/>
      <c r="E25" s="515"/>
      <c r="F25" s="312" t="s">
        <v>3</v>
      </c>
      <c r="G25" s="317">
        <f>AA25+BE25+CH25+CJ25+DN25</f>
        <v>13169543495</v>
      </c>
      <c r="H25" s="107">
        <v>1412790000</v>
      </c>
      <c r="I25" s="108"/>
      <c r="J25" s="108"/>
      <c r="K25" s="108"/>
      <c r="L25" s="108"/>
      <c r="M25" s="108"/>
      <c r="N25" s="108"/>
      <c r="O25" s="108"/>
      <c r="P25" s="108"/>
      <c r="Q25" s="108"/>
      <c r="R25" s="108"/>
      <c r="S25" s="108"/>
      <c r="T25" s="118"/>
      <c r="U25" s="119"/>
      <c r="V25" s="119"/>
      <c r="W25" s="107">
        <v>1412790000</v>
      </c>
      <c r="X25" s="107">
        <v>1412790000</v>
      </c>
      <c r="Y25" s="107">
        <v>1326141063</v>
      </c>
      <c r="Z25" s="119">
        <v>1399790000</v>
      </c>
      <c r="AA25" s="119">
        <v>1326141063</v>
      </c>
      <c r="AB25" s="119">
        <v>2973776000</v>
      </c>
      <c r="AC25" s="119">
        <v>0</v>
      </c>
      <c r="AD25" s="119">
        <v>0</v>
      </c>
      <c r="AE25" s="119">
        <v>408790000</v>
      </c>
      <c r="AF25" s="119">
        <f>408790000-AD25</f>
        <v>408790000</v>
      </c>
      <c r="AG25" s="119">
        <v>1385154150</v>
      </c>
      <c r="AH25" s="119">
        <f>(1793944150-AF25-AD25)</f>
        <v>1385154150</v>
      </c>
      <c r="AI25" s="119">
        <v>557630000</v>
      </c>
      <c r="AJ25" s="119">
        <f>1942784150-AH25-AF25-AD25</f>
        <v>148840000</v>
      </c>
      <c r="AK25" s="108">
        <v>0</v>
      </c>
      <c r="AL25" s="108">
        <f>1942784150-AJ25-AH25-AF25-AD25+5000000</f>
        <v>5000000</v>
      </c>
      <c r="AM25" s="108">
        <v>244731564</v>
      </c>
      <c r="AN25" s="108">
        <v>244731564</v>
      </c>
      <c r="AO25" s="108">
        <v>0</v>
      </c>
      <c r="AP25" s="108">
        <v>0</v>
      </c>
      <c r="AQ25" s="108">
        <v>62546600</v>
      </c>
      <c r="AR25" s="108">
        <v>0</v>
      </c>
      <c r="AS25" s="108">
        <f>62546600+16124316</f>
        <v>78670916</v>
      </c>
      <c r="AT25" s="108">
        <v>13226834</v>
      </c>
      <c r="AU25" s="108">
        <f>5737286+62546600</f>
        <v>68283886</v>
      </c>
      <c r="AV25" s="108">
        <v>37553138</v>
      </c>
      <c r="AW25" s="108">
        <v>62546600</v>
      </c>
      <c r="AX25" s="108">
        <v>81644647</v>
      </c>
      <c r="AY25" s="108">
        <v>62546600</v>
      </c>
      <c r="AZ25" s="108">
        <v>357168990</v>
      </c>
      <c r="BA25" s="107">
        <f>AY25+AW25+AU25+AS25+AQ25+AO25+AM25+AK25+AI25+AG25+AE25+AC25</f>
        <v>2930900316</v>
      </c>
      <c r="BB25" s="107">
        <f t="shared" si="30"/>
        <v>2930900316</v>
      </c>
      <c r="BC25" s="107">
        <f t="shared" si="30"/>
        <v>2682109323</v>
      </c>
      <c r="BD25" s="107">
        <f>AE25+AG25+AI25+AK25+AM25+AO25+AQ25+AS25+AU25+AW25+AY25+AC25</f>
        <v>2930900316</v>
      </c>
      <c r="BE25" s="107">
        <f>AD25+AF25+AH25+AJ25+AL25+AN25+AP25+AR25+AT25+AV25+AX25+AZ25</f>
        <v>2682109323</v>
      </c>
      <c r="BF25" s="107">
        <v>3364237000</v>
      </c>
      <c r="BG25" s="108">
        <v>2599004000</v>
      </c>
      <c r="BH25" s="108">
        <v>2534638908</v>
      </c>
      <c r="BI25" s="108">
        <v>0</v>
      </c>
      <c r="BJ25" s="108">
        <v>0</v>
      </c>
      <c r="BK25" s="108">
        <v>599096000</v>
      </c>
      <c r="BL25" s="108">
        <v>50000000</v>
      </c>
      <c r="BM25" s="108">
        <v>81137000</v>
      </c>
      <c r="BN25" s="108">
        <v>0</v>
      </c>
      <c r="BO25" s="108">
        <v>0</v>
      </c>
      <c r="BP25" s="108">
        <v>162596000</v>
      </c>
      <c r="BQ25" s="108">
        <v>85000000</v>
      </c>
      <c r="BR25" s="108">
        <v>0</v>
      </c>
      <c r="BS25" s="108">
        <v>0</v>
      </c>
      <c r="BT25" s="108">
        <v>0</v>
      </c>
      <c r="BU25" s="108">
        <v>50000000</v>
      </c>
      <c r="BV25" s="108">
        <v>0</v>
      </c>
      <c r="BW25" s="108">
        <v>103669108</v>
      </c>
      <c r="BX25" s="108">
        <v>80893000</v>
      </c>
      <c r="BY25" s="108">
        <v>310316001</v>
      </c>
      <c r="BZ25" s="108">
        <v>121926900</v>
      </c>
      <c r="CA25" s="108">
        <v>0</v>
      </c>
      <c r="CB25" s="108">
        <v>375907900</v>
      </c>
      <c r="CC25" s="108">
        <v>182000000</v>
      </c>
      <c r="CD25" s="108">
        <v>485217080</v>
      </c>
      <c r="CE25" s="108">
        <f>CC25+CA25+BY25+BW25+BU25+BS25+BQ25+BO25+BM25+BK25+BI25+BG25</f>
        <v>4010222109</v>
      </c>
      <c r="CF25" s="108">
        <f t="shared" si="31"/>
        <v>4010222109</v>
      </c>
      <c r="CG25" s="108">
        <f t="shared" si="31"/>
        <v>3811179788</v>
      </c>
      <c r="CH25" s="107">
        <f>CC25+CA25+BY25+BW25+BU25+BS25+BQ25+BO25+BM25+BK25+BI25+BG25</f>
        <v>4010222109</v>
      </c>
      <c r="CI25" s="107">
        <f>+BH25+BJ25+BL25+BN25+BP25+BR25+BT25+BV25+BX25+BZ25+CB25+CD25</f>
        <v>3811179788</v>
      </c>
      <c r="CJ25" s="108">
        <v>3038408000</v>
      </c>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7">
        <v>0</v>
      </c>
      <c r="DJ25" s="117">
        <v>0</v>
      </c>
      <c r="DK25" s="117">
        <v>0</v>
      </c>
      <c r="DL25" s="107">
        <v>0</v>
      </c>
      <c r="DM25" s="117">
        <v>0</v>
      </c>
      <c r="DN25" s="108">
        <v>2112663000</v>
      </c>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297">
        <f>EK25+EI25+EG25+EE25+EC25+EA25+DY25+DW25+DU25+DS25+DQ25+DO25</f>
        <v>0</v>
      </c>
      <c r="EN25" s="87">
        <f t="shared" si="32"/>
        <v>0</v>
      </c>
      <c r="EO25" s="87">
        <f t="shared" si="33"/>
        <v>0</v>
      </c>
      <c r="EP25" s="88">
        <f>DQ25+DS25+DU25+DW25+DY25+EA25+EC25+EE25+EG25+EI25+EK25+DO25</f>
        <v>0</v>
      </c>
      <c r="EQ25" s="87">
        <f>DP25+DR25+DT25+DV25</f>
        <v>0</v>
      </c>
      <c r="ER25" s="123">
        <f t="shared" si="4"/>
        <v>2.666027912087912</v>
      </c>
      <c r="ES25" s="277">
        <f t="shared" si="6"/>
        <v>0.95036626012477055</v>
      </c>
      <c r="ET25" s="278">
        <f t="shared" si="7"/>
        <v>0.95036626012477055</v>
      </c>
      <c r="EU25" s="279">
        <f t="shared" si="5"/>
        <v>0.93747899217392872</v>
      </c>
      <c r="EV25" s="278">
        <f t="shared" si="8"/>
        <v>0.59375104208955731</v>
      </c>
      <c r="EW25" s="477"/>
      <c r="EX25" s="475" t="s">
        <v>568</v>
      </c>
      <c r="EY25" s="475" t="s">
        <v>568</v>
      </c>
      <c r="EZ25" s="476"/>
      <c r="FA25" s="476"/>
      <c r="FB25" s="479"/>
    </row>
    <row r="26" spans="1:159" s="57" customFormat="1" ht="42.75" customHeight="1" x14ac:dyDescent="0.25">
      <c r="A26" s="515"/>
      <c r="B26" s="515"/>
      <c r="C26" s="515"/>
      <c r="D26" s="515"/>
      <c r="E26" s="515"/>
      <c r="F26" s="313" t="s">
        <v>216</v>
      </c>
      <c r="G26" s="318"/>
      <c r="H26" s="299"/>
      <c r="I26" s="108"/>
      <c r="J26" s="108"/>
      <c r="K26" s="108"/>
      <c r="L26" s="108"/>
      <c r="M26" s="108"/>
      <c r="N26" s="108"/>
      <c r="O26" s="108"/>
      <c r="P26" s="108"/>
      <c r="Q26" s="108"/>
      <c r="R26" s="108"/>
      <c r="S26" s="108"/>
      <c r="T26" s="118"/>
      <c r="U26" s="119"/>
      <c r="V26" s="119"/>
      <c r="W26" s="299"/>
      <c r="X26" s="299"/>
      <c r="Y26" s="299"/>
      <c r="Z26" s="119"/>
      <c r="AA26" s="119"/>
      <c r="AB26" s="119"/>
      <c r="AC26" s="108">
        <v>0</v>
      </c>
      <c r="AD26" s="108">
        <v>0</v>
      </c>
      <c r="AE26" s="119">
        <v>0</v>
      </c>
      <c r="AF26" s="108">
        <v>0</v>
      </c>
      <c r="AG26" s="108">
        <v>38410320</v>
      </c>
      <c r="AH26" s="108">
        <v>38410320</v>
      </c>
      <c r="AI26" s="108">
        <f>121559153-AG26</f>
        <v>83148833</v>
      </c>
      <c r="AJ26" s="108">
        <f>121559153-AH26</f>
        <v>83148833</v>
      </c>
      <c r="AK26" s="108">
        <v>253856212</v>
      </c>
      <c r="AL26" s="108">
        <f>375415365-AJ26-AH26-AF26-AD26-5062267</f>
        <v>248793945</v>
      </c>
      <c r="AM26" s="108">
        <v>303351665</v>
      </c>
      <c r="AN26" s="108">
        <v>303351665</v>
      </c>
      <c r="AO26" s="108">
        <v>0</v>
      </c>
      <c r="AP26" s="108">
        <v>207894550</v>
      </c>
      <c r="AQ26" s="108">
        <v>0</v>
      </c>
      <c r="AR26" s="108">
        <v>206559350</v>
      </c>
      <c r="AS26" s="108">
        <v>0</v>
      </c>
      <c r="AT26" s="108">
        <v>243123239</v>
      </c>
      <c r="AU26" s="108">
        <v>0</v>
      </c>
      <c r="AV26" s="108">
        <v>245622893</v>
      </c>
      <c r="AW26" s="108">
        <v>0</v>
      </c>
      <c r="AX26" s="108">
        <v>192872568</v>
      </c>
      <c r="AY26" s="108">
        <v>0</v>
      </c>
      <c r="AZ26" s="108">
        <v>365953417.93756247</v>
      </c>
      <c r="BA26" s="107">
        <f>AY26+AW26+AU26+AS26+AQ26+AO26+AM26+AK26+AI26+AG26+AE26+AC26</f>
        <v>678767030</v>
      </c>
      <c r="BB26" s="107">
        <f t="shared" si="30"/>
        <v>678767030</v>
      </c>
      <c r="BC26" s="107">
        <f t="shared" si="30"/>
        <v>2135730780.9375625</v>
      </c>
      <c r="BD26" s="107">
        <f>AE26+AG26+AI26+AK26+AM26+AO26+AQ26+AS26+AU26+AW26+AY26+AC26</f>
        <v>678767030</v>
      </c>
      <c r="BE26" s="107">
        <f>AD26+AF26+AH26+AJ26+AL26+AN26+AP26+AR26+AT26+AV26+AX26+AZ26</f>
        <v>2135730780.9375625</v>
      </c>
      <c r="BF26" s="108">
        <v>0</v>
      </c>
      <c r="BG26" s="120">
        <v>0</v>
      </c>
      <c r="BH26" s="120">
        <v>0</v>
      </c>
      <c r="BI26" s="120"/>
      <c r="BJ26" s="108">
        <v>9067333</v>
      </c>
      <c r="BK26" s="120"/>
      <c r="BL26" s="108">
        <v>212285736</v>
      </c>
      <c r="BM26" s="120"/>
      <c r="BN26" s="108">
        <v>373279828</v>
      </c>
      <c r="BO26" s="120"/>
      <c r="BP26" s="108">
        <v>298553561</v>
      </c>
      <c r="BQ26" s="120"/>
      <c r="BR26" s="108">
        <v>269039206</v>
      </c>
      <c r="BS26" s="120"/>
      <c r="BT26" s="108">
        <v>234759900</v>
      </c>
      <c r="BU26" s="120">
        <v>0</v>
      </c>
      <c r="BV26" s="108">
        <v>270020995</v>
      </c>
      <c r="BW26" s="120">
        <v>0</v>
      </c>
      <c r="BX26" s="108">
        <v>282708373</v>
      </c>
      <c r="BY26" s="120">
        <v>0</v>
      </c>
      <c r="BZ26" s="108">
        <v>346521377</v>
      </c>
      <c r="CA26" s="120">
        <v>0</v>
      </c>
      <c r="CB26" s="108">
        <v>301164041</v>
      </c>
      <c r="CC26" s="120">
        <v>0</v>
      </c>
      <c r="CD26" s="108">
        <v>447916918</v>
      </c>
      <c r="CE26" s="120">
        <f>CC26+CA26+BY26+BW26+BU26+BS26+BQ26+BO26+BM26+BK26+BI26+BG26</f>
        <v>0</v>
      </c>
      <c r="CF26" s="108">
        <f t="shared" si="31"/>
        <v>0</v>
      </c>
      <c r="CG26" s="108">
        <f t="shared" si="31"/>
        <v>3045317268</v>
      </c>
      <c r="CH26" s="107">
        <f>CC26+CA26+BY26+BW26+BU26+BS26+BQ26+BO26+BM26+BK26+BI26+BG26</f>
        <v>0</v>
      </c>
      <c r="CI26" s="107">
        <f>+BH26+BJ26+BL26+BN26+BP26+BR26+BT26+BV26+BX26+BZ26+CB26+CD26</f>
        <v>3045317268</v>
      </c>
      <c r="CJ26" s="108">
        <v>0</v>
      </c>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7"/>
      <c r="DJ26" s="117"/>
      <c r="DK26" s="117"/>
      <c r="DL26" s="107"/>
      <c r="DM26" s="117"/>
      <c r="DN26" s="108">
        <v>0</v>
      </c>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297">
        <f>EI26+EG26+EE26+EC26+EA26+DY26+DW26+DU26+DS26+DQ26+DO26+EK26</f>
        <v>0</v>
      </c>
      <c r="EN26" s="87">
        <f t="shared" si="32"/>
        <v>0</v>
      </c>
      <c r="EO26" s="87">
        <f t="shared" si="33"/>
        <v>0</v>
      </c>
      <c r="EP26" s="85">
        <f>DQ26+DS26+DU26+DW26+DY26+EA26+EC26+EE26+EG26+EI26+EK26</f>
        <v>0</v>
      </c>
      <c r="EQ26" s="87">
        <f>DP26+DR26+DT26+DV26</f>
        <v>0</v>
      </c>
      <c r="ER26" s="123" t="e">
        <f t="shared" si="4"/>
        <v>#DIV/0!</v>
      </c>
      <c r="ES26" s="277" t="e">
        <f t="shared" si="6"/>
        <v>#DIV/0!</v>
      </c>
      <c r="ET26" s="278" t="e">
        <f t="shared" si="7"/>
        <v>#DIV/0!</v>
      </c>
      <c r="EU26" s="279">
        <f t="shared" si="5"/>
        <v>7.6330284470911369</v>
      </c>
      <c r="EV26" s="278" t="e">
        <f t="shared" si="8"/>
        <v>#DIV/0!</v>
      </c>
      <c r="EW26" s="477"/>
      <c r="EX26" s="475" t="s">
        <v>568</v>
      </c>
      <c r="EY26" s="475" t="s">
        <v>568</v>
      </c>
      <c r="EZ26" s="476"/>
      <c r="FA26" s="476"/>
      <c r="FB26" s="479"/>
    </row>
    <row r="27" spans="1:159" s="3" customFormat="1" ht="42.75" customHeight="1" x14ac:dyDescent="0.25">
      <c r="A27" s="515"/>
      <c r="B27" s="515"/>
      <c r="C27" s="515"/>
      <c r="D27" s="515"/>
      <c r="E27" s="515"/>
      <c r="F27" s="311" t="s">
        <v>41</v>
      </c>
      <c r="G27" s="319">
        <f>+AA27+BD27+BF27+CJ27+DN27</f>
        <v>0</v>
      </c>
      <c r="H27" s="107">
        <v>0</v>
      </c>
      <c r="I27" s="274"/>
      <c r="J27" s="274"/>
      <c r="K27" s="274"/>
      <c r="L27" s="274"/>
      <c r="M27" s="274"/>
      <c r="N27" s="274"/>
      <c r="O27" s="274"/>
      <c r="P27" s="274"/>
      <c r="Q27" s="274"/>
      <c r="R27" s="274"/>
      <c r="S27" s="274"/>
      <c r="T27" s="291"/>
      <c r="U27" s="274"/>
      <c r="V27" s="274"/>
      <c r="W27" s="107">
        <v>0</v>
      </c>
      <c r="X27" s="107">
        <v>0</v>
      </c>
      <c r="Y27" s="107">
        <v>0</v>
      </c>
      <c r="Z27" s="107">
        <v>0</v>
      </c>
      <c r="AA27" s="107">
        <v>0</v>
      </c>
      <c r="AB27" s="274">
        <v>0</v>
      </c>
      <c r="AC27" s="274">
        <v>0</v>
      </c>
      <c r="AD27" s="274">
        <v>0</v>
      </c>
      <c r="AE27" s="274">
        <v>0</v>
      </c>
      <c r="AF27" s="274">
        <v>0</v>
      </c>
      <c r="AG27" s="274">
        <v>0</v>
      </c>
      <c r="AH27" s="274">
        <v>0</v>
      </c>
      <c r="AI27" s="274">
        <v>0</v>
      </c>
      <c r="AJ27" s="274">
        <v>0</v>
      </c>
      <c r="AK27" s="274">
        <v>0</v>
      </c>
      <c r="AL27" s="274">
        <v>0</v>
      </c>
      <c r="AM27" s="274">
        <v>0</v>
      </c>
      <c r="AN27" s="274">
        <v>0</v>
      </c>
      <c r="AO27" s="274">
        <v>0</v>
      </c>
      <c r="AP27" s="274">
        <v>0</v>
      </c>
      <c r="AQ27" s="274">
        <v>0</v>
      </c>
      <c r="AR27" s="274">
        <v>0</v>
      </c>
      <c r="AS27" s="274">
        <v>0</v>
      </c>
      <c r="AT27" s="274">
        <v>0</v>
      </c>
      <c r="AU27" s="274">
        <v>0</v>
      </c>
      <c r="AV27" s="274">
        <v>0</v>
      </c>
      <c r="AW27" s="274">
        <v>0</v>
      </c>
      <c r="AX27" s="274">
        <v>0</v>
      </c>
      <c r="AY27" s="274">
        <v>0</v>
      </c>
      <c r="AZ27" s="274">
        <v>0</v>
      </c>
      <c r="BA27" s="121">
        <f>AY27+AW27+AU27+AS27+AQ27+AO27+AM27+AK27+AI27+AG27+AE27+AC27</f>
        <v>0</v>
      </c>
      <c r="BB27" s="121">
        <f t="shared" si="30"/>
        <v>0</v>
      </c>
      <c r="BC27" s="121">
        <f t="shared" si="30"/>
        <v>0</v>
      </c>
      <c r="BD27" s="121">
        <f>AE27+AG27+AI27+AK27+AM27+AO27+AQ27+AS27+AU27+AW27+AY27+AC27</f>
        <v>0</v>
      </c>
      <c r="BE27" s="121">
        <f>AD27+AF27+AH27+AJ27+AL27+AN27+AP27+AR27+AT27+AV27+AX27+AZ27</f>
        <v>0</v>
      </c>
      <c r="BF27" s="274">
        <v>0</v>
      </c>
      <c r="BG27" s="274">
        <v>0</v>
      </c>
      <c r="BH27" s="274">
        <v>0</v>
      </c>
      <c r="BI27" s="274">
        <v>0</v>
      </c>
      <c r="BJ27" s="274">
        <v>0</v>
      </c>
      <c r="BK27" s="274">
        <v>0</v>
      </c>
      <c r="BL27" s="274">
        <v>0</v>
      </c>
      <c r="BM27" s="274">
        <v>0</v>
      </c>
      <c r="BN27" s="274">
        <v>0</v>
      </c>
      <c r="BO27" s="274">
        <v>0</v>
      </c>
      <c r="BP27" s="274">
        <v>0</v>
      </c>
      <c r="BQ27" s="274">
        <v>0</v>
      </c>
      <c r="BR27" s="274">
        <v>0</v>
      </c>
      <c r="BS27" s="274">
        <v>0</v>
      </c>
      <c r="BT27" s="274">
        <v>0</v>
      </c>
      <c r="BU27" s="274">
        <v>0</v>
      </c>
      <c r="BV27" s="274">
        <v>0</v>
      </c>
      <c r="BW27" s="274">
        <v>0</v>
      </c>
      <c r="BX27" s="274">
        <v>0</v>
      </c>
      <c r="BY27" s="274">
        <v>0</v>
      </c>
      <c r="BZ27" s="274">
        <v>0</v>
      </c>
      <c r="CA27" s="274">
        <v>0</v>
      </c>
      <c r="CB27" s="274">
        <v>0</v>
      </c>
      <c r="CC27" s="274">
        <v>0</v>
      </c>
      <c r="CD27" s="274">
        <v>0</v>
      </c>
      <c r="CE27" s="293">
        <f>CC27+CA27+BY27+BW27+BU27+BS27+BQ27+BO27+BM27+BK27+BI27+BG27</f>
        <v>0</v>
      </c>
      <c r="CF27" s="292">
        <f t="shared" si="31"/>
        <v>0</v>
      </c>
      <c r="CG27" s="240">
        <f t="shared" si="31"/>
        <v>0</v>
      </c>
      <c r="CH27" s="237">
        <f>CC27+CA27+BY27+BW27+BU27+BS27+BQ27+BO27+BM27+BK27+BI27+BG27</f>
        <v>0</v>
      </c>
      <c r="CI27" s="240">
        <f>+BH27+BJ27+BL27+BN27+BP27+BR27+BT27+BV27+BX27+BZ27+CB27+CD27</f>
        <v>0</v>
      </c>
      <c r="CJ27" s="274">
        <v>0</v>
      </c>
      <c r="CK27" s="274"/>
      <c r="CL27" s="274"/>
      <c r="CM27" s="274"/>
      <c r="CN27" s="274"/>
      <c r="CO27" s="274"/>
      <c r="CP27" s="274"/>
      <c r="CQ27" s="274"/>
      <c r="CR27" s="274"/>
      <c r="CS27" s="274"/>
      <c r="CT27" s="274"/>
      <c r="CU27" s="274"/>
      <c r="CV27" s="274"/>
      <c r="CW27" s="274"/>
      <c r="CX27" s="274"/>
      <c r="CY27" s="274"/>
      <c r="CZ27" s="274"/>
      <c r="DA27" s="274"/>
      <c r="DB27" s="274"/>
      <c r="DC27" s="274"/>
      <c r="DD27" s="274"/>
      <c r="DE27" s="274"/>
      <c r="DF27" s="274"/>
      <c r="DG27" s="274"/>
      <c r="DH27" s="274"/>
      <c r="DI27" s="291">
        <v>0</v>
      </c>
      <c r="DJ27" s="274">
        <v>0</v>
      </c>
      <c r="DK27" s="291">
        <v>0</v>
      </c>
      <c r="DL27" s="122">
        <v>0</v>
      </c>
      <c r="DM27" s="274">
        <v>0</v>
      </c>
      <c r="DN27" s="274">
        <v>0</v>
      </c>
      <c r="DO27" s="300"/>
      <c r="DP27" s="300"/>
      <c r="DQ27" s="300"/>
      <c r="DR27" s="300"/>
      <c r="DS27" s="300"/>
      <c r="DT27" s="300"/>
      <c r="DU27" s="300"/>
      <c r="DV27" s="300"/>
      <c r="DW27" s="300"/>
      <c r="DX27" s="300"/>
      <c r="DY27" s="300"/>
      <c r="DZ27" s="300"/>
      <c r="EA27" s="300"/>
      <c r="EB27" s="300"/>
      <c r="EC27" s="300"/>
      <c r="ED27" s="300"/>
      <c r="EE27" s="300"/>
      <c r="EF27" s="300"/>
      <c r="EG27" s="300"/>
      <c r="EH27" s="300"/>
      <c r="EI27" s="300"/>
      <c r="EJ27" s="300"/>
      <c r="EK27" s="300"/>
      <c r="EL27" s="300"/>
      <c r="EM27" s="296">
        <f>EI27+EG27+EE27+EC27+EA27+DY27+DW27+DU27+DS27+DQ27+DO27+EK27</f>
        <v>0</v>
      </c>
      <c r="EN27" s="89">
        <f t="shared" si="32"/>
        <v>0</v>
      </c>
      <c r="EO27" s="89">
        <f t="shared" si="33"/>
        <v>0</v>
      </c>
      <c r="EP27" s="90">
        <f>DQ27+DS27+DU27+DW27+DY27+EA27+EC27+EE27+EG27+EI27+EK27</f>
        <v>0</v>
      </c>
      <c r="EQ27" s="296">
        <f>DP27+DR27+DT27+DV27</f>
        <v>0</v>
      </c>
      <c r="ER27" s="123" t="e">
        <f t="shared" si="4"/>
        <v>#DIV/0!</v>
      </c>
      <c r="ES27" s="277" t="e">
        <f t="shared" si="6"/>
        <v>#DIV/0!</v>
      </c>
      <c r="ET27" s="278" t="e">
        <f t="shared" si="7"/>
        <v>#DIV/0!</v>
      </c>
      <c r="EU27" s="279" t="e">
        <f t="shared" si="5"/>
        <v>#DIV/0!</v>
      </c>
      <c r="EV27" s="278" t="e">
        <f t="shared" si="8"/>
        <v>#DIV/0!</v>
      </c>
      <c r="EW27" s="477"/>
      <c r="EX27" s="475" t="s">
        <v>568</v>
      </c>
      <c r="EY27" s="475" t="s">
        <v>568</v>
      </c>
      <c r="EZ27" s="476"/>
      <c r="FA27" s="476"/>
      <c r="FB27" s="479"/>
    </row>
    <row r="28" spans="1:159" s="3" customFormat="1" ht="42.75" customHeight="1" x14ac:dyDescent="0.25">
      <c r="A28" s="515"/>
      <c r="B28" s="515"/>
      <c r="C28" s="515"/>
      <c r="D28" s="515"/>
      <c r="E28" s="515"/>
      <c r="F28" s="312" t="s">
        <v>4</v>
      </c>
      <c r="G28" s="317">
        <f>AA28+BE28+CH28+CJ28+DN28</f>
        <v>1043945993</v>
      </c>
      <c r="H28" s="274">
        <v>0</v>
      </c>
      <c r="I28" s="108">
        <v>0</v>
      </c>
      <c r="J28" s="108">
        <v>0</v>
      </c>
      <c r="K28" s="108">
        <v>0</v>
      </c>
      <c r="L28" s="108">
        <v>0</v>
      </c>
      <c r="M28" s="108">
        <v>0</v>
      </c>
      <c r="N28" s="108">
        <v>0</v>
      </c>
      <c r="O28" s="108">
        <v>0</v>
      </c>
      <c r="P28" s="108">
        <v>0</v>
      </c>
      <c r="Q28" s="108">
        <v>0</v>
      </c>
      <c r="R28" s="108">
        <v>0</v>
      </c>
      <c r="S28" s="108">
        <v>0</v>
      </c>
      <c r="T28" s="118">
        <v>0</v>
      </c>
      <c r="U28" s="119">
        <v>0</v>
      </c>
      <c r="V28" s="119">
        <v>0</v>
      </c>
      <c r="W28" s="274">
        <v>0</v>
      </c>
      <c r="X28" s="274">
        <v>0</v>
      </c>
      <c r="Y28" s="274">
        <v>0</v>
      </c>
      <c r="Z28" s="119">
        <v>0</v>
      </c>
      <c r="AA28" s="119">
        <v>0</v>
      </c>
      <c r="AB28" s="119">
        <v>592742679</v>
      </c>
      <c r="AC28" s="108">
        <v>91072667</v>
      </c>
      <c r="AD28" s="108">
        <v>91072667</v>
      </c>
      <c r="AE28" s="108">
        <f>205477567-AC28</f>
        <v>114404900</v>
      </c>
      <c r="AF28" s="108">
        <f>205477567-AD28</f>
        <v>114404900</v>
      </c>
      <c r="AG28" s="108">
        <v>43650195</v>
      </c>
      <c r="AH28" s="108">
        <f>249127762-AF28-AD28</f>
        <v>43650195</v>
      </c>
      <c r="AI28" s="108">
        <v>52211433</v>
      </c>
      <c r="AJ28" s="108">
        <f>301339195-AH28-AF28-AD28</f>
        <v>52211433</v>
      </c>
      <c r="AK28" s="108">
        <v>38507889</v>
      </c>
      <c r="AL28" s="108">
        <f>339847084-AJ28-AH28-AF28-AD28</f>
        <v>38507889</v>
      </c>
      <c r="AM28" s="108">
        <v>92916500</v>
      </c>
      <c r="AN28" s="108">
        <v>91626500</v>
      </c>
      <c r="AO28" s="108">
        <v>63971107</v>
      </c>
      <c r="AP28" s="108">
        <v>0</v>
      </c>
      <c r="AQ28" s="108">
        <v>16343157</v>
      </c>
      <c r="AR28" s="108">
        <v>100496560</v>
      </c>
      <c r="AS28" s="108">
        <f>23000000+56664831</f>
        <v>79664831</v>
      </c>
      <c r="AT28" s="108">
        <v>809200</v>
      </c>
      <c r="AU28" s="108">
        <v>0</v>
      </c>
      <c r="AV28" s="108">
        <v>12817727</v>
      </c>
      <c r="AW28" s="108">
        <v>-1342800</v>
      </c>
      <c r="AX28" s="108">
        <v>29874112</v>
      </c>
      <c r="AY28" s="108">
        <v>0</v>
      </c>
      <c r="AZ28" s="108">
        <v>9604961</v>
      </c>
      <c r="BA28" s="107">
        <f>AY28+AW28+AU28+AS28+AQ28+AO28+AM28+AK28+AI28+AG28+AE28+AC28</f>
        <v>591399879</v>
      </c>
      <c r="BB28" s="107">
        <f t="shared" si="30"/>
        <v>591399879</v>
      </c>
      <c r="BC28" s="107">
        <f t="shared" si="30"/>
        <v>585076144</v>
      </c>
      <c r="BD28" s="107">
        <f>AE28+AG28+AI28+AK28+AM28+AO28+AQ28+AS28+AU28+AW28+AY28+AC28</f>
        <v>591399879</v>
      </c>
      <c r="BE28" s="107">
        <f>AD28+AF28+AH28+AJ28+AL28+AN28+AP28+AR28+AT28+AV28+AX28+AZ28</f>
        <v>585076144</v>
      </c>
      <c r="BF28" s="108">
        <v>459991982</v>
      </c>
      <c r="BG28" s="108">
        <v>34305183</v>
      </c>
      <c r="BH28" s="108">
        <v>0</v>
      </c>
      <c r="BI28" s="108">
        <f>101870690- 1122133</f>
        <v>100748557</v>
      </c>
      <c r="BJ28" s="108">
        <v>71062834</v>
      </c>
      <c r="BK28" s="108">
        <v>62175676</v>
      </c>
      <c r="BL28" s="108">
        <v>0</v>
      </c>
      <c r="BM28" s="108">
        <v>99000000</v>
      </c>
      <c r="BN28" s="108">
        <v>0</v>
      </c>
      <c r="BO28" s="108">
        <v>22023119</v>
      </c>
      <c r="BP28" s="108">
        <v>0</v>
      </c>
      <c r="BQ28" s="108">
        <v>102726512</v>
      </c>
      <c r="BR28" s="108">
        <v>0</v>
      </c>
      <c r="BS28" s="108">
        <f>35867683+1122133</f>
        <v>36989816</v>
      </c>
      <c r="BT28" s="108">
        <v>387807015</v>
      </c>
      <c r="BU28" s="108">
        <v>2023119</v>
      </c>
      <c r="BV28" s="108">
        <v>0</v>
      </c>
      <c r="BW28" s="108">
        <v>-1122133</v>
      </c>
      <c r="BX28" s="108">
        <v>-133055649</v>
      </c>
      <c r="BY28" s="108">
        <v>0</v>
      </c>
      <c r="BZ28" s="108">
        <v>8863870</v>
      </c>
      <c r="CA28" s="108">
        <v>1122133</v>
      </c>
      <c r="CB28" s="108">
        <v>107147411</v>
      </c>
      <c r="CC28" s="108">
        <v>-1122133</v>
      </c>
      <c r="CD28" s="108">
        <v>0</v>
      </c>
      <c r="CE28" s="108">
        <f>CC28+CA28+BY28+BW28+BU28+BS28+BQ28+BO28+BM28+BK28+BI28+BG28</f>
        <v>458869849</v>
      </c>
      <c r="CF28" s="108">
        <f t="shared" si="31"/>
        <v>458869849</v>
      </c>
      <c r="CG28" s="108">
        <f t="shared" si="31"/>
        <v>441825481</v>
      </c>
      <c r="CH28" s="107">
        <f>CC28+CA28+BY28+BW28+BU28+BS28+BQ28+BO28+BM28+BK28+BI28+BG28</f>
        <v>458869849</v>
      </c>
      <c r="CI28" s="107">
        <f>+BH28+BJ28+BL28+BN28+BP28+BR28+BT28+BV28+BX28+BZ28+CB28+CD28</f>
        <v>441825481</v>
      </c>
      <c r="CJ28" s="108">
        <v>0</v>
      </c>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7">
        <v>0</v>
      </c>
      <c r="DJ28" s="117">
        <v>0</v>
      </c>
      <c r="DK28" s="117">
        <v>0</v>
      </c>
      <c r="DL28" s="107">
        <v>0</v>
      </c>
      <c r="DM28" s="117">
        <v>0</v>
      </c>
      <c r="DN28" s="108">
        <v>0</v>
      </c>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296">
        <f>EI28+EG28+EE28+EC28+EA28+DY28+DW28+DU28+DS28+DQ28+DO28+EK28</f>
        <v>0</v>
      </c>
      <c r="EN28" s="87">
        <f t="shared" si="32"/>
        <v>0</v>
      </c>
      <c r="EO28" s="87">
        <f t="shared" si="33"/>
        <v>0</v>
      </c>
      <c r="EP28" s="85">
        <f>DQ28+DS28+DU28+DW28+DY28+EA28+EC28+EE28+EG28+EI28+EK28+DO28</f>
        <v>0</v>
      </c>
      <c r="EQ28" s="87">
        <f>DP28+DR28+DT28+DV28</f>
        <v>0</v>
      </c>
      <c r="ER28" s="123">
        <f t="shared" si="4"/>
        <v>0</v>
      </c>
      <c r="ES28" s="277">
        <f t="shared" si="6"/>
        <v>0.9628557682812583</v>
      </c>
      <c r="ET28" s="278">
        <f t="shared" si="7"/>
        <v>0.9628557682812583</v>
      </c>
      <c r="EU28" s="279">
        <f t="shared" si="5"/>
        <v>0.97775037937682996</v>
      </c>
      <c r="EV28" s="278">
        <f t="shared" si="8"/>
        <v>0.98367313240887166</v>
      </c>
      <c r="EW28" s="477"/>
      <c r="EX28" s="475" t="s">
        <v>568</v>
      </c>
      <c r="EY28" s="475" t="s">
        <v>568</v>
      </c>
      <c r="EZ28" s="476"/>
      <c r="FA28" s="476"/>
      <c r="FB28" s="479"/>
    </row>
    <row r="29" spans="1:159" s="3" customFormat="1" ht="42.75" customHeight="1" thickBot="1" x14ac:dyDescent="0.3">
      <c r="A29" s="515"/>
      <c r="B29" s="515"/>
      <c r="C29" s="515"/>
      <c r="D29" s="515"/>
      <c r="E29" s="515"/>
      <c r="F29" s="311" t="s">
        <v>42</v>
      </c>
      <c r="G29" s="366">
        <f>+G24+G27</f>
        <v>8</v>
      </c>
      <c r="H29" s="378">
        <f>+H24+H27</f>
        <v>1</v>
      </c>
      <c r="I29" s="335"/>
      <c r="J29" s="335"/>
      <c r="K29" s="335"/>
      <c r="L29" s="335"/>
      <c r="M29" s="335"/>
      <c r="N29" s="335"/>
      <c r="O29" s="335"/>
      <c r="P29" s="335"/>
      <c r="Q29" s="335"/>
      <c r="R29" s="335"/>
      <c r="S29" s="335"/>
      <c r="T29" s="335"/>
      <c r="U29" s="335"/>
      <c r="V29" s="335"/>
      <c r="W29" s="378">
        <f t="shared" ref="W29:AK29" si="34">+W24+W27</f>
        <v>1</v>
      </c>
      <c r="X29" s="378">
        <f t="shared" si="34"/>
        <v>1</v>
      </c>
      <c r="Y29" s="378">
        <f t="shared" si="34"/>
        <v>1</v>
      </c>
      <c r="Z29" s="378">
        <f t="shared" si="34"/>
        <v>1</v>
      </c>
      <c r="AA29" s="378">
        <f t="shared" si="34"/>
        <v>1</v>
      </c>
      <c r="AB29" s="378">
        <f t="shared" si="34"/>
        <v>2</v>
      </c>
      <c r="AC29" s="378">
        <f t="shared" si="34"/>
        <v>0.17</v>
      </c>
      <c r="AD29" s="378">
        <f t="shared" si="34"/>
        <v>0.15</v>
      </c>
      <c r="AE29" s="378">
        <f t="shared" si="34"/>
        <v>0.17</v>
      </c>
      <c r="AF29" s="378">
        <f t="shared" si="34"/>
        <v>0.11</v>
      </c>
      <c r="AG29" s="378">
        <f t="shared" si="34"/>
        <v>0.17</v>
      </c>
      <c r="AH29" s="378">
        <f t="shared" si="34"/>
        <v>0.1</v>
      </c>
      <c r="AI29" s="378">
        <f t="shared" si="34"/>
        <v>0.17</v>
      </c>
      <c r="AJ29" s="378">
        <f t="shared" si="34"/>
        <v>0.15</v>
      </c>
      <c r="AK29" s="378">
        <f t="shared" si="34"/>
        <v>0.14000000000000001</v>
      </c>
      <c r="AL29" s="378">
        <f t="shared" ref="AL29:AZ29" si="35">+AL24+AL27</f>
        <v>0.14000000000000001</v>
      </c>
      <c r="AM29" s="378">
        <f t="shared" si="35"/>
        <v>0.17</v>
      </c>
      <c r="AN29" s="378">
        <f t="shared" si="35"/>
        <v>0.35</v>
      </c>
      <c r="AO29" s="378">
        <f t="shared" si="35"/>
        <v>0.17</v>
      </c>
      <c r="AP29" s="378">
        <f t="shared" si="35"/>
        <v>0.26</v>
      </c>
      <c r="AQ29" s="378">
        <f t="shared" si="35"/>
        <v>0.17</v>
      </c>
      <c r="AR29" s="378">
        <f t="shared" si="35"/>
        <v>0.13</v>
      </c>
      <c r="AS29" s="378">
        <f t="shared" si="35"/>
        <v>0.17</v>
      </c>
      <c r="AT29" s="378">
        <f t="shared" si="35"/>
        <v>0.17</v>
      </c>
      <c r="AU29" s="378">
        <f t="shared" si="35"/>
        <v>0.17</v>
      </c>
      <c r="AV29" s="378">
        <f t="shared" si="35"/>
        <v>0.21</v>
      </c>
      <c r="AW29" s="378">
        <f t="shared" si="35"/>
        <v>0.17</v>
      </c>
      <c r="AX29" s="378">
        <f t="shared" si="35"/>
        <v>0.17</v>
      </c>
      <c r="AY29" s="378">
        <f t="shared" si="35"/>
        <v>0.16</v>
      </c>
      <c r="AZ29" s="378">
        <f t="shared" si="35"/>
        <v>0.06</v>
      </c>
      <c r="BA29" s="378">
        <f t="shared" ref="BA29:BE30" si="36">+BA24+BA27</f>
        <v>1.9999999999999996</v>
      </c>
      <c r="BB29" s="335">
        <f t="shared" si="36"/>
        <v>1.9999999999999998</v>
      </c>
      <c r="BC29" s="335">
        <f t="shared" si="36"/>
        <v>2</v>
      </c>
      <c r="BD29" s="335">
        <f t="shared" si="36"/>
        <v>1.9999999999999998</v>
      </c>
      <c r="BE29" s="335">
        <f t="shared" si="36"/>
        <v>2</v>
      </c>
      <c r="BF29" s="335">
        <f t="shared" ref="BF29:BI30" si="37">+BF24+BF27</f>
        <v>2</v>
      </c>
      <c r="BG29" s="335">
        <f t="shared" si="37"/>
        <v>0.17</v>
      </c>
      <c r="BH29" s="335">
        <f t="shared" si="37"/>
        <v>0</v>
      </c>
      <c r="BI29" s="335">
        <f t="shared" si="37"/>
        <v>0.17</v>
      </c>
      <c r="BJ29" s="335">
        <f>+BJ24+BJ27</f>
        <v>0.33</v>
      </c>
      <c r="BK29" s="335">
        <f t="shared" ref="BK29:CI29" si="38">+BK24+BK27</f>
        <v>0.17</v>
      </c>
      <c r="BL29" s="335">
        <f t="shared" si="38"/>
        <v>0.17</v>
      </c>
      <c r="BM29" s="335">
        <f t="shared" si="38"/>
        <v>0.17</v>
      </c>
      <c r="BN29" s="335">
        <f t="shared" si="38"/>
        <v>0.17</v>
      </c>
      <c r="BO29" s="335">
        <f t="shared" si="38"/>
        <v>0.14000000000000001</v>
      </c>
      <c r="BP29" s="335">
        <f t="shared" si="38"/>
        <v>0.14000000000000001</v>
      </c>
      <c r="BQ29" s="335">
        <f t="shared" si="38"/>
        <v>0.18</v>
      </c>
      <c r="BR29" s="335">
        <f t="shared" si="38"/>
        <v>0.17</v>
      </c>
      <c r="BS29" s="335">
        <f t="shared" si="38"/>
        <v>0.17</v>
      </c>
      <c r="BT29" s="335">
        <f t="shared" si="38"/>
        <v>0.19</v>
      </c>
      <c r="BU29" s="335">
        <f t="shared" si="38"/>
        <v>0.17</v>
      </c>
      <c r="BV29" s="335">
        <f t="shared" si="38"/>
        <v>0.17</v>
      </c>
      <c r="BW29" s="335">
        <f t="shared" si="38"/>
        <v>0.17</v>
      </c>
      <c r="BX29" s="335">
        <f t="shared" si="38"/>
        <v>0.17</v>
      </c>
      <c r="BY29" s="335">
        <f t="shared" si="38"/>
        <v>0.17</v>
      </c>
      <c r="BZ29" s="335">
        <f t="shared" si="38"/>
        <v>0.17</v>
      </c>
      <c r="CA29" s="335">
        <f t="shared" si="38"/>
        <v>0.17</v>
      </c>
      <c r="CB29" s="335">
        <f t="shared" si="38"/>
        <v>0.17</v>
      </c>
      <c r="CC29" s="335">
        <f>+CC24+CC27</f>
        <v>0.15</v>
      </c>
      <c r="CD29" s="335">
        <f t="shared" si="38"/>
        <v>0.15</v>
      </c>
      <c r="CE29" s="335">
        <f t="shared" si="38"/>
        <v>1.9999999999999996</v>
      </c>
      <c r="CF29" s="335">
        <f t="shared" si="38"/>
        <v>1.9999999999999996</v>
      </c>
      <c r="CG29" s="335">
        <f t="shared" si="38"/>
        <v>1.9999999999999998</v>
      </c>
      <c r="CH29" s="335">
        <f t="shared" si="38"/>
        <v>1.9999999999999996</v>
      </c>
      <c r="CI29" s="335">
        <f t="shared" si="38"/>
        <v>1.9999999999999998</v>
      </c>
      <c r="CJ29" s="335">
        <f>+CJ24+CJ27</f>
        <v>2</v>
      </c>
      <c r="CK29" s="335"/>
      <c r="CL29" s="335"/>
      <c r="CM29" s="335"/>
      <c r="CN29" s="335"/>
      <c r="CO29" s="335"/>
      <c r="CP29" s="335"/>
      <c r="CQ29" s="335"/>
      <c r="CR29" s="335"/>
      <c r="CS29" s="335"/>
      <c r="CT29" s="335"/>
      <c r="CU29" s="335"/>
      <c r="CV29" s="335"/>
      <c r="CW29" s="335"/>
      <c r="CX29" s="335"/>
      <c r="CY29" s="335"/>
      <c r="CZ29" s="335"/>
      <c r="DA29" s="335"/>
      <c r="DB29" s="335"/>
      <c r="DC29" s="335"/>
      <c r="DD29" s="335"/>
      <c r="DE29" s="335"/>
      <c r="DF29" s="335"/>
      <c r="DG29" s="335"/>
      <c r="DH29" s="335"/>
      <c r="DI29" s="335">
        <v>0</v>
      </c>
      <c r="DJ29" s="335">
        <v>0</v>
      </c>
      <c r="DK29" s="335">
        <v>0</v>
      </c>
      <c r="DL29" s="368">
        <v>0</v>
      </c>
      <c r="DM29" s="335">
        <v>0</v>
      </c>
      <c r="DN29" s="335">
        <f>+DN24+DN27</f>
        <v>1</v>
      </c>
      <c r="DO29" s="379"/>
      <c r="DP29" s="379"/>
      <c r="DQ29" s="379"/>
      <c r="DR29" s="379"/>
      <c r="DS29" s="379"/>
      <c r="DT29" s="379"/>
      <c r="DU29" s="379"/>
      <c r="DV29" s="379"/>
      <c r="DW29" s="379"/>
      <c r="DX29" s="379"/>
      <c r="DY29" s="379"/>
      <c r="DZ29" s="379"/>
      <c r="EA29" s="379"/>
      <c r="EB29" s="379"/>
      <c r="EC29" s="379"/>
      <c r="ED29" s="379"/>
      <c r="EE29" s="379"/>
      <c r="EF29" s="379"/>
      <c r="EG29" s="379"/>
      <c r="EH29" s="379"/>
      <c r="EI29" s="379"/>
      <c r="EJ29" s="379"/>
      <c r="EK29" s="379"/>
      <c r="EL29" s="379"/>
      <c r="EM29" s="380">
        <f>EI29+EG29+EE29+EC29+EA29+DY29+DW29+DU29+DS29+DQ29+DO29+EK29</f>
        <v>0</v>
      </c>
      <c r="EN29" s="381">
        <f t="shared" si="32"/>
        <v>0</v>
      </c>
      <c r="EO29" s="381">
        <f t="shared" si="33"/>
        <v>0</v>
      </c>
      <c r="EP29" s="382">
        <f>DQ29+DS29+DU29+DW29+DY29+EA29+EC29+EE29+EG29+EI29+EK29+DO29</f>
        <v>0</v>
      </c>
      <c r="EQ29" s="381">
        <f>DR29+DT29+DV29+DP29</f>
        <v>0</v>
      </c>
      <c r="ER29" s="343">
        <f t="shared" si="4"/>
        <v>1</v>
      </c>
      <c r="ES29" s="280">
        <f t="shared" si="6"/>
        <v>1</v>
      </c>
      <c r="ET29" s="281">
        <f t="shared" si="7"/>
        <v>1</v>
      </c>
      <c r="EU29" s="282">
        <f t="shared" si="5"/>
        <v>1</v>
      </c>
      <c r="EV29" s="281">
        <f t="shared" si="8"/>
        <v>0.625</v>
      </c>
      <c r="EW29" s="477"/>
      <c r="EX29" s="475" t="s">
        <v>568</v>
      </c>
      <c r="EY29" s="475" t="s">
        <v>568</v>
      </c>
      <c r="EZ29" s="476"/>
      <c r="FA29" s="476"/>
      <c r="FB29" s="479"/>
    </row>
    <row r="30" spans="1:159" s="29" customFormat="1" ht="42.75" customHeight="1" thickBot="1" x14ac:dyDescent="0.3">
      <c r="A30" s="515"/>
      <c r="B30" s="515"/>
      <c r="C30" s="515"/>
      <c r="D30" s="515"/>
      <c r="E30" s="515"/>
      <c r="F30" s="312" t="s">
        <v>44</v>
      </c>
      <c r="G30" s="287">
        <f>+G25+G28</f>
        <v>14213489488</v>
      </c>
      <c r="H30" s="358">
        <f>+H25+H28</f>
        <v>1412790000</v>
      </c>
      <c r="I30" s="358"/>
      <c r="J30" s="358"/>
      <c r="K30" s="358"/>
      <c r="L30" s="358"/>
      <c r="M30" s="358"/>
      <c r="N30" s="358"/>
      <c r="O30" s="358"/>
      <c r="P30" s="358"/>
      <c r="Q30" s="358"/>
      <c r="R30" s="358"/>
      <c r="S30" s="358"/>
      <c r="T30" s="359"/>
      <c r="U30" s="376"/>
      <c r="V30" s="376"/>
      <c r="W30" s="358">
        <f t="shared" ref="W30:AK30" si="39">+W25+W28</f>
        <v>1412790000</v>
      </c>
      <c r="X30" s="358">
        <f t="shared" si="39"/>
        <v>1412790000</v>
      </c>
      <c r="Y30" s="358">
        <f t="shared" si="39"/>
        <v>1326141063</v>
      </c>
      <c r="Z30" s="358">
        <f t="shared" si="39"/>
        <v>1399790000</v>
      </c>
      <c r="AA30" s="358">
        <f t="shared" si="39"/>
        <v>1326141063</v>
      </c>
      <c r="AB30" s="358">
        <f t="shared" si="39"/>
        <v>3566518679</v>
      </c>
      <c r="AC30" s="358">
        <f t="shared" si="39"/>
        <v>91072667</v>
      </c>
      <c r="AD30" s="358">
        <f t="shared" si="39"/>
        <v>91072667</v>
      </c>
      <c r="AE30" s="358">
        <f t="shared" si="39"/>
        <v>523194900</v>
      </c>
      <c r="AF30" s="358">
        <f t="shared" si="39"/>
        <v>523194900</v>
      </c>
      <c r="AG30" s="358">
        <f t="shared" si="39"/>
        <v>1428804345</v>
      </c>
      <c r="AH30" s="358">
        <f t="shared" si="39"/>
        <v>1428804345</v>
      </c>
      <c r="AI30" s="358">
        <f t="shared" si="39"/>
        <v>609841433</v>
      </c>
      <c r="AJ30" s="358">
        <f t="shared" si="39"/>
        <v>201051433</v>
      </c>
      <c r="AK30" s="358">
        <f t="shared" si="39"/>
        <v>38507889</v>
      </c>
      <c r="AL30" s="358">
        <f t="shared" ref="AL30:AZ30" si="40">+AL25+AL28</f>
        <v>43507889</v>
      </c>
      <c r="AM30" s="358">
        <f t="shared" si="40"/>
        <v>337648064</v>
      </c>
      <c r="AN30" s="358">
        <f t="shared" si="40"/>
        <v>336358064</v>
      </c>
      <c r="AO30" s="358">
        <f t="shared" si="40"/>
        <v>63971107</v>
      </c>
      <c r="AP30" s="358">
        <f t="shared" si="40"/>
        <v>0</v>
      </c>
      <c r="AQ30" s="358">
        <f t="shared" si="40"/>
        <v>78889757</v>
      </c>
      <c r="AR30" s="358">
        <f t="shared" si="40"/>
        <v>100496560</v>
      </c>
      <c r="AS30" s="358">
        <f t="shared" si="40"/>
        <v>158335747</v>
      </c>
      <c r="AT30" s="358">
        <f t="shared" si="40"/>
        <v>14036034</v>
      </c>
      <c r="AU30" s="358">
        <f t="shared" si="40"/>
        <v>68283886</v>
      </c>
      <c r="AV30" s="358">
        <f t="shared" si="40"/>
        <v>50370865</v>
      </c>
      <c r="AW30" s="358">
        <f t="shared" si="40"/>
        <v>61203800</v>
      </c>
      <c r="AX30" s="358">
        <f t="shared" si="40"/>
        <v>111518759</v>
      </c>
      <c r="AY30" s="358">
        <f t="shared" si="40"/>
        <v>62546600</v>
      </c>
      <c r="AZ30" s="358">
        <f t="shared" si="40"/>
        <v>366773951</v>
      </c>
      <c r="BA30" s="359">
        <f t="shared" si="36"/>
        <v>3522300195</v>
      </c>
      <c r="BB30" s="360">
        <f t="shared" si="36"/>
        <v>3522300195</v>
      </c>
      <c r="BC30" s="360">
        <f t="shared" si="36"/>
        <v>3267185467</v>
      </c>
      <c r="BD30" s="360">
        <f t="shared" si="36"/>
        <v>3522300195</v>
      </c>
      <c r="BE30" s="360">
        <f t="shared" si="36"/>
        <v>3267185467</v>
      </c>
      <c r="BF30" s="360">
        <f t="shared" si="37"/>
        <v>3824228982</v>
      </c>
      <c r="BG30" s="360">
        <f t="shared" si="37"/>
        <v>2633309183</v>
      </c>
      <c r="BH30" s="360">
        <f t="shared" si="37"/>
        <v>2534638908</v>
      </c>
      <c r="BI30" s="360">
        <f t="shared" si="37"/>
        <v>100748557</v>
      </c>
      <c r="BJ30" s="360">
        <f>+BJ25+BJ28</f>
        <v>71062834</v>
      </c>
      <c r="BK30" s="360">
        <f t="shared" ref="BK30:CI30" si="41">+BK25+BK28</f>
        <v>661271676</v>
      </c>
      <c r="BL30" s="360">
        <f t="shared" si="41"/>
        <v>50000000</v>
      </c>
      <c r="BM30" s="360">
        <f t="shared" si="41"/>
        <v>180137000</v>
      </c>
      <c r="BN30" s="360">
        <f t="shared" si="41"/>
        <v>0</v>
      </c>
      <c r="BO30" s="360">
        <f t="shared" si="41"/>
        <v>22023119</v>
      </c>
      <c r="BP30" s="360">
        <f t="shared" si="41"/>
        <v>162596000</v>
      </c>
      <c r="BQ30" s="360">
        <f t="shared" si="41"/>
        <v>187726512</v>
      </c>
      <c r="BR30" s="360">
        <f t="shared" si="41"/>
        <v>0</v>
      </c>
      <c r="BS30" s="360">
        <f t="shared" si="41"/>
        <v>36989816</v>
      </c>
      <c r="BT30" s="360">
        <f t="shared" si="41"/>
        <v>387807015</v>
      </c>
      <c r="BU30" s="360">
        <f t="shared" si="41"/>
        <v>52023119</v>
      </c>
      <c r="BV30" s="360">
        <f t="shared" si="41"/>
        <v>0</v>
      </c>
      <c r="BW30" s="360">
        <f t="shared" si="41"/>
        <v>102546975</v>
      </c>
      <c r="BX30" s="360">
        <f t="shared" si="41"/>
        <v>-52162649</v>
      </c>
      <c r="BY30" s="360">
        <f t="shared" si="41"/>
        <v>310316001</v>
      </c>
      <c r="BZ30" s="360">
        <f t="shared" si="41"/>
        <v>130790770</v>
      </c>
      <c r="CA30" s="360">
        <f t="shared" si="41"/>
        <v>1122133</v>
      </c>
      <c r="CB30" s="360">
        <f t="shared" si="41"/>
        <v>483055311</v>
      </c>
      <c r="CC30" s="360">
        <f t="shared" si="41"/>
        <v>180877867</v>
      </c>
      <c r="CD30" s="360">
        <f t="shared" si="41"/>
        <v>485217080</v>
      </c>
      <c r="CE30" s="360">
        <f t="shared" si="41"/>
        <v>4469091958</v>
      </c>
      <c r="CF30" s="360">
        <f t="shared" si="41"/>
        <v>4469091958</v>
      </c>
      <c r="CG30" s="360">
        <f t="shared" si="41"/>
        <v>4253005269</v>
      </c>
      <c r="CH30" s="360">
        <f t="shared" si="41"/>
        <v>4469091958</v>
      </c>
      <c r="CI30" s="360">
        <f t="shared" si="41"/>
        <v>4253005269</v>
      </c>
      <c r="CJ30" s="360">
        <f>+CJ25+CJ28</f>
        <v>3038408000</v>
      </c>
      <c r="CK30" s="358"/>
      <c r="CL30" s="358"/>
      <c r="CM30" s="358"/>
      <c r="CN30" s="358"/>
      <c r="CO30" s="358"/>
      <c r="CP30" s="358"/>
      <c r="CQ30" s="358"/>
      <c r="CR30" s="358"/>
      <c r="CS30" s="358"/>
      <c r="CT30" s="358"/>
      <c r="CU30" s="358"/>
      <c r="CV30" s="358"/>
      <c r="CW30" s="358"/>
      <c r="CX30" s="358"/>
      <c r="CY30" s="358"/>
      <c r="CZ30" s="358"/>
      <c r="DA30" s="358"/>
      <c r="DB30" s="358"/>
      <c r="DC30" s="358"/>
      <c r="DD30" s="358"/>
      <c r="DE30" s="358"/>
      <c r="DF30" s="358"/>
      <c r="DG30" s="358"/>
      <c r="DH30" s="358"/>
      <c r="DI30" s="359">
        <v>0</v>
      </c>
      <c r="DJ30" s="360">
        <v>0</v>
      </c>
      <c r="DK30" s="360">
        <v>0</v>
      </c>
      <c r="DL30" s="359">
        <v>0</v>
      </c>
      <c r="DM30" s="360">
        <v>0</v>
      </c>
      <c r="DN30" s="360">
        <f>+DN25+DN28</f>
        <v>2112663000</v>
      </c>
      <c r="DO30" s="386"/>
      <c r="DP30" s="386"/>
      <c r="DQ30" s="386"/>
      <c r="DR30" s="386"/>
      <c r="DS30" s="386"/>
      <c r="DT30" s="386"/>
      <c r="DU30" s="386"/>
      <c r="DV30" s="386"/>
      <c r="DW30" s="386"/>
      <c r="DX30" s="386"/>
      <c r="DY30" s="386"/>
      <c r="DZ30" s="386"/>
      <c r="EA30" s="386"/>
      <c r="EB30" s="386"/>
      <c r="EC30" s="386"/>
      <c r="ED30" s="386"/>
      <c r="EE30" s="386"/>
      <c r="EF30" s="386"/>
      <c r="EG30" s="386"/>
      <c r="EH30" s="386"/>
      <c r="EI30" s="386"/>
      <c r="EJ30" s="386"/>
      <c r="EK30" s="386"/>
      <c r="EL30" s="386"/>
      <c r="EM30" s="387">
        <f>EK30+EI30+EG30+EE30+EC30+EA30+DY30+DW30+DU30+DS30+DQ30+DO30</f>
        <v>0</v>
      </c>
      <c r="EN30" s="388">
        <f>+EN25+EN28</f>
        <v>0</v>
      </c>
      <c r="EO30" s="389">
        <f>EO25+EO28</f>
        <v>0</v>
      </c>
      <c r="EP30" s="388">
        <f>+EP25+EP28</f>
        <v>0</v>
      </c>
      <c r="EQ30" s="388">
        <f>+EQ25+EQ28</f>
        <v>0</v>
      </c>
      <c r="ER30" s="365">
        <f t="shared" si="4"/>
        <v>2.6825674586266546</v>
      </c>
      <c r="ES30" s="283">
        <f t="shared" si="6"/>
        <v>0.95164863667367838</v>
      </c>
      <c r="ET30" s="284">
        <f t="shared" si="7"/>
        <v>0.95164863667367838</v>
      </c>
      <c r="EU30" s="285">
        <f t="shared" si="5"/>
        <v>0.94198277223001703</v>
      </c>
      <c r="EV30" s="286">
        <f t="shared" si="8"/>
        <v>0.62238986467529167</v>
      </c>
      <c r="EW30" s="478"/>
      <c r="EX30" s="475" t="s">
        <v>568</v>
      </c>
      <c r="EY30" s="475" t="s">
        <v>568</v>
      </c>
      <c r="EZ30" s="476"/>
      <c r="FA30" s="476"/>
      <c r="FB30" s="479"/>
    </row>
    <row r="31" spans="1:159" s="3" customFormat="1" ht="42.75" customHeight="1" x14ac:dyDescent="0.25">
      <c r="A31" s="515" t="s">
        <v>305</v>
      </c>
      <c r="B31" s="515">
        <v>4</v>
      </c>
      <c r="C31" s="515" t="s">
        <v>309</v>
      </c>
      <c r="D31" s="515" t="s">
        <v>266</v>
      </c>
      <c r="E31" s="515">
        <v>269</v>
      </c>
      <c r="F31" s="311" t="s">
        <v>40</v>
      </c>
      <c r="G31" s="344">
        <f>+AA31+BE31+CH31+CJ31+DN31</f>
        <v>4700</v>
      </c>
      <c r="H31" s="383">
        <v>491</v>
      </c>
      <c r="I31" s="351"/>
      <c r="J31" s="351"/>
      <c r="K31" s="351"/>
      <c r="L31" s="351"/>
      <c r="M31" s="351"/>
      <c r="N31" s="351"/>
      <c r="O31" s="351"/>
      <c r="P31" s="351"/>
      <c r="Q31" s="351"/>
      <c r="R31" s="351"/>
      <c r="S31" s="351"/>
      <c r="T31" s="352"/>
      <c r="U31" s="351"/>
      <c r="V31" s="351"/>
      <c r="W31" s="383">
        <v>491</v>
      </c>
      <c r="X31" s="383">
        <v>491</v>
      </c>
      <c r="Y31" s="351">
        <v>491</v>
      </c>
      <c r="Z31" s="383">
        <v>491</v>
      </c>
      <c r="AA31" s="351">
        <v>491</v>
      </c>
      <c r="AB31" s="351">
        <v>893</v>
      </c>
      <c r="AC31" s="351">
        <v>15</v>
      </c>
      <c r="AD31" s="351">
        <v>36</v>
      </c>
      <c r="AE31" s="351">
        <v>18</v>
      </c>
      <c r="AF31" s="351">
        <v>16</v>
      </c>
      <c r="AG31" s="351">
        <v>90</v>
      </c>
      <c r="AH31" s="351">
        <v>104</v>
      </c>
      <c r="AI31" s="351">
        <v>97</v>
      </c>
      <c r="AJ31" s="351">
        <v>116</v>
      </c>
      <c r="AK31" s="351">
        <v>97</v>
      </c>
      <c r="AL31" s="351">
        <v>76</v>
      </c>
      <c r="AM31" s="351">
        <v>97</v>
      </c>
      <c r="AN31" s="351">
        <v>115</v>
      </c>
      <c r="AO31" s="351">
        <v>97</v>
      </c>
      <c r="AP31" s="351">
        <v>96</v>
      </c>
      <c r="AQ31" s="351">
        <v>97</v>
      </c>
      <c r="AR31" s="351">
        <v>102</v>
      </c>
      <c r="AS31" s="351">
        <v>97</v>
      </c>
      <c r="AT31" s="351">
        <v>96</v>
      </c>
      <c r="AU31" s="351">
        <v>97</v>
      </c>
      <c r="AV31" s="351">
        <v>69</v>
      </c>
      <c r="AW31" s="351">
        <v>91</v>
      </c>
      <c r="AX31" s="351">
        <v>65</v>
      </c>
      <c r="AY31" s="351">
        <v>4</v>
      </c>
      <c r="AZ31" s="351">
        <v>6</v>
      </c>
      <c r="BA31" s="383">
        <f>AY31+AW31+AU31+AS31+AQ31+AO31+AM31+AK31+AI31+AG31+AE31+AC31</f>
        <v>897</v>
      </c>
      <c r="BB31" s="383">
        <f t="shared" ref="BB31:BC34" si="42">AC31+AE31+AG31+AI31+AK31+AM31+AO31+AQ31+AS31+AU31+AW31+AY31</f>
        <v>897</v>
      </c>
      <c r="BC31" s="383">
        <f t="shared" si="42"/>
        <v>897</v>
      </c>
      <c r="BD31" s="383">
        <f>AE31+AG31+AI31+AK31+AM31+AO31+AQ31+AS31+AU31+AW31+AY31+AC31</f>
        <v>897</v>
      </c>
      <c r="BE31" s="383">
        <f>AD31+AF31+AH31+AJ31+AL31+AN31+AP31+AR31+AT31+AV31+AX31+AZ31</f>
        <v>897</v>
      </c>
      <c r="BF31" s="383">
        <v>1272</v>
      </c>
      <c r="BG31" s="383">
        <v>0</v>
      </c>
      <c r="BH31" s="383">
        <v>11</v>
      </c>
      <c r="BI31" s="383">
        <v>102</v>
      </c>
      <c r="BJ31" s="383">
        <v>129</v>
      </c>
      <c r="BK31" s="383">
        <v>130</v>
      </c>
      <c r="BL31" s="383">
        <v>109</v>
      </c>
      <c r="BM31" s="383">
        <v>130</v>
      </c>
      <c r="BN31" s="383">
        <v>115</v>
      </c>
      <c r="BO31" s="383">
        <v>130</v>
      </c>
      <c r="BP31" s="383">
        <v>194</v>
      </c>
      <c r="BQ31" s="383">
        <v>130</v>
      </c>
      <c r="BR31" s="383">
        <v>127</v>
      </c>
      <c r="BS31" s="383">
        <v>130</v>
      </c>
      <c r="BT31" s="383">
        <v>138</v>
      </c>
      <c r="BU31" s="383">
        <v>130</v>
      </c>
      <c r="BV31" s="383">
        <v>117</v>
      </c>
      <c r="BW31" s="383">
        <v>130</v>
      </c>
      <c r="BX31" s="383">
        <v>142</v>
      </c>
      <c r="BY31" s="383">
        <v>130</v>
      </c>
      <c r="BZ31" s="383">
        <v>121</v>
      </c>
      <c r="CA31" s="383">
        <v>130</v>
      </c>
      <c r="CB31" s="383">
        <v>137</v>
      </c>
      <c r="CC31" s="384">
        <v>146</v>
      </c>
      <c r="CD31" s="383">
        <v>78</v>
      </c>
      <c r="CE31" s="347">
        <f>CC31+CA31+BY31+BW31+BU31+BS31+BQ31+BO31+BM31+BK31+BI31+BG31</f>
        <v>1418</v>
      </c>
      <c r="CF31" s="347">
        <f t="shared" ref="CF31:CG35" si="43">+BG31+BI31+BK31+BM31+BO31+BQ31+BS31+BU31+BW31+BY31+CA31+CC31</f>
        <v>1418</v>
      </c>
      <c r="CG31" s="348">
        <f t="shared" si="43"/>
        <v>1418</v>
      </c>
      <c r="CH31" s="348">
        <f>CC31+CA31+BY31+BW31+BU31+BS31+BQ31+BO31+BM31+BK31+BI31+BG31</f>
        <v>1418</v>
      </c>
      <c r="CI31" s="348">
        <f>+BH31+BJ31+BL31+BN31+BP31+BR31+BT31+BV31+BX31+BZ31+CB31+CD31</f>
        <v>1418</v>
      </c>
      <c r="CJ31" s="383">
        <v>1585</v>
      </c>
      <c r="CK31" s="383"/>
      <c r="CL31" s="383"/>
      <c r="CM31" s="383"/>
      <c r="CN31" s="383"/>
      <c r="CO31" s="383"/>
      <c r="CP31" s="383"/>
      <c r="CQ31" s="383"/>
      <c r="CR31" s="383"/>
      <c r="CS31" s="383"/>
      <c r="CT31" s="383"/>
      <c r="CU31" s="383"/>
      <c r="CV31" s="383"/>
      <c r="CW31" s="383"/>
      <c r="CX31" s="383"/>
      <c r="CY31" s="383"/>
      <c r="CZ31" s="383"/>
      <c r="DA31" s="383"/>
      <c r="DB31" s="383"/>
      <c r="DC31" s="383"/>
      <c r="DD31" s="383"/>
      <c r="DE31" s="383"/>
      <c r="DF31" s="383"/>
      <c r="DG31" s="383"/>
      <c r="DH31" s="383"/>
      <c r="DI31" s="383">
        <v>0</v>
      </c>
      <c r="DJ31" s="383">
        <v>0</v>
      </c>
      <c r="DK31" s="383">
        <v>0</v>
      </c>
      <c r="DL31" s="383">
        <v>0</v>
      </c>
      <c r="DM31" s="383">
        <v>0</v>
      </c>
      <c r="DN31" s="385">
        <f>455-146</f>
        <v>309</v>
      </c>
      <c r="DO31" s="371"/>
      <c r="DP31" s="371"/>
      <c r="DQ31" s="371"/>
      <c r="DR31" s="371"/>
      <c r="DS31" s="371"/>
      <c r="DT31" s="371"/>
      <c r="DU31" s="371"/>
      <c r="DV31" s="371"/>
      <c r="DW31" s="371"/>
      <c r="DX31" s="371"/>
      <c r="DY31" s="371"/>
      <c r="DZ31" s="371"/>
      <c r="EA31" s="371"/>
      <c r="EB31" s="371"/>
      <c r="EC31" s="371"/>
      <c r="ED31" s="371"/>
      <c r="EE31" s="371"/>
      <c r="EF31" s="371"/>
      <c r="EG31" s="372"/>
      <c r="EH31" s="372"/>
      <c r="EI31" s="372"/>
      <c r="EJ31" s="372"/>
      <c r="EK31" s="372"/>
      <c r="EL31" s="372"/>
      <c r="EM31" s="373">
        <f>EK31+EI31+EG31+EE31+EC31+EA31+DY31+DW31+DU31+DS31+DQ31+DO31</f>
        <v>0</v>
      </c>
      <c r="EN31" s="372">
        <f t="shared" ref="EN31:EN36" si="44">DO31+DQ31+DS31+DU31</f>
        <v>0</v>
      </c>
      <c r="EO31" s="374">
        <f t="shared" ref="EO31:EO36" si="45">DP31+DR31+DT31+DV31</f>
        <v>0</v>
      </c>
      <c r="EP31" s="375">
        <f>DQ31+DS31+DU31+DW31+DY31+EA31+EC31+EE31+EG31+EI31+EK31+DO31</f>
        <v>0</v>
      </c>
      <c r="EQ31" s="372">
        <f>DP31+DR31+DT31+DV31</f>
        <v>0</v>
      </c>
      <c r="ER31" s="354">
        <f t="shared" si="4"/>
        <v>0.53424657534246578</v>
      </c>
      <c r="ES31" s="355">
        <f t="shared" si="6"/>
        <v>1</v>
      </c>
      <c r="ET31" s="356">
        <f t="shared" si="7"/>
        <v>1</v>
      </c>
      <c r="EU31" s="357">
        <f t="shared" si="5"/>
        <v>1</v>
      </c>
      <c r="EV31" s="356">
        <f t="shared" si="8"/>
        <v>0.59702127659574467</v>
      </c>
      <c r="EW31" s="516" t="s">
        <v>664</v>
      </c>
      <c r="EX31" s="475" t="s">
        <v>568</v>
      </c>
      <c r="EY31" s="475" t="s">
        <v>568</v>
      </c>
      <c r="EZ31" s="475" t="s">
        <v>533</v>
      </c>
      <c r="FA31" s="524" t="s">
        <v>534</v>
      </c>
      <c r="FB31" s="479"/>
    </row>
    <row r="32" spans="1:159" s="57" customFormat="1" ht="42.75" customHeight="1" x14ac:dyDescent="0.25">
      <c r="A32" s="515"/>
      <c r="B32" s="515"/>
      <c r="C32" s="515"/>
      <c r="D32" s="515"/>
      <c r="E32" s="515"/>
      <c r="F32" s="312" t="s">
        <v>3</v>
      </c>
      <c r="G32" s="317">
        <f>AA32+BE32+CH32+CJ32+DN32</f>
        <v>6270111898</v>
      </c>
      <c r="H32" s="108">
        <v>621054131</v>
      </c>
      <c r="I32" s="108"/>
      <c r="J32" s="108"/>
      <c r="K32" s="108"/>
      <c r="L32" s="108"/>
      <c r="M32" s="108"/>
      <c r="N32" s="108"/>
      <c r="O32" s="108"/>
      <c r="P32" s="108"/>
      <c r="Q32" s="108"/>
      <c r="R32" s="108"/>
      <c r="S32" s="108"/>
      <c r="T32" s="118"/>
      <c r="U32" s="119"/>
      <c r="V32" s="119"/>
      <c r="W32" s="108">
        <v>621054131</v>
      </c>
      <c r="X32" s="108">
        <v>621054131</v>
      </c>
      <c r="Y32" s="119">
        <v>535986131</v>
      </c>
      <c r="Z32" s="108">
        <v>556054131</v>
      </c>
      <c r="AA32" s="119">
        <v>535986131</v>
      </c>
      <c r="AB32" s="119">
        <v>1480481000</v>
      </c>
      <c r="AC32" s="108">
        <v>0</v>
      </c>
      <c r="AD32" s="119">
        <v>0</v>
      </c>
      <c r="AE32" s="119">
        <v>740287000</v>
      </c>
      <c r="AF32" s="119">
        <f>740287000-AD32</f>
        <v>740287000</v>
      </c>
      <c r="AG32" s="119">
        <v>261288000</v>
      </c>
      <c r="AH32" s="119">
        <f>1001575000-AF32-AD32</f>
        <v>261288000</v>
      </c>
      <c r="AI32" s="119">
        <v>0</v>
      </c>
      <c r="AJ32" s="119">
        <f>1001575000-AH32-AF32-AD32</f>
        <v>0</v>
      </c>
      <c r="AK32" s="108">
        <v>0</v>
      </c>
      <c r="AL32" s="108">
        <f>1001575000-AJ32-AH32-AF32-AD32</f>
        <v>0</v>
      </c>
      <c r="AM32" s="108">
        <v>150666666.66666666</v>
      </c>
      <c r="AN32" s="108">
        <v>150000000</v>
      </c>
      <c r="AO32" s="108">
        <v>0</v>
      </c>
      <c r="AP32" s="108">
        <v>0</v>
      </c>
      <c r="AQ32" s="108">
        <f>150666666.666667+5381200</f>
        <v>156047866.66666701</v>
      </c>
      <c r="AR32" s="108">
        <v>0</v>
      </c>
      <c r="AS32" s="108">
        <f>150666666.666667+5381200+107000000</f>
        <v>263047866.66666701</v>
      </c>
      <c r="AT32" s="108">
        <v>0</v>
      </c>
      <c r="AU32" s="108">
        <v>5381200</v>
      </c>
      <c r="AV32" s="108">
        <v>12393667</v>
      </c>
      <c r="AW32" s="108">
        <v>5381200</v>
      </c>
      <c r="AX32" s="108">
        <v>355319167</v>
      </c>
      <c r="AY32" s="108">
        <v>5381200</v>
      </c>
      <c r="AZ32" s="108">
        <v>67733833</v>
      </c>
      <c r="BA32" s="107">
        <f>AY32+AW32+AU32+AS32+AQ32+AO32+AM32+AK32+AI32+AG32+AE32+AC32</f>
        <v>1587481000.0000005</v>
      </c>
      <c r="BB32" s="107">
        <f t="shared" si="42"/>
        <v>1587481000.0000007</v>
      </c>
      <c r="BC32" s="107">
        <f t="shared" si="42"/>
        <v>1587021667</v>
      </c>
      <c r="BD32" s="107">
        <f>AE32+AG32+AI32+AK32+AM32+AO32+AQ32+AS32+AU32+AW32+AY32+AC32</f>
        <v>1587481000.0000007</v>
      </c>
      <c r="BE32" s="107">
        <f>AD32+AF32+AH32+AJ32+AL32+AN32+AP32+AR32+AT32+AV32+AX32+AZ32</f>
        <v>1587021667</v>
      </c>
      <c r="BF32" s="107">
        <v>1617058000</v>
      </c>
      <c r="BG32" s="108">
        <v>1100730000</v>
      </c>
      <c r="BH32" s="108">
        <v>1097940000</v>
      </c>
      <c r="BI32" s="108">
        <v>0</v>
      </c>
      <c r="BJ32" s="108">
        <v>0</v>
      </c>
      <c r="BK32" s="108">
        <v>136319000</v>
      </c>
      <c r="BL32" s="108">
        <v>0</v>
      </c>
      <c r="BM32" s="108">
        <v>340009000</v>
      </c>
      <c r="BN32" s="108">
        <v>0</v>
      </c>
      <c r="BO32" s="108">
        <v>0</v>
      </c>
      <c r="BP32" s="108">
        <v>0</v>
      </c>
      <c r="BQ32" s="108">
        <v>40000000</v>
      </c>
      <c r="BR32" s="108">
        <v>0</v>
      </c>
      <c r="BS32" s="108">
        <v>0</v>
      </c>
      <c r="BT32" s="108">
        <v>0</v>
      </c>
      <c r="BU32" s="108">
        <v>0</v>
      </c>
      <c r="BV32" s="108">
        <v>0</v>
      </c>
      <c r="BW32" s="108">
        <v>281095100</v>
      </c>
      <c r="BX32" s="108">
        <v>40000000</v>
      </c>
      <c r="BY32" s="108">
        <v>52969000</v>
      </c>
      <c r="BZ32" s="108">
        <v>547998200</v>
      </c>
      <c r="CA32" s="108">
        <v>0</v>
      </c>
      <c r="CB32" s="108">
        <v>86093500</v>
      </c>
      <c r="CC32" s="108">
        <v>-42750000</v>
      </c>
      <c r="CD32" s="108">
        <v>85861748</v>
      </c>
      <c r="CE32" s="108">
        <f>CC32+CA32+BY32+BW32+BU32+BS32+BQ32+BO32+BM32+BK32+BI32+BG32</f>
        <v>1908372100</v>
      </c>
      <c r="CF32" s="108">
        <f t="shared" si="43"/>
        <v>1908372100</v>
      </c>
      <c r="CG32" s="108">
        <f t="shared" si="43"/>
        <v>1857893448</v>
      </c>
      <c r="CH32" s="107">
        <f>CC32+CA32+BY32+BW32+BU32+BS32+BQ32+BO32+BM32+BK32+BI32+BG32</f>
        <v>1908372100</v>
      </c>
      <c r="CI32" s="107">
        <f>+BH32+BJ32+BL32+BN32+BP32+BR32+BT32+BV32+BX32+BZ32+CB32+CD32</f>
        <v>1857893448</v>
      </c>
      <c r="CJ32" s="108">
        <v>1243371000</v>
      </c>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7">
        <v>0</v>
      </c>
      <c r="DJ32" s="117">
        <v>0</v>
      </c>
      <c r="DK32" s="117">
        <v>0</v>
      </c>
      <c r="DL32" s="107">
        <v>0</v>
      </c>
      <c r="DM32" s="117">
        <v>0</v>
      </c>
      <c r="DN32" s="108">
        <v>995361000</v>
      </c>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297">
        <f>EK32+EI32+EG32+EE32+EC32+EA32+DY32+DW32+DU32+DS32+DQ32+DO32</f>
        <v>0</v>
      </c>
      <c r="EN32" s="87">
        <f t="shared" si="44"/>
        <v>0</v>
      </c>
      <c r="EO32" s="87">
        <f t="shared" si="45"/>
        <v>0</v>
      </c>
      <c r="EP32" s="88">
        <f>DQ32+DS32+DU32+DW32+DY32+EA32+EC32+EE32+EG32+EI32+EK32+DO32</f>
        <v>0</v>
      </c>
      <c r="EQ32" s="87">
        <f>DP32+DR32+DT32+DV32</f>
        <v>0</v>
      </c>
      <c r="ER32" s="123">
        <f t="shared" si="4"/>
        <v>-2.0084619415204679</v>
      </c>
      <c r="ES32" s="277">
        <f t="shared" si="6"/>
        <v>0.97354884196850289</v>
      </c>
      <c r="ET32" s="278">
        <f t="shared" si="7"/>
        <v>0.97354884196850289</v>
      </c>
      <c r="EU32" s="279">
        <f t="shared" si="5"/>
        <v>0.9824759104905576</v>
      </c>
      <c r="EV32" s="278">
        <f t="shared" si="8"/>
        <v>0.63490114861742775</v>
      </c>
      <c r="EW32" s="516"/>
      <c r="EX32" s="475"/>
      <c r="EY32" s="475" t="s">
        <v>568</v>
      </c>
      <c r="EZ32" s="475"/>
      <c r="FA32" s="524"/>
      <c r="FB32" s="479"/>
    </row>
    <row r="33" spans="1:158" s="57" customFormat="1" ht="42.75" customHeight="1" x14ac:dyDescent="0.25">
      <c r="A33" s="515"/>
      <c r="B33" s="515"/>
      <c r="C33" s="515"/>
      <c r="D33" s="515"/>
      <c r="E33" s="515"/>
      <c r="F33" s="313" t="s">
        <v>216</v>
      </c>
      <c r="G33" s="318"/>
      <c r="H33" s="108"/>
      <c r="I33" s="108"/>
      <c r="J33" s="108"/>
      <c r="K33" s="108"/>
      <c r="L33" s="108"/>
      <c r="M33" s="108"/>
      <c r="N33" s="108"/>
      <c r="O33" s="108"/>
      <c r="P33" s="108"/>
      <c r="Q33" s="108"/>
      <c r="R33" s="108"/>
      <c r="S33" s="108"/>
      <c r="T33" s="118"/>
      <c r="U33" s="119"/>
      <c r="V33" s="119"/>
      <c r="W33" s="108"/>
      <c r="X33" s="108"/>
      <c r="Y33" s="119">
        <v>0</v>
      </c>
      <c r="Z33" s="108"/>
      <c r="AA33" s="119">
        <v>0</v>
      </c>
      <c r="AB33" s="119"/>
      <c r="AC33" s="108">
        <v>0</v>
      </c>
      <c r="AD33" s="108">
        <v>0</v>
      </c>
      <c r="AE33" s="119">
        <v>0</v>
      </c>
      <c r="AF33" s="119">
        <v>0</v>
      </c>
      <c r="AG33" s="119">
        <v>27208599</v>
      </c>
      <c r="AH33" s="119">
        <v>27208599</v>
      </c>
      <c r="AI33" s="119">
        <v>102633333</v>
      </c>
      <c r="AJ33" s="119">
        <f>129841932-AH33-AF33-AD33</f>
        <v>102633333</v>
      </c>
      <c r="AK33" s="108">
        <v>113778067</v>
      </c>
      <c r="AL33" s="108">
        <f>243619999-AJ33-AH33-AF33-AD33</f>
        <v>113778067</v>
      </c>
      <c r="AM33" s="108">
        <v>115052000</v>
      </c>
      <c r="AN33" s="108">
        <v>115052000</v>
      </c>
      <c r="AO33" s="108">
        <v>0</v>
      </c>
      <c r="AP33" s="108">
        <v>111614000</v>
      </c>
      <c r="AQ33" s="108">
        <v>0</v>
      </c>
      <c r="AR33" s="108">
        <v>111614000</v>
      </c>
      <c r="AS33" s="108">
        <v>0</v>
      </c>
      <c r="AT33" s="108">
        <v>111614000</v>
      </c>
      <c r="AU33" s="108">
        <v>0</v>
      </c>
      <c r="AV33" s="108">
        <v>111614000</v>
      </c>
      <c r="AW33" s="108">
        <v>0</v>
      </c>
      <c r="AX33" s="108">
        <v>134099612</v>
      </c>
      <c r="AY33" s="108">
        <v>0</v>
      </c>
      <c r="AZ33" s="108">
        <v>200909784.09472775</v>
      </c>
      <c r="BA33" s="107">
        <f>AY33+AW33+AU33+AS33+AQ33+AO33+AM33+AK33+AI33+AG33+AE33+AC33</f>
        <v>358671999</v>
      </c>
      <c r="BB33" s="107">
        <f t="shared" si="42"/>
        <v>358671999</v>
      </c>
      <c r="BC33" s="107">
        <f t="shared" si="42"/>
        <v>1140137395.0947278</v>
      </c>
      <c r="BD33" s="107">
        <f>AE33+AG33+AI33+AK33+AM33+AO33+AQ33+AS33+AU33+AW33+AY33+AC33</f>
        <v>358671999</v>
      </c>
      <c r="BE33" s="107">
        <f>AD33+AF33+AH33+AJ33+AL33+AN33+AP33+AR33+AT33+AV33+AX33+AZ33</f>
        <v>1140137395.0947278</v>
      </c>
      <c r="BF33" s="108">
        <v>0</v>
      </c>
      <c r="BG33" s="120">
        <v>0</v>
      </c>
      <c r="BH33" s="120">
        <v>0</v>
      </c>
      <c r="BI33" s="120"/>
      <c r="BJ33" s="108">
        <v>19077902</v>
      </c>
      <c r="BK33" s="120"/>
      <c r="BL33" s="108">
        <v>121799899</v>
      </c>
      <c r="BM33" s="120"/>
      <c r="BN33" s="108">
        <v>120906000</v>
      </c>
      <c r="BO33" s="120"/>
      <c r="BP33" s="108">
        <v>120906000</v>
      </c>
      <c r="BQ33" s="120"/>
      <c r="BR33" s="108">
        <v>129043067</v>
      </c>
      <c r="BS33" s="120"/>
      <c r="BT33" s="108">
        <v>120906000</v>
      </c>
      <c r="BU33" s="120">
        <v>0</v>
      </c>
      <c r="BV33" s="108">
        <v>120906000</v>
      </c>
      <c r="BW33" s="120">
        <v>0</v>
      </c>
      <c r="BX33" s="108">
        <v>120906000</v>
      </c>
      <c r="BY33" s="120">
        <v>0</v>
      </c>
      <c r="BZ33" s="108">
        <v>118882000</v>
      </c>
      <c r="CA33" s="120">
        <v>0</v>
      </c>
      <c r="CB33" s="108">
        <v>104230100</v>
      </c>
      <c r="CC33" s="120">
        <v>0</v>
      </c>
      <c r="CD33" s="108">
        <v>187514137</v>
      </c>
      <c r="CE33" s="120">
        <f>CC33+CA33+BY33+BW33+BU33+BS33+BQ33+BO33+BM33+BK33+BI33+BG33</f>
        <v>0</v>
      </c>
      <c r="CF33" s="108">
        <f t="shared" si="43"/>
        <v>0</v>
      </c>
      <c r="CG33" s="108">
        <f t="shared" si="43"/>
        <v>1285077105</v>
      </c>
      <c r="CH33" s="107">
        <f>CC33+CA33+BY33+BW33+BU33+BS33+BQ33+BO33+BM33+BK33+BI33+BG33</f>
        <v>0</v>
      </c>
      <c r="CI33" s="107">
        <f>+BH33+BJ33+BL33+BN33+BP33+BR33+BT33+BV33+BX33+BZ33+CB33+CD33</f>
        <v>1285077105</v>
      </c>
      <c r="CJ33" s="108">
        <v>0</v>
      </c>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7"/>
      <c r="DJ33" s="117"/>
      <c r="DK33" s="117"/>
      <c r="DL33" s="107"/>
      <c r="DM33" s="117"/>
      <c r="DN33" s="108">
        <v>0</v>
      </c>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297">
        <f>EI33+EG33+EE33+EC33+EA33+DY33+DW33+DU33+DS33+DQ33+DO33+EK33</f>
        <v>0</v>
      </c>
      <c r="EN33" s="87">
        <f t="shared" si="44"/>
        <v>0</v>
      </c>
      <c r="EO33" s="87">
        <f t="shared" si="45"/>
        <v>0</v>
      </c>
      <c r="EP33" s="85">
        <f>DQ33+DS33+DU33+DW33+DY33+EA33+EC33+EE33+EG33+EI33+EK33</f>
        <v>0</v>
      </c>
      <c r="EQ33" s="87">
        <f>DP33+DR33+DT33+DV33</f>
        <v>0</v>
      </c>
      <c r="ER33" s="123" t="e">
        <f t="shared" si="4"/>
        <v>#DIV/0!</v>
      </c>
      <c r="ES33" s="277" t="e">
        <f t="shared" si="6"/>
        <v>#DIV/0!</v>
      </c>
      <c r="ET33" s="278" t="e">
        <f t="shared" si="7"/>
        <v>#DIV/0!</v>
      </c>
      <c r="EU33" s="279">
        <f t="shared" si="5"/>
        <v>6.7616499388198061</v>
      </c>
      <c r="EV33" s="278" t="e">
        <f t="shared" si="8"/>
        <v>#DIV/0!</v>
      </c>
      <c r="EW33" s="516"/>
      <c r="EX33" s="475"/>
      <c r="EY33" s="475" t="s">
        <v>568</v>
      </c>
      <c r="EZ33" s="475"/>
      <c r="FA33" s="524"/>
      <c r="FB33" s="479"/>
    </row>
    <row r="34" spans="1:158" s="3" customFormat="1" ht="42.75" customHeight="1" x14ac:dyDescent="0.25">
      <c r="A34" s="515"/>
      <c r="B34" s="515"/>
      <c r="C34" s="515"/>
      <c r="D34" s="515"/>
      <c r="E34" s="515"/>
      <c r="F34" s="311" t="s">
        <v>41</v>
      </c>
      <c r="G34" s="319">
        <f>+AA34+BD34+BF34+CJ34+DN34</f>
        <v>0</v>
      </c>
      <c r="H34" s="107">
        <v>0</v>
      </c>
      <c r="I34" s="274"/>
      <c r="J34" s="274"/>
      <c r="K34" s="274"/>
      <c r="L34" s="274"/>
      <c r="M34" s="274"/>
      <c r="N34" s="274"/>
      <c r="O34" s="274"/>
      <c r="P34" s="274"/>
      <c r="Q34" s="274"/>
      <c r="R34" s="274"/>
      <c r="S34" s="274"/>
      <c r="T34" s="291"/>
      <c r="U34" s="274"/>
      <c r="V34" s="274"/>
      <c r="W34" s="107">
        <v>0</v>
      </c>
      <c r="X34" s="107">
        <v>0</v>
      </c>
      <c r="Y34" s="107">
        <v>0</v>
      </c>
      <c r="Z34" s="107">
        <v>0</v>
      </c>
      <c r="AA34" s="107">
        <v>0</v>
      </c>
      <c r="AB34" s="274">
        <v>0</v>
      </c>
      <c r="AC34" s="274">
        <v>0</v>
      </c>
      <c r="AD34" s="274">
        <v>0</v>
      </c>
      <c r="AE34" s="274">
        <v>0</v>
      </c>
      <c r="AF34" s="274">
        <v>0</v>
      </c>
      <c r="AG34" s="274">
        <v>0</v>
      </c>
      <c r="AH34" s="274">
        <v>0</v>
      </c>
      <c r="AI34" s="274">
        <v>0</v>
      </c>
      <c r="AJ34" s="274">
        <v>0</v>
      </c>
      <c r="AK34" s="274">
        <v>0</v>
      </c>
      <c r="AL34" s="274">
        <v>0</v>
      </c>
      <c r="AM34" s="274">
        <v>0</v>
      </c>
      <c r="AN34" s="274">
        <v>0</v>
      </c>
      <c r="AO34" s="274">
        <v>0</v>
      </c>
      <c r="AP34" s="274">
        <v>0</v>
      </c>
      <c r="AQ34" s="274">
        <v>0</v>
      </c>
      <c r="AR34" s="274">
        <v>0</v>
      </c>
      <c r="AS34" s="274">
        <v>0</v>
      </c>
      <c r="AT34" s="274">
        <v>0</v>
      </c>
      <c r="AU34" s="274">
        <v>0</v>
      </c>
      <c r="AV34" s="274">
        <v>0</v>
      </c>
      <c r="AW34" s="274">
        <v>0</v>
      </c>
      <c r="AX34" s="274">
        <v>0</v>
      </c>
      <c r="AY34" s="274">
        <v>0</v>
      </c>
      <c r="AZ34" s="274">
        <v>0</v>
      </c>
      <c r="BA34" s="121">
        <f>AY34+AW34+AU34+AS34+AQ34+AO34+AM34+AK34+AI34+AG34+AE34+AC34</f>
        <v>0</v>
      </c>
      <c r="BB34" s="121">
        <f t="shared" si="42"/>
        <v>0</v>
      </c>
      <c r="BC34" s="121">
        <f t="shared" si="42"/>
        <v>0</v>
      </c>
      <c r="BD34" s="121">
        <f>AE34+AG34+AI34+AK34+AM34+AO34+AQ34+AS34+AU34+AW34+AY34+AC34</f>
        <v>0</v>
      </c>
      <c r="BE34" s="121">
        <f>AD34+AF34+AH34+AJ34+AL34+AN34+AP34+AR34+AT34+AV34+AX34+AZ34</f>
        <v>0</v>
      </c>
      <c r="BF34" s="274">
        <v>0</v>
      </c>
      <c r="BG34" s="274">
        <v>0</v>
      </c>
      <c r="BH34" s="274">
        <v>0</v>
      </c>
      <c r="BI34" s="274"/>
      <c r="BJ34" s="274">
        <v>0</v>
      </c>
      <c r="BK34" s="274">
        <v>0</v>
      </c>
      <c r="BL34" s="274">
        <v>0</v>
      </c>
      <c r="BM34" s="274"/>
      <c r="BN34" s="274">
        <v>0</v>
      </c>
      <c r="BO34" s="274"/>
      <c r="BP34" s="274">
        <v>0</v>
      </c>
      <c r="BQ34" s="274"/>
      <c r="BR34" s="274">
        <v>0</v>
      </c>
      <c r="BS34" s="274"/>
      <c r="BT34" s="274">
        <v>0</v>
      </c>
      <c r="BU34" s="274">
        <v>0</v>
      </c>
      <c r="BV34" s="274">
        <v>0</v>
      </c>
      <c r="BW34" s="274">
        <v>0</v>
      </c>
      <c r="BX34" s="274">
        <v>0</v>
      </c>
      <c r="BY34" s="274">
        <v>0</v>
      </c>
      <c r="BZ34" s="274">
        <v>0</v>
      </c>
      <c r="CA34" s="274">
        <v>0</v>
      </c>
      <c r="CB34" s="274">
        <v>0</v>
      </c>
      <c r="CC34" s="274">
        <v>0</v>
      </c>
      <c r="CD34" s="274">
        <v>0</v>
      </c>
      <c r="CE34" s="293">
        <f>CC34+CA34+BY34+BW34+BU34+BS34+BQ34+BO34+BM34+BK34+BI34+BG34</f>
        <v>0</v>
      </c>
      <c r="CF34" s="292">
        <f t="shared" si="43"/>
        <v>0</v>
      </c>
      <c r="CG34" s="240">
        <f t="shared" si="43"/>
        <v>0</v>
      </c>
      <c r="CH34" s="237">
        <f>CC34+CA34+BY34+BW34+BU34+BS34+BQ34+BO34+BM34+BK34+BI34+BG34</f>
        <v>0</v>
      </c>
      <c r="CI34" s="240">
        <f>+BH34+BJ34+BL34+BN34+BP34+BR34+BT34+BV34+BX34+BZ34+CB34+CD34</f>
        <v>0</v>
      </c>
      <c r="CJ34" s="274">
        <v>0</v>
      </c>
      <c r="CK34" s="274"/>
      <c r="CL34" s="274"/>
      <c r="CM34" s="274"/>
      <c r="CN34" s="274"/>
      <c r="CO34" s="274"/>
      <c r="CP34" s="274"/>
      <c r="CQ34" s="274"/>
      <c r="CR34" s="274"/>
      <c r="CS34" s="274"/>
      <c r="CT34" s="274"/>
      <c r="CU34" s="274"/>
      <c r="CV34" s="274"/>
      <c r="CW34" s="274"/>
      <c r="CX34" s="274"/>
      <c r="CY34" s="274"/>
      <c r="CZ34" s="274"/>
      <c r="DA34" s="274"/>
      <c r="DB34" s="274"/>
      <c r="DC34" s="274"/>
      <c r="DD34" s="274"/>
      <c r="DE34" s="274"/>
      <c r="DF34" s="274"/>
      <c r="DG34" s="274"/>
      <c r="DH34" s="274"/>
      <c r="DI34" s="291">
        <v>0</v>
      </c>
      <c r="DJ34" s="274">
        <v>0</v>
      </c>
      <c r="DK34" s="291">
        <v>0</v>
      </c>
      <c r="DL34" s="122">
        <v>0</v>
      </c>
      <c r="DM34" s="274">
        <v>0</v>
      </c>
      <c r="DN34" s="274">
        <v>0</v>
      </c>
      <c r="DO34" s="300"/>
      <c r="DP34" s="300"/>
      <c r="DQ34" s="300"/>
      <c r="DR34" s="300"/>
      <c r="DS34" s="300"/>
      <c r="DT34" s="300"/>
      <c r="DU34" s="300"/>
      <c r="DV34" s="300"/>
      <c r="DW34" s="300"/>
      <c r="DX34" s="300"/>
      <c r="DY34" s="300"/>
      <c r="DZ34" s="300"/>
      <c r="EA34" s="300"/>
      <c r="EB34" s="300"/>
      <c r="EC34" s="300"/>
      <c r="ED34" s="300"/>
      <c r="EE34" s="300"/>
      <c r="EF34" s="300"/>
      <c r="EG34" s="300"/>
      <c r="EH34" s="300"/>
      <c r="EI34" s="300"/>
      <c r="EJ34" s="300"/>
      <c r="EK34" s="300"/>
      <c r="EL34" s="300"/>
      <c r="EM34" s="296">
        <f>EI34+EG34+EE34+EC34+EA34+DY34+DW34+DU34+DS34+DQ34+DO34+EK34</f>
        <v>0</v>
      </c>
      <c r="EN34" s="89">
        <f t="shared" si="44"/>
        <v>0</v>
      </c>
      <c r="EO34" s="89">
        <f t="shared" si="45"/>
        <v>0</v>
      </c>
      <c r="EP34" s="90">
        <f>DQ34+DS34+DU34+DW34+DY34+EA34+EC34+EE34+EG34+EI34+EK34</f>
        <v>0</v>
      </c>
      <c r="EQ34" s="296">
        <f>DP34+DR34+DT34+DV34</f>
        <v>0</v>
      </c>
      <c r="ER34" s="123" t="e">
        <f t="shared" si="4"/>
        <v>#DIV/0!</v>
      </c>
      <c r="ES34" s="277" t="e">
        <f t="shared" si="6"/>
        <v>#DIV/0!</v>
      </c>
      <c r="ET34" s="278" t="e">
        <f t="shared" si="7"/>
        <v>#DIV/0!</v>
      </c>
      <c r="EU34" s="279" t="e">
        <f t="shared" si="5"/>
        <v>#DIV/0!</v>
      </c>
      <c r="EV34" s="278" t="e">
        <f t="shared" si="8"/>
        <v>#DIV/0!</v>
      </c>
      <c r="EW34" s="516"/>
      <c r="EX34" s="475"/>
      <c r="EY34" s="475" t="s">
        <v>568</v>
      </c>
      <c r="EZ34" s="475"/>
      <c r="FA34" s="524"/>
      <c r="FB34" s="479"/>
    </row>
    <row r="35" spans="1:158" s="3" customFormat="1" ht="42.75" customHeight="1" x14ac:dyDescent="0.25">
      <c r="A35" s="515"/>
      <c r="B35" s="515"/>
      <c r="C35" s="515"/>
      <c r="D35" s="515"/>
      <c r="E35" s="515"/>
      <c r="F35" s="312" t="s">
        <v>4</v>
      </c>
      <c r="G35" s="317">
        <f>AA35+BE35+CH35+CJ35+DN35</f>
        <v>785772511</v>
      </c>
      <c r="H35" s="108">
        <v>200998268</v>
      </c>
      <c r="I35" s="108">
        <v>0</v>
      </c>
      <c r="J35" s="108">
        <v>0</v>
      </c>
      <c r="K35" s="108">
        <v>0</v>
      </c>
      <c r="L35" s="108">
        <v>0</v>
      </c>
      <c r="M35" s="108">
        <v>0</v>
      </c>
      <c r="N35" s="108">
        <v>0</v>
      </c>
      <c r="O35" s="108">
        <v>0</v>
      </c>
      <c r="P35" s="108">
        <v>0</v>
      </c>
      <c r="Q35" s="108">
        <v>0</v>
      </c>
      <c r="R35" s="108">
        <v>0</v>
      </c>
      <c r="S35" s="108">
        <v>0</v>
      </c>
      <c r="T35" s="118">
        <v>0</v>
      </c>
      <c r="U35" s="119">
        <v>0</v>
      </c>
      <c r="V35" s="119">
        <v>0</v>
      </c>
      <c r="W35" s="108">
        <v>200998268</v>
      </c>
      <c r="X35" s="108">
        <v>200998268</v>
      </c>
      <c r="Y35" s="107">
        <v>0</v>
      </c>
      <c r="Z35" s="108">
        <v>200998268</v>
      </c>
      <c r="AA35" s="107">
        <v>0</v>
      </c>
      <c r="AB35" s="119">
        <v>131226434</v>
      </c>
      <c r="AC35" s="119">
        <v>69771834</v>
      </c>
      <c r="AD35" s="119">
        <v>69771834</v>
      </c>
      <c r="AE35" s="119">
        <v>42432466</v>
      </c>
      <c r="AF35" s="119">
        <f>112204300-AD35</f>
        <v>42432466</v>
      </c>
      <c r="AG35" s="119">
        <v>19022134</v>
      </c>
      <c r="AH35" s="119">
        <f>131226434-AF35-AD35</f>
        <v>19022134</v>
      </c>
      <c r="AI35" s="119">
        <v>0</v>
      </c>
      <c r="AJ35" s="119">
        <f>131226434-AH35-AF35-AD35</f>
        <v>0</v>
      </c>
      <c r="AK35" s="108">
        <v>0</v>
      </c>
      <c r="AL35" s="108">
        <f>131226434-AJ35-AH35-AF35-AD35</f>
        <v>0</v>
      </c>
      <c r="AM35" s="108">
        <v>0</v>
      </c>
      <c r="AN35" s="108">
        <v>0</v>
      </c>
      <c r="AO35" s="108">
        <v>0</v>
      </c>
      <c r="AP35" s="108">
        <v>0</v>
      </c>
      <c r="AQ35" s="108">
        <v>0</v>
      </c>
      <c r="AR35" s="108">
        <v>0</v>
      </c>
      <c r="AS35" s="108">
        <v>0</v>
      </c>
      <c r="AT35" s="108">
        <v>0</v>
      </c>
      <c r="AU35" s="108">
        <v>0</v>
      </c>
      <c r="AV35" s="108">
        <v>0</v>
      </c>
      <c r="AW35" s="108">
        <v>0</v>
      </c>
      <c r="AX35" s="108">
        <v>0</v>
      </c>
      <c r="AY35" s="108">
        <v>0</v>
      </c>
      <c r="AZ35" s="108">
        <v>0</v>
      </c>
      <c r="BA35" s="107">
        <f>AY35+AW35+AU35+AS35+AQ35+AO35+AM35+AK35+AI35+AG35+AE35+AC35</f>
        <v>131226434</v>
      </c>
      <c r="BB35" s="107">
        <f>AC35+AE35+AG35+AI35+AK35+AM35+AO35+AQ35+AS35+AU35+AW35+AY35</f>
        <v>131226434</v>
      </c>
      <c r="BC35" s="107">
        <v>131226434</v>
      </c>
      <c r="BD35" s="107">
        <f>AE35+AG35+AI35+AK35+AM35+AO35+AQ35+AS35+AU35+AW35+AY35+AC35</f>
        <v>131226434</v>
      </c>
      <c r="BE35" s="107">
        <v>131226434</v>
      </c>
      <c r="BF35" s="108">
        <v>662293058</v>
      </c>
      <c r="BG35" s="108">
        <v>4618400</v>
      </c>
      <c r="BH35" s="108"/>
      <c r="BI35" s="108">
        <v>38557535</v>
      </c>
      <c r="BJ35" s="108">
        <v>24006926</v>
      </c>
      <c r="BK35" s="108">
        <v>36000000</v>
      </c>
      <c r="BL35" s="108">
        <v>0</v>
      </c>
      <c r="BM35" s="108">
        <v>276000000</v>
      </c>
      <c r="BN35" s="108">
        <v>0</v>
      </c>
      <c r="BO35" s="108">
        <v>96000000</v>
      </c>
      <c r="BP35" s="108">
        <v>0</v>
      </c>
      <c r="BQ35" s="108">
        <v>36000000</v>
      </c>
      <c r="BR35" s="108">
        <v>0</v>
      </c>
      <c r="BS35" s="108">
        <v>36000000</v>
      </c>
      <c r="BT35" s="108">
        <v>638286132</v>
      </c>
      <c r="BU35" s="108">
        <v>36000000</v>
      </c>
      <c r="BV35" s="108">
        <v>-7746979</v>
      </c>
      <c r="BW35" s="108">
        <f>36000000-7746981</f>
        <v>28253019</v>
      </c>
      <c r="BX35" s="108">
        <v>-2</v>
      </c>
      <c r="BY35" s="108">
        <v>36000000</v>
      </c>
      <c r="BZ35" s="108">
        <v>0</v>
      </c>
      <c r="CA35" s="108">
        <f>31117123+7746981</f>
        <v>38864104</v>
      </c>
      <c r="CB35" s="108">
        <v>0</v>
      </c>
      <c r="CC35" s="108">
        <v>-7746981</v>
      </c>
      <c r="CD35" s="108">
        <v>0</v>
      </c>
      <c r="CE35" s="108">
        <f>CC35+CA35+BY35+BW35+BU35+BS35+BQ35+BO35+BM35+BK35+BI35+BG35</f>
        <v>654546077</v>
      </c>
      <c r="CF35" s="108">
        <f t="shared" si="43"/>
        <v>654546077</v>
      </c>
      <c r="CG35" s="108">
        <f t="shared" si="43"/>
        <v>654546077</v>
      </c>
      <c r="CH35" s="107">
        <f>CC35+CA35+BY35+BW35+BU35+BS35+BQ35+BO35+BM35+BK35+BI35+BG35</f>
        <v>654546077</v>
      </c>
      <c r="CI35" s="107">
        <f>+BH35+BJ35+BL35+BN35+BP35+BR35+BT35+BV35+BX35+BZ35+CB35+CD35</f>
        <v>654546077</v>
      </c>
      <c r="CJ35" s="108">
        <v>0</v>
      </c>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7">
        <v>0</v>
      </c>
      <c r="DJ35" s="117">
        <v>0</v>
      </c>
      <c r="DK35" s="117">
        <v>0</v>
      </c>
      <c r="DL35" s="107">
        <v>0</v>
      </c>
      <c r="DM35" s="117">
        <v>0</v>
      </c>
      <c r="DN35" s="108">
        <v>0</v>
      </c>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296">
        <f>EI35+EG35+EE35+EC35+EA35+DY35+DW35+DU35+DS35+DQ35+DO35+EK35</f>
        <v>0</v>
      </c>
      <c r="EN35" s="87">
        <f t="shared" si="44"/>
        <v>0</v>
      </c>
      <c r="EO35" s="87">
        <f t="shared" si="45"/>
        <v>0</v>
      </c>
      <c r="EP35" s="85">
        <f>DQ35+DS35+DU35+DW35+DY35+EA35+EC35+EE35+EG35+EI35+EK35+DO35</f>
        <v>0</v>
      </c>
      <c r="EQ35" s="87">
        <f>DP35+DR35+DT35+DV35</f>
        <v>0</v>
      </c>
      <c r="ER35" s="123">
        <f t="shared" si="4"/>
        <v>0</v>
      </c>
      <c r="ES35" s="277">
        <f t="shared" si="6"/>
        <v>1</v>
      </c>
      <c r="ET35" s="278">
        <f t="shared" si="7"/>
        <v>1</v>
      </c>
      <c r="EU35" s="279">
        <f t="shared" si="5"/>
        <v>0.79630703271970316</v>
      </c>
      <c r="EV35" s="278">
        <f t="shared" si="8"/>
        <v>1</v>
      </c>
      <c r="EW35" s="516"/>
      <c r="EX35" s="475"/>
      <c r="EY35" s="475" t="s">
        <v>568</v>
      </c>
      <c r="EZ35" s="475"/>
      <c r="FA35" s="524"/>
      <c r="FB35" s="479"/>
    </row>
    <row r="36" spans="1:158" s="3" customFormat="1" ht="42.75" customHeight="1" thickBot="1" x14ac:dyDescent="0.3">
      <c r="A36" s="515"/>
      <c r="B36" s="515"/>
      <c r="C36" s="515"/>
      <c r="D36" s="515"/>
      <c r="E36" s="515"/>
      <c r="F36" s="311" t="s">
        <v>42</v>
      </c>
      <c r="G36" s="366">
        <f>+G31+G34</f>
        <v>4700</v>
      </c>
      <c r="H36" s="378">
        <f t="shared" ref="H36:AA36" si="46">+H31+H34</f>
        <v>491</v>
      </c>
      <c r="I36" s="378">
        <f t="shared" si="46"/>
        <v>0</v>
      </c>
      <c r="J36" s="378">
        <f t="shared" si="46"/>
        <v>0</v>
      </c>
      <c r="K36" s="378">
        <f t="shared" si="46"/>
        <v>0</v>
      </c>
      <c r="L36" s="378">
        <f t="shared" si="46"/>
        <v>0</v>
      </c>
      <c r="M36" s="378">
        <f t="shared" si="46"/>
        <v>0</v>
      </c>
      <c r="N36" s="378">
        <f t="shared" si="46"/>
        <v>0</v>
      </c>
      <c r="O36" s="378">
        <f t="shared" si="46"/>
        <v>0</v>
      </c>
      <c r="P36" s="378">
        <f t="shared" si="46"/>
        <v>0</v>
      </c>
      <c r="Q36" s="378">
        <f t="shared" si="46"/>
        <v>0</v>
      </c>
      <c r="R36" s="378">
        <f t="shared" si="46"/>
        <v>0</v>
      </c>
      <c r="S36" s="378">
        <f t="shared" si="46"/>
        <v>0</v>
      </c>
      <c r="T36" s="378">
        <f t="shared" si="46"/>
        <v>0</v>
      </c>
      <c r="U36" s="378">
        <f t="shared" si="46"/>
        <v>0</v>
      </c>
      <c r="V36" s="378">
        <f t="shared" si="46"/>
        <v>0</v>
      </c>
      <c r="W36" s="378">
        <f t="shared" si="46"/>
        <v>491</v>
      </c>
      <c r="X36" s="378">
        <f t="shared" si="46"/>
        <v>491</v>
      </c>
      <c r="Y36" s="378">
        <f t="shared" si="46"/>
        <v>491</v>
      </c>
      <c r="Z36" s="378">
        <f t="shared" si="46"/>
        <v>491</v>
      </c>
      <c r="AA36" s="378">
        <f t="shared" si="46"/>
        <v>491</v>
      </c>
      <c r="AB36" s="335">
        <f t="shared" ref="AB36:AZ36" si="47">+AB31+AB34</f>
        <v>893</v>
      </c>
      <c r="AC36" s="378">
        <f t="shared" si="47"/>
        <v>15</v>
      </c>
      <c r="AD36" s="378">
        <f t="shared" si="47"/>
        <v>36</v>
      </c>
      <c r="AE36" s="378">
        <f t="shared" si="47"/>
        <v>18</v>
      </c>
      <c r="AF36" s="378">
        <f t="shared" si="47"/>
        <v>16</v>
      </c>
      <c r="AG36" s="378">
        <f t="shared" si="47"/>
        <v>90</v>
      </c>
      <c r="AH36" s="378">
        <f t="shared" si="47"/>
        <v>104</v>
      </c>
      <c r="AI36" s="378">
        <f t="shared" si="47"/>
        <v>97</v>
      </c>
      <c r="AJ36" s="378">
        <f t="shared" si="47"/>
        <v>116</v>
      </c>
      <c r="AK36" s="378">
        <f t="shared" si="47"/>
        <v>97</v>
      </c>
      <c r="AL36" s="378">
        <f>+AL31+AL34</f>
        <v>76</v>
      </c>
      <c r="AM36" s="378">
        <f t="shared" si="47"/>
        <v>97</v>
      </c>
      <c r="AN36" s="378">
        <f>+AN31+AN34</f>
        <v>115</v>
      </c>
      <c r="AO36" s="378">
        <f t="shared" si="47"/>
        <v>97</v>
      </c>
      <c r="AP36" s="378">
        <f t="shared" si="47"/>
        <v>96</v>
      </c>
      <c r="AQ36" s="378">
        <f t="shared" si="47"/>
        <v>97</v>
      </c>
      <c r="AR36" s="378">
        <f t="shared" si="47"/>
        <v>102</v>
      </c>
      <c r="AS36" s="378">
        <f t="shared" si="47"/>
        <v>97</v>
      </c>
      <c r="AT36" s="378">
        <f t="shared" si="47"/>
        <v>96</v>
      </c>
      <c r="AU36" s="378">
        <f t="shared" si="47"/>
        <v>97</v>
      </c>
      <c r="AV36" s="378">
        <f>+AV31+AV34</f>
        <v>69</v>
      </c>
      <c r="AW36" s="378">
        <f t="shared" si="47"/>
        <v>91</v>
      </c>
      <c r="AX36" s="378">
        <f>+AX31+AX34</f>
        <v>65</v>
      </c>
      <c r="AY36" s="378">
        <f t="shared" si="47"/>
        <v>4</v>
      </c>
      <c r="AZ36" s="378">
        <f t="shared" si="47"/>
        <v>6</v>
      </c>
      <c r="BA36" s="378">
        <f t="shared" ref="BA36:BE37" si="48">+BA31+BA34</f>
        <v>897</v>
      </c>
      <c r="BB36" s="335">
        <f t="shared" si="48"/>
        <v>897</v>
      </c>
      <c r="BC36" s="335">
        <f t="shared" si="48"/>
        <v>897</v>
      </c>
      <c r="BD36" s="335">
        <f t="shared" si="48"/>
        <v>897</v>
      </c>
      <c r="BE36" s="335">
        <f t="shared" si="48"/>
        <v>897</v>
      </c>
      <c r="BF36" s="335">
        <f t="shared" ref="BF36:CJ36" si="49">+BF31+BF34</f>
        <v>1272</v>
      </c>
      <c r="BG36" s="335">
        <f t="shared" si="49"/>
        <v>0</v>
      </c>
      <c r="BH36" s="335">
        <f t="shared" si="49"/>
        <v>11</v>
      </c>
      <c r="BI36" s="335">
        <f t="shared" si="49"/>
        <v>102</v>
      </c>
      <c r="BJ36" s="335">
        <f>+BJ31+BJ34</f>
        <v>129</v>
      </c>
      <c r="BK36" s="335">
        <f t="shared" si="49"/>
        <v>130</v>
      </c>
      <c r="BL36" s="335">
        <f t="shared" si="49"/>
        <v>109</v>
      </c>
      <c r="BM36" s="335">
        <f t="shared" si="49"/>
        <v>130</v>
      </c>
      <c r="BN36" s="335">
        <f t="shared" si="49"/>
        <v>115</v>
      </c>
      <c r="BO36" s="335">
        <f t="shared" si="49"/>
        <v>130</v>
      </c>
      <c r="BP36" s="335">
        <f t="shared" si="49"/>
        <v>194</v>
      </c>
      <c r="BQ36" s="335">
        <f t="shared" si="49"/>
        <v>130</v>
      </c>
      <c r="BR36" s="335">
        <f t="shared" si="49"/>
        <v>127</v>
      </c>
      <c r="BS36" s="335">
        <f t="shared" si="49"/>
        <v>130</v>
      </c>
      <c r="BT36" s="335">
        <f t="shared" si="49"/>
        <v>138</v>
      </c>
      <c r="BU36" s="335">
        <f t="shared" si="49"/>
        <v>130</v>
      </c>
      <c r="BV36" s="335">
        <f t="shared" si="49"/>
        <v>117</v>
      </c>
      <c r="BW36" s="335">
        <f t="shared" si="49"/>
        <v>130</v>
      </c>
      <c r="BX36" s="335">
        <f t="shared" si="49"/>
        <v>142</v>
      </c>
      <c r="BY36" s="335">
        <f t="shared" si="49"/>
        <v>130</v>
      </c>
      <c r="BZ36" s="335">
        <f t="shared" si="49"/>
        <v>121</v>
      </c>
      <c r="CA36" s="335">
        <f t="shared" si="49"/>
        <v>130</v>
      </c>
      <c r="CB36" s="335">
        <f t="shared" si="49"/>
        <v>137</v>
      </c>
      <c r="CC36" s="335">
        <f t="shared" si="49"/>
        <v>146</v>
      </c>
      <c r="CD36" s="335">
        <f t="shared" si="49"/>
        <v>78</v>
      </c>
      <c r="CE36" s="335">
        <f t="shared" si="49"/>
        <v>1418</v>
      </c>
      <c r="CF36" s="335">
        <f t="shared" si="49"/>
        <v>1418</v>
      </c>
      <c r="CG36" s="335">
        <f t="shared" si="49"/>
        <v>1418</v>
      </c>
      <c r="CH36" s="335">
        <f t="shared" si="49"/>
        <v>1418</v>
      </c>
      <c r="CI36" s="335">
        <f t="shared" si="49"/>
        <v>1418</v>
      </c>
      <c r="CJ36" s="335">
        <f t="shared" si="49"/>
        <v>1585</v>
      </c>
      <c r="CK36" s="335"/>
      <c r="CL36" s="335"/>
      <c r="CM36" s="335"/>
      <c r="CN36" s="335"/>
      <c r="CO36" s="335"/>
      <c r="CP36" s="335"/>
      <c r="CQ36" s="335"/>
      <c r="CR36" s="335"/>
      <c r="CS36" s="335"/>
      <c r="CT36" s="335"/>
      <c r="CU36" s="335"/>
      <c r="CV36" s="335"/>
      <c r="CW36" s="335"/>
      <c r="CX36" s="335"/>
      <c r="CY36" s="335"/>
      <c r="CZ36" s="335"/>
      <c r="DA36" s="335"/>
      <c r="DB36" s="335"/>
      <c r="DC36" s="335"/>
      <c r="DD36" s="335"/>
      <c r="DE36" s="335"/>
      <c r="DF36" s="335"/>
      <c r="DG36" s="335"/>
      <c r="DH36" s="335"/>
      <c r="DI36" s="335">
        <v>0</v>
      </c>
      <c r="DJ36" s="335">
        <v>0</v>
      </c>
      <c r="DK36" s="335">
        <v>0</v>
      </c>
      <c r="DL36" s="368">
        <v>0</v>
      </c>
      <c r="DM36" s="335">
        <v>0</v>
      </c>
      <c r="DN36" s="335" t="s">
        <v>539</v>
      </c>
      <c r="DO36" s="379"/>
      <c r="DP36" s="379"/>
      <c r="DQ36" s="379"/>
      <c r="DR36" s="379"/>
      <c r="DS36" s="379"/>
      <c r="DT36" s="379"/>
      <c r="DU36" s="379"/>
      <c r="DV36" s="379"/>
      <c r="DW36" s="379"/>
      <c r="DX36" s="379"/>
      <c r="DY36" s="379"/>
      <c r="DZ36" s="379"/>
      <c r="EA36" s="379"/>
      <c r="EB36" s="379"/>
      <c r="EC36" s="379"/>
      <c r="ED36" s="379"/>
      <c r="EE36" s="379"/>
      <c r="EF36" s="379"/>
      <c r="EG36" s="379"/>
      <c r="EH36" s="379"/>
      <c r="EI36" s="379"/>
      <c r="EJ36" s="379"/>
      <c r="EK36" s="379"/>
      <c r="EL36" s="379"/>
      <c r="EM36" s="380">
        <f>EI36+EG36+EE36+EC36+EA36+DY36+DW36+DU36+DS36+DQ36+DO36+EK36</f>
        <v>0</v>
      </c>
      <c r="EN36" s="381">
        <f t="shared" si="44"/>
        <v>0</v>
      </c>
      <c r="EO36" s="381">
        <f t="shared" si="45"/>
        <v>0</v>
      </c>
      <c r="EP36" s="382">
        <f>DQ36+DS36+DU36+DW36+DY36+EA36+EC36+EE36+EG36+EI36+EK36+DO36</f>
        <v>0</v>
      </c>
      <c r="EQ36" s="381">
        <f>DR36+DT36+DV36+DP36</f>
        <v>0</v>
      </c>
      <c r="ER36" s="343">
        <f t="shared" si="4"/>
        <v>0.53424657534246578</v>
      </c>
      <c r="ES36" s="280">
        <f t="shared" si="6"/>
        <v>1</v>
      </c>
      <c r="ET36" s="281">
        <f t="shared" si="7"/>
        <v>1</v>
      </c>
      <c r="EU36" s="282">
        <f t="shared" si="5"/>
        <v>1</v>
      </c>
      <c r="EV36" s="281">
        <f t="shared" si="8"/>
        <v>0.59702127659574467</v>
      </c>
      <c r="EW36" s="516"/>
      <c r="EX36" s="475"/>
      <c r="EY36" s="475" t="s">
        <v>568</v>
      </c>
      <c r="EZ36" s="475"/>
      <c r="FA36" s="524"/>
      <c r="FB36" s="479"/>
    </row>
    <row r="37" spans="1:158" s="29" customFormat="1" ht="42.75" customHeight="1" thickBot="1" x14ac:dyDescent="0.3">
      <c r="A37" s="515"/>
      <c r="B37" s="515"/>
      <c r="C37" s="515"/>
      <c r="D37" s="515"/>
      <c r="E37" s="515"/>
      <c r="F37" s="312" t="s">
        <v>44</v>
      </c>
      <c r="G37" s="287">
        <f>+G32+G35</f>
        <v>7055884409</v>
      </c>
      <c r="H37" s="358">
        <f t="shared" ref="H37:AA37" si="50">+H32+H35</f>
        <v>822052399</v>
      </c>
      <c r="I37" s="358">
        <f t="shared" si="50"/>
        <v>0</v>
      </c>
      <c r="J37" s="358">
        <f t="shared" si="50"/>
        <v>0</v>
      </c>
      <c r="K37" s="358">
        <f t="shared" si="50"/>
        <v>0</v>
      </c>
      <c r="L37" s="358">
        <f t="shared" si="50"/>
        <v>0</v>
      </c>
      <c r="M37" s="358">
        <f t="shared" si="50"/>
        <v>0</v>
      </c>
      <c r="N37" s="358">
        <f t="shared" si="50"/>
        <v>0</v>
      </c>
      <c r="O37" s="358">
        <f t="shared" si="50"/>
        <v>0</v>
      </c>
      <c r="P37" s="358">
        <f t="shared" si="50"/>
        <v>0</v>
      </c>
      <c r="Q37" s="358">
        <f t="shared" si="50"/>
        <v>0</v>
      </c>
      <c r="R37" s="358">
        <f t="shared" si="50"/>
        <v>0</v>
      </c>
      <c r="S37" s="358">
        <f t="shared" si="50"/>
        <v>0</v>
      </c>
      <c r="T37" s="358">
        <f t="shared" si="50"/>
        <v>0</v>
      </c>
      <c r="U37" s="358">
        <f t="shared" si="50"/>
        <v>0</v>
      </c>
      <c r="V37" s="358">
        <f t="shared" si="50"/>
        <v>0</v>
      </c>
      <c r="W37" s="358">
        <f t="shared" si="50"/>
        <v>822052399</v>
      </c>
      <c r="X37" s="358">
        <f t="shared" si="50"/>
        <v>822052399</v>
      </c>
      <c r="Y37" s="358">
        <f t="shared" si="50"/>
        <v>535986131</v>
      </c>
      <c r="Z37" s="358">
        <f t="shared" si="50"/>
        <v>757052399</v>
      </c>
      <c r="AA37" s="358">
        <f t="shared" si="50"/>
        <v>535986131</v>
      </c>
      <c r="AB37" s="376">
        <f t="shared" ref="AB37:AZ37" si="51">+AB32+AB35</f>
        <v>1611707434</v>
      </c>
      <c r="AC37" s="358">
        <f t="shared" si="51"/>
        <v>69771834</v>
      </c>
      <c r="AD37" s="358">
        <f t="shared" si="51"/>
        <v>69771834</v>
      </c>
      <c r="AE37" s="358">
        <f t="shared" si="51"/>
        <v>782719466</v>
      </c>
      <c r="AF37" s="358">
        <f t="shared" si="51"/>
        <v>782719466</v>
      </c>
      <c r="AG37" s="358">
        <f t="shared" si="51"/>
        <v>280310134</v>
      </c>
      <c r="AH37" s="358">
        <f t="shared" si="51"/>
        <v>280310134</v>
      </c>
      <c r="AI37" s="358">
        <f t="shared" si="51"/>
        <v>0</v>
      </c>
      <c r="AJ37" s="358">
        <f t="shared" si="51"/>
        <v>0</v>
      </c>
      <c r="AK37" s="358">
        <f t="shared" si="51"/>
        <v>0</v>
      </c>
      <c r="AL37" s="358">
        <f>+AL32+AL35</f>
        <v>0</v>
      </c>
      <c r="AM37" s="358">
        <f t="shared" si="51"/>
        <v>150666666.66666666</v>
      </c>
      <c r="AN37" s="358">
        <f>+AN32+AN35</f>
        <v>150000000</v>
      </c>
      <c r="AO37" s="358">
        <f t="shared" si="51"/>
        <v>0</v>
      </c>
      <c r="AP37" s="358">
        <f t="shared" si="51"/>
        <v>0</v>
      </c>
      <c r="AQ37" s="358">
        <f t="shared" si="51"/>
        <v>156047866.66666701</v>
      </c>
      <c r="AR37" s="358">
        <f t="shared" si="51"/>
        <v>0</v>
      </c>
      <c r="AS37" s="358">
        <f t="shared" si="51"/>
        <v>263047866.66666701</v>
      </c>
      <c r="AT37" s="358">
        <f t="shared" si="51"/>
        <v>0</v>
      </c>
      <c r="AU37" s="358">
        <f t="shared" si="51"/>
        <v>5381200</v>
      </c>
      <c r="AV37" s="358">
        <f>+AV32+AV35</f>
        <v>12393667</v>
      </c>
      <c r="AW37" s="358">
        <f t="shared" si="51"/>
        <v>5381200</v>
      </c>
      <c r="AX37" s="358">
        <f>+AX32+AX35</f>
        <v>355319167</v>
      </c>
      <c r="AY37" s="358">
        <f t="shared" si="51"/>
        <v>5381200</v>
      </c>
      <c r="AZ37" s="358">
        <f t="shared" si="51"/>
        <v>67733833</v>
      </c>
      <c r="BA37" s="359">
        <f t="shared" si="48"/>
        <v>1718707434.0000005</v>
      </c>
      <c r="BB37" s="360">
        <f t="shared" si="48"/>
        <v>1718707434.0000007</v>
      </c>
      <c r="BC37" s="360">
        <f t="shared" si="48"/>
        <v>1718248101</v>
      </c>
      <c r="BD37" s="360">
        <f t="shared" si="48"/>
        <v>1718707434.0000007</v>
      </c>
      <c r="BE37" s="360">
        <f t="shared" si="48"/>
        <v>1718248101</v>
      </c>
      <c r="BF37" s="360">
        <f t="shared" ref="BF37:CJ37" si="52">+BF32+BF35</f>
        <v>2279351058</v>
      </c>
      <c r="BG37" s="360">
        <f t="shared" si="52"/>
        <v>1105348400</v>
      </c>
      <c r="BH37" s="360">
        <f t="shared" si="52"/>
        <v>1097940000</v>
      </c>
      <c r="BI37" s="360">
        <f t="shared" si="52"/>
        <v>38557535</v>
      </c>
      <c r="BJ37" s="360">
        <f>+BJ32+BJ35</f>
        <v>24006926</v>
      </c>
      <c r="BK37" s="360">
        <f t="shared" si="52"/>
        <v>172319000</v>
      </c>
      <c r="BL37" s="360">
        <f t="shared" si="52"/>
        <v>0</v>
      </c>
      <c r="BM37" s="360">
        <f t="shared" si="52"/>
        <v>616009000</v>
      </c>
      <c r="BN37" s="360">
        <f t="shared" si="52"/>
        <v>0</v>
      </c>
      <c r="BO37" s="360">
        <f t="shared" si="52"/>
        <v>96000000</v>
      </c>
      <c r="BP37" s="360">
        <f t="shared" si="52"/>
        <v>0</v>
      </c>
      <c r="BQ37" s="360">
        <f t="shared" si="52"/>
        <v>76000000</v>
      </c>
      <c r="BR37" s="360">
        <f t="shared" si="52"/>
        <v>0</v>
      </c>
      <c r="BS37" s="360">
        <f t="shared" si="52"/>
        <v>36000000</v>
      </c>
      <c r="BT37" s="360">
        <f t="shared" si="52"/>
        <v>638286132</v>
      </c>
      <c r="BU37" s="360">
        <f t="shared" si="52"/>
        <v>36000000</v>
      </c>
      <c r="BV37" s="360">
        <f t="shared" si="52"/>
        <v>-7746979</v>
      </c>
      <c r="BW37" s="360">
        <f t="shared" si="52"/>
        <v>309348119</v>
      </c>
      <c r="BX37" s="360">
        <f t="shared" si="52"/>
        <v>39999998</v>
      </c>
      <c r="BY37" s="360">
        <f t="shared" si="52"/>
        <v>88969000</v>
      </c>
      <c r="BZ37" s="360">
        <f t="shared" si="52"/>
        <v>547998200</v>
      </c>
      <c r="CA37" s="360">
        <f t="shared" si="52"/>
        <v>38864104</v>
      </c>
      <c r="CB37" s="360">
        <f t="shared" si="52"/>
        <v>86093500</v>
      </c>
      <c r="CC37" s="360">
        <f t="shared" si="52"/>
        <v>-50496981</v>
      </c>
      <c r="CD37" s="360">
        <f t="shared" si="52"/>
        <v>85861748</v>
      </c>
      <c r="CE37" s="360">
        <f t="shared" si="52"/>
        <v>2562918177</v>
      </c>
      <c r="CF37" s="360">
        <f t="shared" si="52"/>
        <v>2562918177</v>
      </c>
      <c r="CG37" s="360">
        <f t="shared" si="52"/>
        <v>2512439525</v>
      </c>
      <c r="CH37" s="360">
        <f t="shared" si="52"/>
        <v>2562918177</v>
      </c>
      <c r="CI37" s="360">
        <f t="shared" si="52"/>
        <v>2512439525</v>
      </c>
      <c r="CJ37" s="360">
        <f t="shared" si="52"/>
        <v>1243371000</v>
      </c>
      <c r="CK37" s="358"/>
      <c r="CL37" s="358"/>
      <c r="CM37" s="358"/>
      <c r="CN37" s="358"/>
      <c r="CO37" s="358"/>
      <c r="CP37" s="358"/>
      <c r="CQ37" s="358"/>
      <c r="CR37" s="358"/>
      <c r="CS37" s="358"/>
      <c r="CT37" s="358"/>
      <c r="CU37" s="358"/>
      <c r="CV37" s="358"/>
      <c r="CW37" s="358"/>
      <c r="CX37" s="358"/>
      <c r="CY37" s="358"/>
      <c r="CZ37" s="358"/>
      <c r="DA37" s="358"/>
      <c r="DB37" s="358"/>
      <c r="DC37" s="358"/>
      <c r="DD37" s="358"/>
      <c r="DE37" s="358"/>
      <c r="DF37" s="358"/>
      <c r="DG37" s="358"/>
      <c r="DH37" s="358"/>
      <c r="DI37" s="359">
        <v>0</v>
      </c>
      <c r="DJ37" s="360">
        <v>0</v>
      </c>
      <c r="DK37" s="360">
        <v>0</v>
      </c>
      <c r="DL37" s="359">
        <v>0</v>
      </c>
      <c r="DM37" s="360">
        <v>0</v>
      </c>
      <c r="DN37" s="360">
        <f>+DN32+DN35</f>
        <v>995361000</v>
      </c>
      <c r="DO37" s="386"/>
      <c r="DP37" s="386"/>
      <c r="DQ37" s="386"/>
      <c r="DR37" s="386"/>
      <c r="DS37" s="386"/>
      <c r="DT37" s="386"/>
      <c r="DU37" s="386"/>
      <c r="DV37" s="386"/>
      <c r="DW37" s="386"/>
      <c r="DX37" s="386"/>
      <c r="DY37" s="386"/>
      <c r="DZ37" s="386"/>
      <c r="EA37" s="386"/>
      <c r="EB37" s="386"/>
      <c r="EC37" s="386"/>
      <c r="ED37" s="386"/>
      <c r="EE37" s="386"/>
      <c r="EF37" s="386"/>
      <c r="EG37" s="386"/>
      <c r="EH37" s="386"/>
      <c r="EI37" s="386"/>
      <c r="EJ37" s="386"/>
      <c r="EK37" s="386"/>
      <c r="EL37" s="386"/>
      <c r="EM37" s="387">
        <f>EK37+EI37+EG37+EE37+EC37+EA37+DY37+DW37+DU37+DS37+DQ37+DO37</f>
        <v>0</v>
      </c>
      <c r="EN37" s="388">
        <f>+EN32+EN35</f>
        <v>0</v>
      </c>
      <c r="EO37" s="389">
        <f>EO32+EO35</f>
        <v>0</v>
      </c>
      <c r="EP37" s="388">
        <f>+EP32+EP35</f>
        <v>0</v>
      </c>
      <c r="EQ37" s="388">
        <f>+EQ32+EQ35</f>
        <v>0</v>
      </c>
      <c r="ER37" s="365">
        <f t="shared" si="4"/>
        <v>-1.7003342833505235</v>
      </c>
      <c r="ES37" s="283">
        <f t="shared" si="6"/>
        <v>0.98030422802686301</v>
      </c>
      <c r="ET37" s="284">
        <f t="shared" si="7"/>
        <v>0.98030422802686301</v>
      </c>
      <c r="EU37" s="285">
        <f t="shared" si="5"/>
        <v>0.94601674239549172</v>
      </c>
      <c r="EV37" s="286">
        <f t="shared" si="8"/>
        <v>0.67556006882992004</v>
      </c>
      <c r="EW37" s="517"/>
      <c r="EX37" s="475"/>
      <c r="EY37" s="475" t="s">
        <v>568</v>
      </c>
      <c r="EZ37" s="475"/>
      <c r="FA37" s="524"/>
      <c r="FB37" s="479"/>
    </row>
    <row r="38" spans="1:158" s="3" customFormat="1" ht="42.75" customHeight="1" x14ac:dyDescent="0.25">
      <c r="A38" s="515" t="s">
        <v>306</v>
      </c>
      <c r="B38" s="515">
        <v>5</v>
      </c>
      <c r="C38" s="515" t="s">
        <v>310</v>
      </c>
      <c r="D38" s="515" t="s">
        <v>313</v>
      </c>
      <c r="E38" s="515">
        <v>270</v>
      </c>
      <c r="F38" s="311" t="s">
        <v>40</v>
      </c>
      <c r="G38" s="390">
        <v>1</v>
      </c>
      <c r="H38" s="391">
        <v>1</v>
      </c>
      <c r="I38" s="391" t="s">
        <v>314</v>
      </c>
      <c r="J38" s="391" t="s">
        <v>314</v>
      </c>
      <c r="K38" s="391" t="s">
        <v>314</v>
      </c>
      <c r="L38" s="391" t="s">
        <v>314</v>
      </c>
      <c r="M38" s="391" t="s">
        <v>314</v>
      </c>
      <c r="N38" s="391" t="s">
        <v>314</v>
      </c>
      <c r="O38" s="391" t="s">
        <v>314</v>
      </c>
      <c r="P38" s="391" t="s">
        <v>314</v>
      </c>
      <c r="Q38" s="391" t="s">
        <v>314</v>
      </c>
      <c r="R38" s="391" t="s">
        <v>314</v>
      </c>
      <c r="S38" s="391" t="s">
        <v>314</v>
      </c>
      <c r="T38" s="391" t="s">
        <v>314</v>
      </c>
      <c r="U38" s="391" t="s">
        <v>314</v>
      </c>
      <c r="V38" s="391" t="s">
        <v>314</v>
      </c>
      <c r="W38" s="391" t="s">
        <v>314</v>
      </c>
      <c r="X38" s="391" t="s">
        <v>314</v>
      </c>
      <c r="Y38" s="391" t="s">
        <v>314</v>
      </c>
      <c r="Z38" s="391">
        <v>1</v>
      </c>
      <c r="AA38" s="391">
        <v>1</v>
      </c>
      <c r="AB38" s="391">
        <v>1</v>
      </c>
      <c r="AC38" s="391">
        <v>1</v>
      </c>
      <c r="AD38" s="391">
        <v>1</v>
      </c>
      <c r="AE38" s="391">
        <v>1</v>
      </c>
      <c r="AF38" s="391">
        <v>1</v>
      </c>
      <c r="AG38" s="391">
        <v>1</v>
      </c>
      <c r="AH38" s="391">
        <v>1</v>
      </c>
      <c r="AI38" s="391">
        <v>1</v>
      </c>
      <c r="AJ38" s="391">
        <v>1</v>
      </c>
      <c r="AK38" s="391">
        <v>1</v>
      </c>
      <c r="AL38" s="391">
        <v>1</v>
      </c>
      <c r="AM38" s="391">
        <v>1</v>
      </c>
      <c r="AN38" s="391">
        <v>1</v>
      </c>
      <c r="AO38" s="391">
        <v>1</v>
      </c>
      <c r="AP38" s="391">
        <v>1</v>
      </c>
      <c r="AQ38" s="391">
        <v>1</v>
      </c>
      <c r="AR38" s="391">
        <v>1</v>
      </c>
      <c r="AS38" s="391">
        <v>1</v>
      </c>
      <c r="AT38" s="391">
        <v>1</v>
      </c>
      <c r="AU38" s="391">
        <v>1</v>
      </c>
      <c r="AV38" s="391">
        <v>1</v>
      </c>
      <c r="AW38" s="391">
        <v>1</v>
      </c>
      <c r="AX38" s="391">
        <v>1</v>
      </c>
      <c r="AY38" s="391">
        <v>1</v>
      </c>
      <c r="AZ38" s="391">
        <v>1</v>
      </c>
      <c r="BA38" s="391">
        <f>+AB38</f>
        <v>1</v>
      </c>
      <c r="BB38" s="391">
        <f>+AY38</f>
        <v>1</v>
      </c>
      <c r="BC38" s="391">
        <f>+AZ38</f>
        <v>1</v>
      </c>
      <c r="BD38" s="391">
        <f>+G38</f>
        <v>1</v>
      </c>
      <c r="BE38" s="391">
        <f>+AZ38</f>
        <v>1</v>
      </c>
      <c r="BF38" s="391">
        <v>1</v>
      </c>
      <c r="BG38" s="391">
        <v>1</v>
      </c>
      <c r="BH38" s="391">
        <v>1</v>
      </c>
      <c r="BI38" s="391">
        <v>1</v>
      </c>
      <c r="BJ38" s="391">
        <v>1</v>
      </c>
      <c r="BK38" s="391">
        <v>1</v>
      </c>
      <c r="BL38" s="391">
        <v>1</v>
      </c>
      <c r="BM38" s="391">
        <v>1</v>
      </c>
      <c r="BN38" s="391">
        <v>1</v>
      </c>
      <c r="BO38" s="391">
        <v>1</v>
      </c>
      <c r="BP38" s="391">
        <v>1</v>
      </c>
      <c r="BQ38" s="391">
        <v>1</v>
      </c>
      <c r="BR38" s="391">
        <v>1</v>
      </c>
      <c r="BS38" s="391">
        <v>1</v>
      </c>
      <c r="BT38" s="391">
        <v>1</v>
      </c>
      <c r="BU38" s="391">
        <v>1</v>
      </c>
      <c r="BV38" s="391">
        <v>1</v>
      </c>
      <c r="BW38" s="391">
        <v>1</v>
      </c>
      <c r="BX38" s="391">
        <v>1</v>
      </c>
      <c r="BY38" s="391">
        <v>1</v>
      </c>
      <c r="BZ38" s="391">
        <v>1</v>
      </c>
      <c r="CA38" s="391">
        <v>1</v>
      </c>
      <c r="CB38" s="391">
        <v>1</v>
      </c>
      <c r="CC38" s="391">
        <v>1</v>
      </c>
      <c r="CD38" s="391">
        <v>1</v>
      </c>
      <c r="CE38" s="391">
        <f>BF38</f>
        <v>1</v>
      </c>
      <c r="CF38" s="391">
        <f>+CC38</f>
        <v>1</v>
      </c>
      <c r="CG38" s="391">
        <f>+CD38</f>
        <v>1</v>
      </c>
      <c r="CH38" s="391">
        <f>+CC38</f>
        <v>1</v>
      </c>
      <c r="CI38" s="391">
        <f>+CD38</f>
        <v>1</v>
      </c>
      <c r="CJ38" s="391">
        <v>1</v>
      </c>
      <c r="CK38" s="391"/>
      <c r="CL38" s="391"/>
      <c r="CM38" s="391"/>
      <c r="CN38" s="391"/>
      <c r="CO38" s="391"/>
      <c r="CP38" s="391"/>
      <c r="CQ38" s="391"/>
      <c r="CR38" s="391"/>
      <c r="CS38" s="391"/>
      <c r="CT38" s="391"/>
      <c r="CU38" s="391"/>
      <c r="CV38" s="391"/>
      <c r="CW38" s="391"/>
      <c r="CX38" s="391"/>
      <c r="CY38" s="391"/>
      <c r="CZ38" s="391"/>
      <c r="DA38" s="391"/>
      <c r="DB38" s="391"/>
      <c r="DC38" s="391"/>
      <c r="DD38" s="391"/>
      <c r="DE38" s="391"/>
      <c r="DF38" s="391"/>
      <c r="DG38" s="391"/>
      <c r="DH38" s="391"/>
      <c r="DI38" s="391">
        <f>DG38+DE38+DC38+DA38+CY38+CW38+CU38+CS38+CQ38+CO38+CM38+CK38</f>
        <v>0</v>
      </c>
      <c r="DJ38" s="391">
        <f>CK38+CM38+CO38+CQ38</f>
        <v>0</v>
      </c>
      <c r="DK38" s="391">
        <f>CL38+CN38+CP38+CR38</f>
        <v>0</v>
      </c>
      <c r="DL38" s="391">
        <f>CM38+CO38+CQ38+CS38+CU38+CW38+CY38+DA38+DC38+DE38+DG38+CK38</f>
        <v>0</v>
      </c>
      <c r="DM38" s="391">
        <f>CL38+CN38+CP38+CR38</f>
        <v>0</v>
      </c>
      <c r="DN38" s="391">
        <v>1</v>
      </c>
      <c r="DO38" s="392"/>
      <c r="DP38" s="392"/>
      <c r="DQ38" s="392"/>
      <c r="DR38" s="392"/>
      <c r="DS38" s="392"/>
      <c r="DT38" s="392"/>
      <c r="DU38" s="392"/>
      <c r="DV38" s="392"/>
      <c r="DW38" s="392"/>
      <c r="DX38" s="392"/>
      <c r="DY38" s="392"/>
      <c r="DZ38" s="392"/>
      <c r="EA38" s="392"/>
      <c r="EB38" s="392"/>
      <c r="EC38" s="392"/>
      <c r="ED38" s="392"/>
      <c r="EE38" s="392"/>
      <c r="EF38" s="392"/>
      <c r="EG38" s="392"/>
      <c r="EH38" s="392"/>
      <c r="EI38" s="392"/>
      <c r="EJ38" s="392"/>
      <c r="EK38" s="392"/>
      <c r="EL38" s="392"/>
      <c r="EM38" s="393">
        <f>EK38+EI38+EG38+EE38+EA38+DY38+DW38+DU38+DS38+DQ38+DO38</f>
        <v>0</v>
      </c>
      <c r="EN38" s="393">
        <f>DO38+DQ38+DS38+DU38</f>
        <v>0</v>
      </c>
      <c r="EO38" s="393">
        <f>DP38+DR38+DT38+DV38</f>
        <v>0</v>
      </c>
      <c r="EP38" s="393">
        <f>EM38+CO38</f>
        <v>0</v>
      </c>
      <c r="EQ38" s="394">
        <f>EO38+CO38</f>
        <v>0</v>
      </c>
      <c r="ER38" s="354">
        <f t="shared" si="4"/>
        <v>1</v>
      </c>
      <c r="ES38" s="355">
        <f t="shared" si="6"/>
        <v>1</v>
      </c>
      <c r="ET38" s="356">
        <f t="shared" si="7"/>
        <v>1</v>
      </c>
      <c r="EU38" s="357">
        <f t="shared" si="5"/>
        <v>1</v>
      </c>
      <c r="EV38" s="356">
        <f>+(AA38+BE38+CI38)/500%</f>
        <v>0.6</v>
      </c>
      <c r="EW38" s="477" t="s">
        <v>636</v>
      </c>
      <c r="EX38" s="475" t="s">
        <v>568</v>
      </c>
      <c r="EY38" s="475" t="s">
        <v>568</v>
      </c>
      <c r="EZ38" s="476" t="s">
        <v>335</v>
      </c>
      <c r="FA38" s="480" t="s">
        <v>536</v>
      </c>
      <c r="FB38" s="479"/>
    </row>
    <row r="39" spans="1:158" s="51" customFormat="1" ht="42.75" customHeight="1" x14ac:dyDescent="0.25">
      <c r="A39" s="515"/>
      <c r="B39" s="515"/>
      <c r="C39" s="515"/>
      <c r="D39" s="515"/>
      <c r="E39" s="515"/>
      <c r="F39" s="312" t="s">
        <v>3</v>
      </c>
      <c r="G39" s="317">
        <f>AA39+BE39+CH39+CJ39+DN39</f>
        <v>3392832444</v>
      </c>
      <c r="H39" s="107">
        <v>403410000</v>
      </c>
      <c r="I39" s="108"/>
      <c r="J39" s="108"/>
      <c r="K39" s="108"/>
      <c r="L39" s="108"/>
      <c r="M39" s="108"/>
      <c r="N39" s="108"/>
      <c r="O39" s="108"/>
      <c r="P39" s="108"/>
      <c r="Q39" s="108"/>
      <c r="R39" s="108"/>
      <c r="S39" s="108"/>
      <c r="T39" s="107"/>
      <c r="U39" s="119"/>
      <c r="V39" s="119"/>
      <c r="W39" s="107">
        <v>403410000</v>
      </c>
      <c r="X39" s="107">
        <v>403410000</v>
      </c>
      <c r="Y39" s="107">
        <v>232617000</v>
      </c>
      <c r="Z39" s="107">
        <v>263410000</v>
      </c>
      <c r="AA39" s="107">
        <v>232617000</v>
      </c>
      <c r="AB39" s="107">
        <v>689070000</v>
      </c>
      <c r="AC39" s="108">
        <v>0</v>
      </c>
      <c r="AD39" s="108">
        <v>0</v>
      </c>
      <c r="AE39" s="108">
        <v>34584000</v>
      </c>
      <c r="AF39" s="108">
        <f>34584000-AD39</f>
        <v>34584000</v>
      </c>
      <c r="AG39" s="108">
        <v>308422000</v>
      </c>
      <c r="AH39" s="108">
        <f>343006000-AF39-AD39</f>
        <v>308422000</v>
      </c>
      <c r="AI39" s="108">
        <v>1738634</v>
      </c>
      <c r="AJ39" s="108">
        <f>344744634-AH39-AF39-AD39</f>
        <v>1738634</v>
      </c>
      <c r="AK39" s="108">
        <v>14241944</v>
      </c>
      <c r="AL39" s="108">
        <f>358986578-AJ39-AH39-AF39-AD39-5000000</f>
        <v>9241944</v>
      </c>
      <c r="AM39" s="108">
        <v>0</v>
      </c>
      <c r="AN39" s="108">
        <v>101779714</v>
      </c>
      <c r="AO39" s="108">
        <v>0</v>
      </c>
      <c r="AP39" s="108">
        <v>0</v>
      </c>
      <c r="AQ39" s="108">
        <f>41419807.3333333+46164800</f>
        <v>87584607.333333299</v>
      </c>
      <c r="AR39" s="108">
        <v>36764000</v>
      </c>
      <c r="AS39" s="108">
        <f>41419807.3333333+46164800+35320000</f>
        <v>122904607.3333333</v>
      </c>
      <c r="AT39" s="108">
        <v>0</v>
      </c>
      <c r="AU39" s="108">
        <f>41419807.3333333+46164800</f>
        <v>87584607.333333299</v>
      </c>
      <c r="AV39" s="108">
        <v>11769667</v>
      </c>
      <c r="AW39" s="108">
        <v>46164800</v>
      </c>
      <c r="AX39" s="108">
        <v>19321500</v>
      </c>
      <c r="AY39" s="108">
        <v>46164800</v>
      </c>
      <c r="AZ39" s="108">
        <v>180225685</v>
      </c>
      <c r="BA39" s="108">
        <f>AY39+AW39+AU39+AS39+AQ39+AO39+AM39+AK39+AI39+AG39+AE39+AC39</f>
        <v>749390000</v>
      </c>
      <c r="BB39" s="108">
        <f>AC39+AE39+AG39+AI39+AK39+AM39+AO39+AQ39+AS39+AU39+AW39+AY39</f>
        <v>749389999.99999988</v>
      </c>
      <c r="BC39" s="108">
        <f>AD39+AF39+AH39+AJ39+AL39+AN39+AP39+AR39+AT39+AV39+AX39+AZ39</f>
        <v>703847144</v>
      </c>
      <c r="BD39" s="108">
        <f>AE39+AG39+AI39+AK39+AM39+AO39+AQ39+AS39+AU39+AW39+AY39+AC39</f>
        <v>749389999.99999988</v>
      </c>
      <c r="BE39" s="108">
        <f>AD39+AF39+AH39+AJ39+AL39+AN39+AP39+AR39+AT39+AV39+AX39+AZ39</f>
        <v>703847144</v>
      </c>
      <c r="BF39" s="108">
        <v>843232000</v>
      </c>
      <c r="BG39" s="108">
        <v>462232000</v>
      </c>
      <c r="BH39" s="108">
        <v>455184000</v>
      </c>
      <c r="BI39" s="108">
        <v>0</v>
      </c>
      <c r="BJ39" s="108">
        <v>0</v>
      </c>
      <c r="BK39" s="108">
        <v>381000000</v>
      </c>
      <c r="BL39" s="108">
        <v>0</v>
      </c>
      <c r="BM39" s="108">
        <v>0</v>
      </c>
      <c r="BN39" s="108">
        <v>0</v>
      </c>
      <c r="BO39" s="108">
        <v>-7048000</v>
      </c>
      <c r="BP39" s="108">
        <v>0</v>
      </c>
      <c r="BQ39" s="108">
        <v>0</v>
      </c>
      <c r="BR39" s="108">
        <v>0</v>
      </c>
      <c r="BS39" s="108">
        <v>0</v>
      </c>
      <c r="BT39" s="108">
        <v>0</v>
      </c>
      <c r="BU39" s="108">
        <v>60207700</v>
      </c>
      <c r="BV39" s="108">
        <v>14028000</v>
      </c>
      <c r="BW39" s="108">
        <v>57264498</v>
      </c>
      <c r="BX39" s="108">
        <v>19349800</v>
      </c>
      <c r="BY39" s="108">
        <v>134230102</v>
      </c>
      <c r="BZ39" s="108">
        <v>44119860</v>
      </c>
      <c r="CA39" s="108">
        <v>0</v>
      </c>
      <c r="CB39" s="108">
        <v>107967800</v>
      </c>
      <c r="CC39" s="108">
        <v>-34000000</v>
      </c>
      <c r="CD39" s="108">
        <v>383111048</v>
      </c>
      <c r="CE39" s="108">
        <f>CC39+CA39+BY39+BW39+BU39+BS39+BQ39+BO39+BM39+BK39+BI39+BG39</f>
        <v>1053886300</v>
      </c>
      <c r="CF39" s="108">
        <f>+BG39+BI39+BK39+BM39+BO39+BQ39+BS39+BU39+BW39+BY39+CA39+CC39</f>
        <v>1053886300</v>
      </c>
      <c r="CG39" s="108">
        <f>+BH39+BJ39+BL39+BN39+BP39+BR39+BT39+BV39+BX39+BZ39+CB39+CD39</f>
        <v>1023760508</v>
      </c>
      <c r="CH39" s="107">
        <f>CC39+CA39+BY39+BW39+BU39+BS39+BQ39+BO39+BM39+BK39+BI39+BG39</f>
        <v>1053886300</v>
      </c>
      <c r="CI39" s="107">
        <f>+BH39+BJ39+BL39+BN39+BP39+BR39+BT39+BV39+BX39+BZ39+CB39+CD39</f>
        <v>1023760508</v>
      </c>
      <c r="CJ39" s="108">
        <v>554093000</v>
      </c>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7">
        <f>DG39+DE39+DC39+DA39+CY39+CW39+CU39+CS39+CQ39+CO39+CM39+CK39</f>
        <v>0</v>
      </c>
      <c r="DJ39" s="117">
        <f>CK39+CM39+CO39+CQ39</f>
        <v>0</v>
      </c>
      <c r="DK39" s="117">
        <f>CL39+CN39+CP39+CR39</f>
        <v>0</v>
      </c>
      <c r="DL39" s="107">
        <f>CM39+CO39+CQ39+CS39+CU39+CW39+CY39+DA39+DC39+DE39+DG39+CK39</f>
        <v>0</v>
      </c>
      <c r="DM39" s="117">
        <f>CL39+CN39+CP39+CR39</f>
        <v>0</v>
      </c>
      <c r="DN39" s="108">
        <v>848389000</v>
      </c>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301">
        <f>EK39+EI39+EG39+EE39+EC39+EA39+DY39+DW39+DU39+DS39+DQ39+DO39</f>
        <v>0</v>
      </c>
      <c r="EN39" s="85">
        <f>DO39+DQ39+DS39+DU39</f>
        <v>0</v>
      </c>
      <c r="EO39" s="85">
        <f>DP39+DR39+DT39+DV39</f>
        <v>0</v>
      </c>
      <c r="EP39" s="85">
        <f>DO39+DQ39+DS39+DU39+DW39+DY39+EA39+EC39+EE39+EI39+EK39</f>
        <v>0</v>
      </c>
      <c r="EQ39" s="87">
        <f>DP39+DR39+DT39+DV39</f>
        <v>0</v>
      </c>
      <c r="ER39" s="123">
        <f t="shared" si="4"/>
        <v>-11.267972</v>
      </c>
      <c r="ES39" s="277">
        <f t="shared" si="6"/>
        <v>0.97141457100258344</v>
      </c>
      <c r="ET39" s="278">
        <f t="shared" si="7"/>
        <v>0.97141457100258344</v>
      </c>
      <c r="EU39" s="279">
        <f t="shared" si="5"/>
        <v>0.94848678873034575</v>
      </c>
      <c r="EV39" s="278">
        <f t="shared" si="8"/>
        <v>0.57775462960645985</v>
      </c>
      <c r="EW39" s="477"/>
      <c r="EX39" s="475"/>
      <c r="EY39" s="475" t="s">
        <v>568</v>
      </c>
      <c r="EZ39" s="476"/>
      <c r="FA39" s="480"/>
      <c r="FB39" s="479"/>
    </row>
    <row r="40" spans="1:158" s="51" customFormat="1" ht="42.75" customHeight="1" x14ac:dyDescent="0.25">
      <c r="A40" s="515"/>
      <c r="B40" s="515"/>
      <c r="C40" s="515"/>
      <c r="D40" s="515"/>
      <c r="E40" s="515"/>
      <c r="F40" s="313" t="s">
        <v>216</v>
      </c>
      <c r="G40" s="318"/>
      <c r="H40" s="107"/>
      <c r="I40" s="108"/>
      <c r="J40" s="108"/>
      <c r="K40" s="108"/>
      <c r="L40" s="108"/>
      <c r="M40" s="108"/>
      <c r="N40" s="108"/>
      <c r="O40" s="108"/>
      <c r="P40" s="108"/>
      <c r="Q40" s="108"/>
      <c r="R40" s="108"/>
      <c r="S40" s="108"/>
      <c r="T40" s="107"/>
      <c r="U40" s="119"/>
      <c r="V40" s="119"/>
      <c r="W40" s="107"/>
      <c r="X40" s="107"/>
      <c r="Y40" s="107"/>
      <c r="Z40" s="107"/>
      <c r="AA40" s="108"/>
      <c r="AB40" s="107"/>
      <c r="AC40" s="108">
        <v>0</v>
      </c>
      <c r="AD40" s="108">
        <v>0</v>
      </c>
      <c r="AE40" s="108">
        <v>0</v>
      </c>
      <c r="AF40" s="108">
        <v>0</v>
      </c>
      <c r="AG40" s="108">
        <v>0</v>
      </c>
      <c r="AH40" s="108">
        <v>0</v>
      </c>
      <c r="AI40" s="108">
        <v>29463567</v>
      </c>
      <c r="AJ40" s="108">
        <f>29463567-AH40</f>
        <v>29463567</v>
      </c>
      <c r="AK40" s="108">
        <v>42312234</v>
      </c>
      <c r="AL40" s="108">
        <f>71775801-AJ40+5062267</f>
        <v>47374501</v>
      </c>
      <c r="AM40" s="108">
        <v>45547691</v>
      </c>
      <c r="AN40" s="108">
        <v>45547691</v>
      </c>
      <c r="AO40" s="108">
        <v>0</v>
      </c>
      <c r="AP40" s="108">
        <v>52764501</v>
      </c>
      <c r="AQ40" s="108">
        <v>0</v>
      </c>
      <c r="AR40" s="108">
        <v>39402600</v>
      </c>
      <c r="AS40" s="108">
        <v>0</v>
      </c>
      <c r="AT40" s="108">
        <v>39458167</v>
      </c>
      <c r="AU40" s="108">
        <v>0</v>
      </c>
      <c r="AV40" s="108">
        <v>41241000</v>
      </c>
      <c r="AW40" s="108">
        <v>0</v>
      </c>
      <c r="AX40" s="108">
        <v>44959667</v>
      </c>
      <c r="AY40" s="108">
        <v>0</v>
      </c>
      <c r="AZ40" s="108">
        <v>118193574.72981858</v>
      </c>
      <c r="BA40" s="108">
        <f>AY40+AW40+AU40+AS40+AQ40+AO40+AM40+AK40+AI40+AG40+AE40+AC40</f>
        <v>117323492</v>
      </c>
      <c r="BB40" s="108">
        <f>AC40+AE40+AG40+AI40+AK40+AM40+AO40+AQ40+AS40+AU40+AW40+AY40</f>
        <v>117323492</v>
      </c>
      <c r="BC40" s="108">
        <f>AD40+AF40+AH40+AJ40+AL40+AN40+AP40+AR40+AT40+AV40+AX40+AZ40</f>
        <v>458405268.72981858</v>
      </c>
      <c r="BD40" s="108">
        <f>AE40+AG40+AI40+AK40+AM40+AO40+AQ40+AS40+AU40+AW40+AY40+AC40</f>
        <v>117323492</v>
      </c>
      <c r="BE40" s="108">
        <f>AD40+AF40+AH40+AJ40+AL40+AN40+AP40+AR40+AT40+AV40+AX40+AZ40</f>
        <v>458405268.72981858</v>
      </c>
      <c r="BF40" s="108">
        <v>0</v>
      </c>
      <c r="BG40" s="108">
        <v>0</v>
      </c>
      <c r="BH40" s="108">
        <v>0</v>
      </c>
      <c r="BI40" s="108"/>
      <c r="BJ40" s="108">
        <v>2716334</v>
      </c>
      <c r="BK40" s="108"/>
      <c r="BL40" s="108">
        <v>49602419</v>
      </c>
      <c r="BM40" s="108"/>
      <c r="BN40" s="108">
        <v>51491637</v>
      </c>
      <c r="BO40" s="108"/>
      <c r="BP40" s="108">
        <v>50399819</v>
      </c>
      <c r="BQ40" s="108"/>
      <c r="BR40" s="108">
        <v>50146819</v>
      </c>
      <c r="BS40" s="108"/>
      <c r="BT40" s="108">
        <v>50772546</v>
      </c>
      <c r="BU40" s="108">
        <v>0</v>
      </c>
      <c r="BV40" s="108">
        <v>49869364</v>
      </c>
      <c r="BW40" s="108">
        <v>0</v>
      </c>
      <c r="BX40" s="108">
        <v>49869364</v>
      </c>
      <c r="BY40" s="108">
        <v>0</v>
      </c>
      <c r="BZ40" s="108">
        <v>50930274</v>
      </c>
      <c r="CA40" s="108">
        <v>0</v>
      </c>
      <c r="CB40" s="108">
        <v>48811207</v>
      </c>
      <c r="CC40" s="108">
        <v>0</v>
      </c>
      <c r="CD40" s="108">
        <v>144899064</v>
      </c>
      <c r="CE40" s="108">
        <f>CC40+CA40+BY40+BW40+BU40+BS40+BQ40+BO40+BM40+BK40+BI40+BG40</f>
        <v>0</v>
      </c>
      <c r="CF40" s="108">
        <f>+BG40+BI40+BK40+BM40+BO40+BQ40+BS40+BU40+BW40+BY40+CA40+CC40</f>
        <v>0</v>
      </c>
      <c r="CG40" s="108">
        <f>+BH40+BJ40+BL40+BN40+BP40+BR40+BT40+BV40+BX40+BZ40+CB40+CD40</f>
        <v>599508847</v>
      </c>
      <c r="CH40" s="107">
        <f>CC40+CA40+BY40+BW40+BU40+BS40+BQ40+BO40+BM40+BK40+BI40+BG40</f>
        <v>0</v>
      </c>
      <c r="CI40" s="107">
        <f>+BH40+BJ40+BL40+BN40+BP40+BR40+BT40+BV40+BX40+BZ40+CB40+CD40</f>
        <v>599508847</v>
      </c>
      <c r="CJ40" s="108">
        <v>0</v>
      </c>
      <c r="CK40" s="108"/>
      <c r="CL40" s="108"/>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108"/>
      <c r="DI40" s="107"/>
      <c r="DJ40" s="117"/>
      <c r="DK40" s="117"/>
      <c r="DL40" s="107"/>
      <c r="DM40" s="117"/>
      <c r="DN40" s="108">
        <v>0</v>
      </c>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298">
        <f>EI40+EG40+EE40+EC40+EA40+DY40+DW40+DU40+DS40+DQ40+DO40+EK40</f>
        <v>0</v>
      </c>
      <c r="EN40" s="85">
        <f>+DO40+DQ40+DS40+DU40</f>
        <v>0</v>
      </c>
      <c r="EO40" s="85">
        <f>DP40+DR40+DT40+DV40</f>
        <v>0</v>
      </c>
      <c r="EP40" s="85">
        <f>DQ40+DS40+DU40+DW40+DY40+EA40+EC40+EE40+EG40+EI40+EK40</f>
        <v>0</v>
      </c>
      <c r="EQ40" s="87">
        <f>DP40+DR40+DT40+DV40</f>
        <v>0</v>
      </c>
      <c r="ER40" s="123" t="e">
        <f t="shared" si="4"/>
        <v>#DIV/0!</v>
      </c>
      <c r="ES40" s="277" t="e">
        <f t="shared" si="6"/>
        <v>#DIV/0!</v>
      </c>
      <c r="ET40" s="278" t="e">
        <f t="shared" si="7"/>
        <v>#DIV/0!</v>
      </c>
      <c r="EU40" s="279">
        <f t="shared" si="5"/>
        <v>9.0170697930625749</v>
      </c>
      <c r="EV40" s="278" t="e">
        <f t="shared" si="8"/>
        <v>#DIV/0!</v>
      </c>
      <c r="EW40" s="477"/>
      <c r="EX40" s="475"/>
      <c r="EY40" s="475" t="s">
        <v>568</v>
      </c>
      <c r="EZ40" s="476"/>
      <c r="FA40" s="480"/>
      <c r="FB40" s="479"/>
    </row>
    <row r="41" spans="1:158" s="3" customFormat="1" ht="42.75" customHeight="1" x14ac:dyDescent="0.25">
      <c r="A41" s="515"/>
      <c r="B41" s="515"/>
      <c r="C41" s="515"/>
      <c r="D41" s="515"/>
      <c r="E41" s="515"/>
      <c r="F41" s="311" t="s">
        <v>41</v>
      </c>
      <c r="G41" s="316">
        <v>0</v>
      </c>
      <c r="H41" s="106">
        <v>0</v>
      </c>
      <c r="I41" s="271">
        <v>0</v>
      </c>
      <c r="J41" s="271">
        <v>0</v>
      </c>
      <c r="K41" s="271">
        <v>0</v>
      </c>
      <c r="L41" s="271">
        <v>0</v>
      </c>
      <c r="M41" s="271">
        <v>0</v>
      </c>
      <c r="N41" s="274">
        <v>0</v>
      </c>
      <c r="O41" s="271">
        <v>0</v>
      </c>
      <c r="P41" s="274">
        <v>0</v>
      </c>
      <c r="Q41" s="271">
        <v>0</v>
      </c>
      <c r="R41" s="290">
        <v>0</v>
      </c>
      <c r="S41" s="271">
        <v>0</v>
      </c>
      <c r="T41" s="274">
        <v>0</v>
      </c>
      <c r="U41" s="271">
        <v>0</v>
      </c>
      <c r="V41" s="271">
        <v>0</v>
      </c>
      <c r="W41" s="99">
        <v>0</v>
      </c>
      <c r="X41" s="99">
        <v>0</v>
      </c>
      <c r="Y41" s="99">
        <v>0</v>
      </c>
      <c r="Z41" s="99">
        <v>0</v>
      </c>
      <c r="AA41" s="99">
        <v>0</v>
      </c>
      <c r="AB41" s="99">
        <v>0</v>
      </c>
      <c r="AC41" s="99">
        <v>0</v>
      </c>
      <c r="AD41" s="99">
        <v>0</v>
      </c>
      <c r="AE41" s="99">
        <v>0</v>
      </c>
      <c r="AF41" s="99">
        <v>0</v>
      </c>
      <c r="AG41" s="99">
        <v>0</v>
      </c>
      <c r="AH41" s="99">
        <v>0</v>
      </c>
      <c r="AI41" s="99">
        <v>0</v>
      </c>
      <c r="AJ41" s="99">
        <v>0</v>
      </c>
      <c r="AK41" s="99">
        <v>0</v>
      </c>
      <c r="AL41" s="99">
        <v>0</v>
      </c>
      <c r="AM41" s="99">
        <v>0</v>
      </c>
      <c r="AN41" s="99">
        <v>0</v>
      </c>
      <c r="AO41" s="99">
        <v>0</v>
      </c>
      <c r="AP41" s="274">
        <v>0</v>
      </c>
      <c r="AQ41" s="99">
        <v>0</v>
      </c>
      <c r="AR41" s="274">
        <v>0</v>
      </c>
      <c r="AS41" s="99">
        <v>0</v>
      </c>
      <c r="AT41" s="99">
        <v>0</v>
      </c>
      <c r="AU41" s="99">
        <v>0</v>
      </c>
      <c r="AV41" s="274">
        <v>0</v>
      </c>
      <c r="AW41" s="99">
        <v>0</v>
      </c>
      <c r="AX41" s="99">
        <v>0</v>
      </c>
      <c r="AY41" s="99">
        <v>0</v>
      </c>
      <c r="AZ41" s="106">
        <v>0</v>
      </c>
      <c r="BA41" s="99">
        <f>+AB41</f>
        <v>0</v>
      </c>
      <c r="BB41" s="99">
        <f>+AY41</f>
        <v>0</v>
      </c>
      <c r="BC41" s="99">
        <f>+AZ41</f>
        <v>0</v>
      </c>
      <c r="BD41" s="99">
        <f>+G41</f>
        <v>0</v>
      </c>
      <c r="BE41" s="99">
        <f>+AZ41</f>
        <v>0</v>
      </c>
      <c r="BF41" s="223">
        <v>0</v>
      </c>
      <c r="BG41" s="99">
        <v>0</v>
      </c>
      <c r="BH41" s="99">
        <v>0</v>
      </c>
      <c r="BI41" s="99">
        <v>0</v>
      </c>
      <c r="BJ41" s="99">
        <v>0</v>
      </c>
      <c r="BK41" s="99">
        <v>0</v>
      </c>
      <c r="BL41" s="99">
        <v>0</v>
      </c>
      <c r="BM41" s="99">
        <v>0</v>
      </c>
      <c r="BN41" s="99">
        <v>0</v>
      </c>
      <c r="BO41" s="99">
        <v>0</v>
      </c>
      <c r="BP41" s="99">
        <v>0</v>
      </c>
      <c r="BQ41" s="99">
        <v>0</v>
      </c>
      <c r="BR41" s="99">
        <v>0</v>
      </c>
      <c r="BS41" s="99">
        <v>0</v>
      </c>
      <c r="BT41" s="99">
        <v>0</v>
      </c>
      <c r="BU41" s="99">
        <v>0</v>
      </c>
      <c r="BV41" s="99">
        <v>0</v>
      </c>
      <c r="BW41" s="99">
        <v>0</v>
      </c>
      <c r="BX41" s="99">
        <v>0</v>
      </c>
      <c r="BY41" s="99">
        <v>0</v>
      </c>
      <c r="BZ41" s="99">
        <v>0</v>
      </c>
      <c r="CA41" s="99">
        <v>0</v>
      </c>
      <c r="CB41" s="99">
        <v>0</v>
      </c>
      <c r="CC41" s="99">
        <v>0</v>
      </c>
      <c r="CD41" s="99">
        <v>0</v>
      </c>
      <c r="CE41" s="99">
        <f>BF41</f>
        <v>0</v>
      </c>
      <c r="CF41" s="99">
        <f>+CC41</f>
        <v>0</v>
      </c>
      <c r="CG41" s="99">
        <f>CD41</f>
        <v>0</v>
      </c>
      <c r="CH41" s="99">
        <f>+CC41</f>
        <v>0</v>
      </c>
      <c r="CI41" s="99">
        <f>+CD41</f>
        <v>0</v>
      </c>
      <c r="CJ41" s="99">
        <v>0</v>
      </c>
      <c r="CK41" s="271">
        <v>0</v>
      </c>
      <c r="CL41" s="271">
        <v>0</v>
      </c>
      <c r="CM41" s="271">
        <v>0</v>
      </c>
      <c r="CN41" s="271">
        <v>0</v>
      </c>
      <c r="CO41" s="271">
        <v>0</v>
      </c>
      <c r="CP41" s="271">
        <v>0</v>
      </c>
      <c r="CQ41" s="271">
        <v>0</v>
      </c>
      <c r="CR41" s="271">
        <v>0</v>
      </c>
      <c r="CS41" s="271">
        <v>0</v>
      </c>
      <c r="CT41" s="271">
        <v>0</v>
      </c>
      <c r="CU41" s="271">
        <v>0</v>
      </c>
      <c r="CV41" s="271">
        <v>0</v>
      </c>
      <c r="CW41" s="271">
        <v>0</v>
      </c>
      <c r="CX41" s="271">
        <v>0</v>
      </c>
      <c r="CY41" s="271">
        <v>0</v>
      </c>
      <c r="CZ41" s="271">
        <v>0</v>
      </c>
      <c r="DA41" s="271">
        <v>0</v>
      </c>
      <c r="DB41" s="271">
        <v>0</v>
      </c>
      <c r="DC41" s="271">
        <v>0</v>
      </c>
      <c r="DD41" s="271">
        <v>0</v>
      </c>
      <c r="DE41" s="271">
        <v>0</v>
      </c>
      <c r="DF41" s="271">
        <v>0</v>
      </c>
      <c r="DG41" s="271">
        <v>0</v>
      </c>
      <c r="DH41" s="271">
        <v>0</v>
      </c>
      <c r="DI41" s="271">
        <v>0</v>
      </c>
      <c r="DJ41" s="271">
        <v>0</v>
      </c>
      <c r="DK41" s="271">
        <v>0</v>
      </c>
      <c r="DL41" s="96">
        <v>0</v>
      </c>
      <c r="DM41" s="271">
        <v>0</v>
      </c>
      <c r="DN41" s="99">
        <v>0</v>
      </c>
      <c r="DO41" s="302"/>
      <c r="DP41" s="302"/>
      <c r="DQ41" s="302"/>
      <c r="DR41" s="302"/>
      <c r="DS41" s="302"/>
      <c r="DT41" s="302"/>
      <c r="DU41" s="302"/>
      <c r="DV41" s="302"/>
      <c r="DW41" s="302"/>
      <c r="DX41" s="302"/>
      <c r="DY41" s="302"/>
      <c r="DZ41" s="302"/>
      <c r="EA41" s="302"/>
      <c r="EB41" s="302"/>
      <c r="EC41" s="302"/>
      <c r="ED41" s="302"/>
      <c r="EE41" s="302"/>
      <c r="EF41" s="302"/>
      <c r="EG41" s="303"/>
      <c r="EH41" s="302"/>
      <c r="EI41" s="303"/>
      <c r="EJ41" s="302"/>
      <c r="EK41" s="303"/>
      <c r="EL41" s="302"/>
      <c r="EM41" s="304"/>
      <c r="EN41" s="86">
        <f>DO41+DQ41+DS41+DU41</f>
        <v>0</v>
      </c>
      <c r="EO41" s="86">
        <f>DP41+DR41+DT41+DV41</f>
        <v>0</v>
      </c>
      <c r="EP41" s="86">
        <f>DQ41+DS41+DU41+DW41+DY41+EA41+EC41+EE41+EG41+EI41+EK41</f>
        <v>0</v>
      </c>
      <c r="EQ41" s="305">
        <v>0</v>
      </c>
      <c r="ER41" s="123" t="e">
        <f t="shared" si="4"/>
        <v>#DIV/0!</v>
      </c>
      <c r="ES41" s="277" t="e">
        <f t="shared" si="6"/>
        <v>#DIV/0!</v>
      </c>
      <c r="ET41" s="278" t="e">
        <f t="shared" si="7"/>
        <v>#DIV/0!</v>
      </c>
      <c r="EU41" s="279" t="e">
        <f t="shared" si="5"/>
        <v>#DIV/0!</v>
      </c>
      <c r="EV41" s="278" t="e">
        <f t="shared" si="8"/>
        <v>#DIV/0!</v>
      </c>
      <c r="EW41" s="477"/>
      <c r="EX41" s="475"/>
      <c r="EY41" s="475" t="s">
        <v>568</v>
      </c>
      <c r="EZ41" s="476"/>
      <c r="FA41" s="480"/>
      <c r="FB41" s="479"/>
    </row>
    <row r="42" spans="1:158" s="51" customFormat="1" ht="42.75" customHeight="1" x14ac:dyDescent="0.25">
      <c r="A42" s="515"/>
      <c r="B42" s="515"/>
      <c r="C42" s="515"/>
      <c r="D42" s="515"/>
      <c r="E42" s="515"/>
      <c r="F42" s="312" t="s">
        <v>4</v>
      </c>
      <c r="G42" s="317">
        <f>AA42+BE42+CH42+CJ42+DN42</f>
        <v>252494775.83041936</v>
      </c>
      <c r="H42" s="107">
        <v>104209010</v>
      </c>
      <c r="I42" s="108">
        <v>0</v>
      </c>
      <c r="J42" s="108">
        <v>0</v>
      </c>
      <c r="K42" s="108">
        <v>0</v>
      </c>
      <c r="L42" s="108">
        <v>0</v>
      </c>
      <c r="M42" s="108">
        <v>0</v>
      </c>
      <c r="N42" s="108">
        <v>0</v>
      </c>
      <c r="O42" s="108">
        <v>0</v>
      </c>
      <c r="P42" s="108">
        <v>0</v>
      </c>
      <c r="Q42" s="108">
        <v>0</v>
      </c>
      <c r="R42" s="108">
        <v>0</v>
      </c>
      <c r="S42" s="108">
        <v>0</v>
      </c>
      <c r="T42" s="107">
        <v>0</v>
      </c>
      <c r="U42" s="119">
        <v>0</v>
      </c>
      <c r="V42" s="119">
        <v>0</v>
      </c>
      <c r="W42" s="107">
        <v>104209010</v>
      </c>
      <c r="X42" s="107">
        <v>104209010</v>
      </c>
      <c r="Y42" s="107">
        <v>0</v>
      </c>
      <c r="Z42" s="107">
        <v>104209010</v>
      </c>
      <c r="AA42" s="108">
        <v>0</v>
      </c>
      <c r="AB42" s="107">
        <v>88778010</v>
      </c>
      <c r="AC42" s="108">
        <v>15431000</v>
      </c>
      <c r="AD42" s="108">
        <v>15431000</v>
      </c>
      <c r="AE42" s="108">
        <v>26156334</v>
      </c>
      <c r="AF42" s="108">
        <f>41587334-AD42</f>
        <v>26156334</v>
      </c>
      <c r="AG42" s="108">
        <v>10660833</v>
      </c>
      <c r="AH42" s="108">
        <f>52248167-AF42-AD42</f>
        <v>10660833</v>
      </c>
      <c r="AI42" s="108">
        <v>15349934</v>
      </c>
      <c r="AJ42" s="108">
        <f>67598101-AH42-AF42-AD42</f>
        <v>15349934</v>
      </c>
      <c r="AK42" s="108">
        <v>1480833</v>
      </c>
      <c r="AL42" s="108">
        <f>69078934-AJ42-AH42-AF42-AD42</f>
        <v>1480833</v>
      </c>
      <c r="AM42" s="108">
        <v>2673933</v>
      </c>
      <c r="AN42" s="108">
        <v>4986645</v>
      </c>
      <c r="AO42" s="108">
        <v>0</v>
      </c>
      <c r="AP42" s="108">
        <v>0</v>
      </c>
      <c r="AQ42" s="108">
        <v>11094200</v>
      </c>
      <c r="AR42" s="108">
        <v>2650000</v>
      </c>
      <c r="AS42" s="108">
        <f>1195077</f>
        <v>1195077</v>
      </c>
      <c r="AT42" s="108">
        <v>0</v>
      </c>
      <c r="AU42" s="108">
        <v>-8431</v>
      </c>
      <c r="AV42" s="108">
        <v>0</v>
      </c>
      <c r="AW42" s="108">
        <v>0</v>
      </c>
      <c r="AX42" s="108">
        <v>2673933</v>
      </c>
      <c r="AY42" s="108">
        <v>0</v>
      </c>
      <c r="AZ42" s="108">
        <v>4255613.8304193616</v>
      </c>
      <c r="BA42" s="117">
        <f>AY42+AW42+AU42+AS42+AQ42+AO42+AM42+AK42+AI42+AG42+AE42+AC42</f>
        <v>84033713</v>
      </c>
      <c r="BB42" s="117">
        <f>AC42+AE42+AG42+AI42+AK42+AM42+AO42+AQ42+AS42+AU42+AW42+AY42</f>
        <v>84033713</v>
      </c>
      <c r="BC42" s="117">
        <f>AD42+AF42+AH42+AJ42+AL42+AN42+AP42+AR42+AT42+AV42+AX42+AZ42</f>
        <v>83645125.830419362</v>
      </c>
      <c r="BD42" s="117">
        <f>AE42+AG42+AI42+AK42+AM42+AO42+AQ42+AS42+AU42+AW42+AY42+AC42</f>
        <v>84033713</v>
      </c>
      <c r="BE42" s="117">
        <f>AD42+AF42+AH42+AJ42+AL42+AN42+AP42+AR42+AT42+AV42+AX42+AZ42</f>
        <v>83645125.830419362</v>
      </c>
      <c r="BF42" s="108">
        <v>169302984</v>
      </c>
      <c r="BG42" s="108">
        <v>6200833</v>
      </c>
      <c r="BH42" s="108"/>
      <c r="BI42" s="108">
        <f>8365466- 453333</f>
        <v>7912133</v>
      </c>
      <c r="BJ42" s="108">
        <v>14024632</v>
      </c>
      <c r="BK42" s="108">
        <v>154736685</v>
      </c>
      <c r="BL42" s="108">
        <v>0</v>
      </c>
      <c r="BM42" s="108"/>
      <c r="BN42" s="108">
        <v>0</v>
      </c>
      <c r="BO42" s="108"/>
      <c r="BP42" s="108">
        <v>0</v>
      </c>
      <c r="BQ42" s="108"/>
      <c r="BR42" s="108">
        <v>0</v>
      </c>
      <c r="BS42" s="108">
        <v>453333</v>
      </c>
      <c r="BT42" s="108">
        <v>154825019</v>
      </c>
      <c r="BU42" s="108">
        <v>0</v>
      </c>
      <c r="BV42" s="108">
        <v>0</v>
      </c>
      <c r="BW42" s="108">
        <v>-453334</v>
      </c>
      <c r="BX42" s="108">
        <v>-1</v>
      </c>
      <c r="BY42" s="108">
        <v>-82196508</v>
      </c>
      <c r="BZ42" s="108">
        <v>-96292309</v>
      </c>
      <c r="CA42" s="108">
        <v>82649842</v>
      </c>
      <c r="CB42" s="108">
        <v>96292309</v>
      </c>
      <c r="CC42" s="108">
        <v>-453334</v>
      </c>
      <c r="CD42" s="108">
        <v>0</v>
      </c>
      <c r="CE42" s="108">
        <f>CC42+CA42+BY42+BW42+BU42+BS42+BQ42+BO42+BM42+BK42+BI42+BG42</f>
        <v>168849650</v>
      </c>
      <c r="CF42" s="108">
        <f>+BG42+BI42+BK42+BM42+BO42+BQ42+BS42+BU42+BW42+BY42+CA42+CC42</f>
        <v>168849650</v>
      </c>
      <c r="CG42" s="108">
        <f>+BH42+BJ42+BL42+BN42+BP42+BR42+BT42+BV42+BX42+BZ42+CB42+CD42</f>
        <v>168849650</v>
      </c>
      <c r="CH42" s="107">
        <f>CC42+CA42+BY42+BW42+BU42+BS42+BQ42+BO42+BM42+BK42+BI42+BG42</f>
        <v>168849650</v>
      </c>
      <c r="CI42" s="107">
        <f>+BH42+BJ42+BL42+BN42+BP42+BR42+BT42+BV42+BX42+BZ42+CB42+CD42</f>
        <v>168849650</v>
      </c>
      <c r="CJ42" s="108">
        <v>0</v>
      </c>
      <c r="CK42" s="108">
        <v>0</v>
      </c>
      <c r="CL42" s="108">
        <v>0</v>
      </c>
      <c r="CM42" s="108">
        <v>0</v>
      </c>
      <c r="CN42" s="108">
        <v>0</v>
      </c>
      <c r="CO42" s="108">
        <v>0</v>
      </c>
      <c r="CP42" s="108">
        <v>0</v>
      </c>
      <c r="CQ42" s="108">
        <v>0</v>
      </c>
      <c r="CR42" s="108">
        <v>0</v>
      </c>
      <c r="CS42" s="108">
        <v>0</v>
      </c>
      <c r="CT42" s="108">
        <v>0</v>
      </c>
      <c r="CU42" s="108">
        <v>0</v>
      </c>
      <c r="CV42" s="108">
        <v>0</v>
      </c>
      <c r="CW42" s="108">
        <v>0</v>
      </c>
      <c r="CX42" s="108">
        <v>0</v>
      </c>
      <c r="CY42" s="108">
        <v>0</v>
      </c>
      <c r="CZ42" s="108">
        <v>0</v>
      </c>
      <c r="DA42" s="108">
        <v>0</v>
      </c>
      <c r="DB42" s="108">
        <v>0</v>
      </c>
      <c r="DC42" s="108">
        <v>0</v>
      </c>
      <c r="DD42" s="108">
        <v>0</v>
      </c>
      <c r="DE42" s="108">
        <v>0</v>
      </c>
      <c r="DF42" s="108">
        <v>0</v>
      </c>
      <c r="DG42" s="108">
        <v>0</v>
      </c>
      <c r="DH42" s="108">
        <v>0</v>
      </c>
      <c r="DI42" s="107">
        <v>0</v>
      </c>
      <c r="DJ42" s="117">
        <v>0</v>
      </c>
      <c r="DK42" s="117">
        <v>0</v>
      </c>
      <c r="DL42" s="107">
        <v>0</v>
      </c>
      <c r="DM42" s="117">
        <v>0</v>
      </c>
      <c r="DN42" s="108">
        <v>0</v>
      </c>
      <c r="DO42" s="306"/>
      <c r="DP42" s="306"/>
      <c r="DQ42" s="306"/>
      <c r="DR42" s="306"/>
      <c r="DS42" s="306"/>
      <c r="DT42" s="306"/>
      <c r="DU42" s="306"/>
      <c r="DV42" s="306"/>
      <c r="DW42" s="306"/>
      <c r="DX42" s="306"/>
      <c r="DY42" s="306"/>
      <c r="DZ42" s="306"/>
      <c r="EA42" s="306"/>
      <c r="EB42" s="306"/>
      <c r="EC42" s="306"/>
      <c r="ED42" s="306"/>
      <c r="EE42" s="306"/>
      <c r="EF42" s="306"/>
      <c r="EG42" s="306"/>
      <c r="EH42" s="306"/>
      <c r="EI42" s="306"/>
      <c r="EJ42" s="306"/>
      <c r="EK42" s="306"/>
      <c r="EL42" s="306"/>
      <c r="EM42" s="297">
        <f>EI42+EG42+EE42+EC42+EA42+DY42+DW42+DU42+DS42+DQ42+DO42+EK42</f>
        <v>0</v>
      </c>
      <c r="EN42" s="85">
        <f>DO42+DQ42+DS42+DU42</f>
        <v>0</v>
      </c>
      <c r="EO42" s="307">
        <f>DP42+DR42+DT42+DV42</f>
        <v>0</v>
      </c>
      <c r="EP42" s="85">
        <f>DQ42+DS42+DU42+DW42+DY42+EA42+EC42+EE42+EG42+EI42+EK42+DO42</f>
        <v>0</v>
      </c>
      <c r="EQ42" s="87">
        <f>DP42+DR42+DT42+DV42</f>
        <v>0</v>
      </c>
      <c r="ER42" s="123">
        <f t="shared" si="4"/>
        <v>0</v>
      </c>
      <c r="ES42" s="277">
        <f t="shared" si="6"/>
        <v>1</v>
      </c>
      <c r="ET42" s="278">
        <f t="shared" si="7"/>
        <v>1</v>
      </c>
      <c r="EU42" s="279">
        <f t="shared" si="5"/>
        <v>0.70708532279522918</v>
      </c>
      <c r="EV42" s="278">
        <f t="shared" si="8"/>
        <v>1</v>
      </c>
      <c r="EW42" s="477"/>
      <c r="EX42" s="475"/>
      <c r="EY42" s="475" t="s">
        <v>568</v>
      </c>
      <c r="EZ42" s="476"/>
      <c r="FA42" s="480"/>
      <c r="FB42" s="479"/>
    </row>
    <row r="43" spans="1:158" s="3" customFormat="1" ht="42.75" customHeight="1" thickBot="1" x14ac:dyDescent="0.3">
      <c r="A43" s="515"/>
      <c r="B43" s="515"/>
      <c r="C43" s="515"/>
      <c r="D43" s="515"/>
      <c r="E43" s="515"/>
      <c r="F43" s="311" t="s">
        <v>42</v>
      </c>
      <c r="G43" s="332">
        <f>+G38+G41</f>
        <v>1</v>
      </c>
      <c r="H43" s="337">
        <f>+H38+H41</f>
        <v>1</v>
      </c>
      <c r="I43" s="334"/>
      <c r="J43" s="334"/>
      <c r="K43" s="334"/>
      <c r="L43" s="334"/>
      <c r="M43" s="334"/>
      <c r="N43" s="335"/>
      <c r="O43" s="334"/>
      <c r="P43" s="335"/>
      <c r="Q43" s="334"/>
      <c r="R43" s="336"/>
      <c r="S43" s="334"/>
      <c r="T43" s="335"/>
      <c r="U43" s="334"/>
      <c r="V43" s="334"/>
      <c r="W43" s="337" t="e">
        <f t="shared" ref="W43:AB43" si="53">+W38+W41</f>
        <v>#VALUE!</v>
      </c>
      <c r="X43" s="337" t="e">
        <f t="shared" si="53"/>
        <v>#VALUE!</v>
      </c>
      <c r="Y43" s="337" t="e">
        <f t="shared" si="53"/>
        <v>#VALUE!</v>
      </c>
      <c r="Z43" s="337">
        <f t="shared" si="53"/>
        <v>1</v>
      </c>
      <c r="AA43" s="337">
        <f t="shared" si="53"/>
        <v>1</v>
      </c>
      <c r="AB43" s="337">
        <f t="shared" si="53"/>
        <v>1</v>
      </c>
      <c r="AC43" s="337">
        <f t="shared" ref="AC43:AK43" si="54">+AC38+AC41</f>
        <v>1</v>
      </c>
      <c r="AD43" s="337">
        <f t="shared" si="54"/>
        <v>1</v>
      </c>
      <c r="AE43" s="337">
        <f t="shared" si="54"/>
        <v>1</v>
      </c>
      <c r="AF43" s="337">
        <f t="shared" si="54"/>
        <v>1</v>
      </c>
      <c r="AG43" s="337">
        <f t="shared" si="54"/>
        <v>1</v>
      </c>
      <c r="AH43" s="337">
        <f t="shared" si="54"/>
        <v>1</v>
      </c>
      <c r="AI43" s="337">
        <f t="shared" si="54"/>
        <v>1</v>
      </c>
      <c r="AJ43" s="337">
        <f t="shared" si="54"/>
        <v>1</v>
      </c>
      <c r="AK43" s="337">
        <f t="shared" si="54"/>
        <v>1</v>
      </c>
      <c r="AL43" s="337">
        <f t="shared" ref="AL43:AZ43" si="55">+AL38+AL41</f>
        <v>1</v>
      </c>
      <c r="AM43" s="337">
        <f t="shared" si="55"/>
        <v>1</v>
      </c>
      <c r="AN43" s="337">
        <f t="shared" si="55"/>
        <v>1</v>
      </c>
      <c r="AO43" s="337">
        <f t="shared" si="55"/>
        <v>1</v>
      </c>
      <c r="AP43" s="337">
        <f t="shared" si="55"/>
        <v>1</v>
      </c>
      <c r="AQ43" s="337">
        <f t="shared" si="55"/>
        <v>1</v>
      </c>
      <c r="AR43" s="337">
        <f t="shared" si="55"/>
        <v>1</v>
      </c>
      <c r="AS43" s="337">
        <f t="shared" si="55"/>
        <v>1</v>
      </c>
      <c r="AT43" s="337">
        <f t="shared" si="55"/>
        <v>1</v>
      </c>
      <c r="AU43" s="337">
        <f t="shared" si="55"/>
        <v>1</v>
      </c>
      <c r="AV43" s="337">
        <f t="shared" si="55"/>
        <v>1</v>
      </c>
      <c r="AW43" s="337">
        <f t="shared" si="55"/>
        <v>1</v>
      </c>
      <c r="AX43" s="337">
        <f t="shared" si="55"/>
        <v>1</v>
      </c>
      <c r="AY43" s="337">
        <f t="shared" si="55"/>
        <v>1</v>
      </c>
      <c r="AZ43" s="337">
        <f t="shared" si="55"/>
        <v>1</v>
      </c>
      <c r="BA43" s="337">
        <f t="shared" ref="BA43:DL43" si="56">+BA38+BA41</f>
        <v>1</v>
      </c>
      <c r="BB43" s="337">
        <f t="shared" si="56"/>
        <v>1</v>
      </c>
      <c r="BC43" s="337">
        <f t="shared" si="56"/>
        <v>1</v>
      </c>
      <c r="BD43" s="337">
        <f t="shared" si="56"/>
        <v>1</v>
      </c>
      <c r="BE43" s="337">
        <f t="shared" si="56"/>
        <v>1</v>
      </c>
      <c r="BF43" s="337">
        <f t="shared" si="56"/>
        <v>1</v>
      </c>
      <c r="BG43" s="337">
        <f t="shared" si="56"/>
        <v>1</v>
      </c>
      <c r="BH43" s="337">
        <f t="shared" si="56"/>
        <v>1</v>
      </c>
      <c r="BI43" s="337">
        <f t="shared" ref="BI43:BM44" si="57">+BI38+BI41</f>
        <v>1</v>
      </c>
      <c r="BJ43" s="337">
        <f>+BJ38+BJ41</f>
        <v>1</v>
      </c>
      <c r="BK43" s="337">
        <f t="shared" si="57"/>
        <v>1</v>
      </c>
      <c r="BL43" s="337">
        <f t="shared" si="57"/>
        <v>1</v>
      </c>
      <c r="BM43" s="337">
        <f t="shared" si="57"/>
        <v>1</v>
      </c>
      <c r="BN43" s="337">
        <f t="shared" si="56"/>
        <v>1</v>
      </c>
      <c r="BO43" s="337">
        <f t="shared" si="56"/>
        <v>1</v>
      </c>
      <c r="BP43" s="337">
        <f t="shared" si="56"/>
        <v>1</v>
      </c>
      <c r="BQ43" s="337">
        <f t="shared" si="56"/>
        <v>1</v>
      </c>
      <c r="BR43" s="337">
        <f t="shared" si="56"/>
        <v>1</v>
      </c>
      <c r="BS43" s="337">
        <f t="shared" si="56"/>
        <v>1</v>
      </c>
      <c r="BT43" s="337">
        <f t="shared" si="56"/>
        <v>1</v>
      </c>
      <c r="BU43" s="337">
        <f t="shared" si="56"/>
        <v>1</v>
      </c>
      <c r="BV43" s="337">
        <f t="shared" si="56"/>
        <v>1</v>
      </c>
      <c r="BW43" s="337">
        <f t="shared" si="56"/>
        <v>1</v>
      </c>
      <c r="BX43" s="337">
        <f t="shared" si="56"/>
        <v>1</v>
      </c>
      <c r="BY43" s="337">
        <f t="shared" si="56"/>
        <v>1</v>
      </c>
      <c r="BZ43" s="337">
        <f t="shared" si="56"/>
        <v>1</v>
      </c>
      <c r="CA43" s="337">
        <f t="shared" si="56"/>
        <v>1</v>
      </c>
      <c r="CB43" s="337">
        <f t="shared" si="56"/>
        <v>1</v>
      </c>
      <c r="CC43" s="337">
        <f t="shared" si="56"/>
        <v>1</v>
      </c>
      <c r="CD43" s="337">
        <f t="shared" si="56"/>
        <v>1</v>
      </c>
      <c r="CE43" s="337">
        <f>+CE38+CE41</f>
        <v>1</v>
      </c>
      <c r="CF43" s="337">
        <f>+CF38+CF41</f>
        <v>1</v>
      </c>
      <c r="CG43" s="337">
        <f>+CG38+CG41</f>
        <v>1</v>
      </c>
      <c r="CH43" s="337">
        <f>+CH38+CH41</f>
        <v>1</v>
      </c>
      <c r="CI43" s="337">
        <f>+CI38+CI41</f>
        <v>1</v>
      </c>
      <c r="CJ43" s="337">
        <f t="shared" si="56"/>
        <v>1</v>
      </c>
      <c r="CK43" s="337">
        <f t="shared" si="56"/>
        <v>0</v>
      </c>
      <c r="CL43" s="337">
        <f t="shared" si="56"/>
        <v>0</v>
      </c>
      <c r="CM43" s="337">
        <f t="shared" si="56"/>
        <v>0</v>
      </c>
      <c r="CN43" s="337">
        <f t="shared" si="56"/>
        <v>0</v>
      </c>
      <c r="CO43" s="337">
        <f t="shared" si="56"/>
        <v>0</v>
      </c>
      <c r="CP43" s="337">
        <f t="shared" si="56"/>
        <v>0</v>
      </c>
      <c r="CQ43" s="337">
        <f t="shared" si="56"/>
        <v>0</v>
      </c>
      <c r="CR43" s="337">
        <f t="shared" si="56"/>
        <v>0</v>
      </c>
      <c r="CS43" s="337">
        <f t="shared" si="56"/>
        <v>0</v>
      </c>
      <c r="CT43" s="337">
        <f t="shared" si="56"/>
        <v>0</v>
      </c>
      <c r="CU43" s="337">
        <f t="shared" si="56"/>
        <v>0</v>
      </c>
      <c r="CV43" s="337">
        <f t="shared" si="56"/>
        <v>0</v>
      </c>
      <c r="CW43" s="337">
        <f t="shared" si="56"/>
        <v>0</v>
      </c>
      <c r="CX43" s="337">
        <f t="shared" si="56"/>
        <v>0</v>
      </c>
      <c r="CY43" s="337">
        <f t="shared" si="56"/>
        <v>0</v>
      </c>
      <c r="CZ43" s="337">
        <f t="shared" si="56"/>
        <v>0</v>
      </c>
      <c r="DA43" s="337">
        <f t="shared" si="56"/>
        <v>0</v>
      </c>
      <c r="DB43" s="337">
        <f t="shared" si="56"/>
        <v>0</v>
      </c>
      <c r="DC43" s="337">
        <f t="shared" si="56"/>
        <v>0</v>
      </c>
      <c r="DD43" s="337">
        <f t="shared" si="56"/>
        <v>0</v>
      </c>
      <c r="DE43" s="337">
        <f t="shared" si="56"/>
        <v>0</v>
      </c>
      <c r="DF43" s="337">
        <f t="shared" si="56"/>
        <v>0</v>
      </c>
      <c r="DG43" s="337">
        <f t="shared" si="56"/>
        <v>0</v>
      </c>
      <c r="DH43" s="337">
        <f t="shared" si="56"/>
        <v>0</v>
      </c>
      <c r="DI43" s="337">
        <f t="shared" si="56"/>
        <v>0</v>
      </c>
      <c r="DJ43" s="337">
        <f t="shared" si="56"/>
        <v>0</v>
      </c>
      <c r="DK43" s="337">
        <f t="shared" si="56"/>
        <v>0</v>
      </c>
      <c r="DL43" s="337">
        <f t="shared" si="56"/>
        <v>0</v>
      </c>
      <c r="DM43" s="337">
        <f>+DM38+DM41</f>
        <v>0</v>
      </c>
      <c r="DN43" s="337">
        <f>+DN38+DN41</f>
        <v>1</v>
      </c>
      <c r="DO43" s="395"/>
      <c r="DP43" s="395"/>
      <c r="DQ43" s="395"/>
      <c r="DR43" s="395"/>
      <c r="DS43" s="395"/>
      <c r="DT43" s="395"/>
      <c r="DU43" s="395"/>
      <c r="DV43" s="395"/>
      <c r="DW43" s="395"/>
      <c r="DX43" s="395"/>
      <c r="DY43" s="395"/>
      <c r="DZ43" s="395"/>
      <c r="EA43" s="395"/>
      <c r="EB43" s="395"/>
      <c r="EC43" s="395"/>
      <c r="ED43" s="395"/>
      <c r="EE43" s="395"/>
      <c r="EF43" s="395"/>
      <c r="EG43" s="395"/>
      <c r="EH43" s="395"/>
      <c r="EI43" s="395"/>
      <c r="EJ43" s="395"/>
      <c r="EK43" s="395"/>
      <c r="EL43" s="395"/>
      <c r="EM43" s="396">
        <f>EM38+EM41</f>
        <v>0</v>
      </c>
      <c r="EN43" s="397">
        <f>EN38+EN41</f>
        <v>0</v>
      </c>
      <c r="EO43" s="398">
        <f>EO38+EO41</f>
        <v>0</v>
      </c>
      <c r="EP43" s="399">
        <f>EP38+EP41</f>
        <v>0</v>
      </c>
      <c r="EQ43" s="396">
        <f>EQ38+EQ41</f>
        <v>0</v>
      </c>
      <c r="ER43" s="343">
        <f t="shared" si="4"/>
        <v>1</v>
      </c>
      <c r="ES43" s="280">
        <f t="shared" si="6"/>
        <v>1</v>
      </c>
      <c r="ET43" s="281">
        <f t="shared" si="7"/>
        <v>1</v>
      </c>
      <c r="EU43" s="282">
        <f t="shared" si="5"/>
        <v>1</v>
      </c>
      <c r="EV43" s="281">
        <f>+(AA43+BE43+CI43)/500%</f>
        <v>0.6</v>
      </c>
      <c r="EW43" s="477"/>
      <c r="EX43" s="475"/>
      <c r="EY43" s="475" t="s">
        <v>568</v>
      </c>
      <c r="EZ43" s="476"/>
      <c r="FA43" s="480"/>
      <c r="FB43" s="479"/>
    </row>
    <row r="44" spans="1:158" s="51" customFormat="1" ht="42.75" customHeight="1" thickBot="1" x14ac:dyDescent="0.3">
      <c r="A44" s="515"/>
      <c r="B44" s="515"/>
      <c r="C44" s="515"/>
      <c r="D44" s="515"/>
      <c r="E44" s="515"/>
      <c r="F44" s="312" t="s">
        <v>44</v>
      </c>
      <c r="G44" s="287">
        <f>+G39+G42</f>
        <v>3645327219.8304195</v>
      </c>
      <c r="H44" s="358">
        <f>+H39+H42</f>
        <v>507619010</v>
      </c>
      <c r="I44" s="358"/>
      <c r="J44" s="358"/>
      <c r="K44" s="358"/>
      <c r="L44" s="358"/>
      <c r="M44" s="358"/>
      <c r="N44" s="358"/>
      <c r="O44" s="358"/>
      <c r="P44" s="358"/>
      <c r="Q44" s="358"/>
      <c r="R44" s="358"/>
      <c r="S44" s="358"/>
      <c r="T44" s="359"/>
      <c r="U44" s="358"/>
      <c r="V44" s="358"/>
      <c r="W44" s="358">
        <f t="shared" ref="W44:AB44" si="58">+W39+W42</f>
        <v>507619010</v>
      </c>
      <c r="X44" s="358">
        <f t="shared" si="58"/>
        <v>507619010</v>
      </c>
      <c r="Y44" s="358">
        <f t="shared" si="58"/>
        <v>232617000</v>
      </c>
      <c r="Z44" s="358">
        <f t="shared" si="58"/>
        <v>367619010</v>
      </c>
      <c r="AA44" s="358">
        <f t="shared" si="58"/>
        <v>232617000</v>
      </c>
      <c r="AB44" s="358">
        <f t="shared" si="58"/>
        <v>777848010</v>
      </c>
      <c r="AC44" s="358">
        <f t="shared" ref="AC44:AK44" si="59">+AC39+AC42</f>
        <v>15431000</v>
      </c>
      <c r="AD44" s="358">
        <f t="shared" si="59"/>
        <v>15431000</v>
      </c>
      <c r="AE44" s="358">
        <f t="shared" si="59"/>
        <v>60740334</v>
      </c>
      <c r="AF44" s="358">
        <f t="shared" si="59"/>
        <v>60740334</v>
      </c>
      <c r="AG44" s="358">
        <f t="shared" si="59"/>
        <v>319082833</v>
      </c>
      <c r="AH44" s="358">
        <f t="shared" si="59"/>
        <v>319082833</v>
      </c>
      <c r="AI44" s="358">
        <f t="shared" si="59"/>
        <v>17088568</v>
      </c>
      <c r="AJ44" s="358">
        <f t="shared" si="59"/>
        <v>17088568</v>
      </c>
      <c r="AK44" s="358">
        <f t="shared" si="59"/>
        <v>15722777</v>
      </c>
      <c r="AL44" s="358">
        <f t="shared" ref="AL44:AZ44" si="60">+AL39+AL42</f>
        <v>10722777</v>
      </c>
      <c r="AM44" s="358">
        <f t="shared" si="60"/>
        <v>2673933</v>
      </c>
      <c r="AN44" s="358">
        <f t="shared" si="60"/>
        <v>106766359</v>
      </c>
      <c r="AO44" s="358">
        <f t="shared" si="60"/>
        <v>0</v>
      </c>
      <c r="AP44" s="358">
        <f t="shared" si="60"/>
        <v>0</v>
      </c>
      <c r="AQ44" s="358">
        <f t="shared" si="60"/>
        <v>98678807.333333299</v>
      </c>
      <c r="AR44" s="358">
        <f t="shared" si="60"/>
        <v>39414000</v>
      </c>
      <c r="AS44" s="358">
        <f t="shared" si="60"/>
        <v>124099684.3333333</v>
      </c>
      <c r="AT44" s="358">
        <f t="shared" si="60"/>
        <v>0</v>
      </c>
      <c r="AU44" s="358">
        <f t="shared" si="60"/>
        <v>87576176.333333299</v>
      </c>
      <c r="AV44" s="358">
        <f t="shared" si="60"/>
        <v>11769667</v>
      </c>
      <c r="AW44" s="358">
        <f t="shared" si="60"/>
        <v>46164800</v>
      </c>
      <c r="AX44" s="358">
        <f t="shared" si="60"/>
        <v>21995433</v>
      </c>
      <c r="AY44" s="358">
        <f t="shared" si="60"/>
        <v>46164800</v>
      </c>
      <c r="AZ44" s="358">
        <f t="shared" si="60"/>
        <v>184481298.83041936</v>
      </c>
      <c r="BA44" s="358">
        <f t="shared" ref="BA44:DL44" si="61">+BA39+BA42</f>
        <v>833423713</v>
      </c>
      <c r="BB44" s="358">
        <f t="shared" si="61"/>
        <v>833423712.99999988</v>
      </c>
      <c r="BC44" s="358">
        <f t="shared" si="61"/>
        <v>787492269.8304193</v>
      </c>
      <c r="BD44" s="358">
        <f t="shared" si="61"/>
        <v>833423712.99999988</v>
      </c>
      <c r="BE44" s="358">
        <f t="shared" si="61"/>
        <v>787492269.8304193</v>
      </c>
      <c r="BF44" s="358">
        <f t="shared" si="61"/>
        <v>1012534984</v>
      </c>
      <c r="BG44" s="358">
        <f>+BG39+BG42</f>
        <v>468432833</v>
      </c>
      <c r="BH44" s="358">
        <f>+BH39+BH42</f>
        <v>455184000</v>
      </c>
      <c r="BI44" s="358">
        <f t="shared" si="57"/>
        <v>7912133</v>
      </c>
      <c r="BJ44" s="358">
        <f>+BJ39+BJ42</f>
        <v>14024632</v>
      </c>
      <c r="BK44" s="358">
        <f t="shared" si="57"/>
        <v>535736685</v>
      </c>
      <c r="BL44" s="358">
        <f t="shared" si="57"/>
        <v>0</v>
      </c>
      <c r="BM44" s="358">
        <f t="shared" si="57"/>
        <v>0</v>
      </c>
      <c r="BN44" s="358">
        <f t="shared" si="61"/>
        <v>0</v>
      </c>
      <c r="BO44" s="358">
        <f t="shared" si="61"/>
        <v>-7048000</v>
      </c>
      <c r="BP44" s="358">
        <f t="shared" si="61"/>
        <v>0</v>
      </c>
      <c r="BQ44" s="358">
        <f t="shared" si="61"/>
        <v>0</v>
      </c>
      <c r="BR44" s="358">
        <f t="shared" si="61"/>
        <v>0</v>
      </c>
      <c r="BS44" s="358">
        <f t="shared" si="61"/>
        <v>453333</v>
      </c>
      <c r="BT44" s="358">
        <f t="shared" si="61"/>
        <v>154825019</v>
      </c>
      <c r="BU44" s="358">
        <f t="shared" si="61"/>
        <v>60207700</v>
      </c>
      <c r="BV44" s="358">
        <f t="shared" si="61"/>
        <v>14028000</v>
      </c>
      <c r="BW44" s="358">
        <f t="shared" si="61"/>
        <v>56811164</v>
      </c>
      <c r="BX44" s="358">
        <f t="shared" si="61"/>
        <v>19349799</v>
      </c>
      <c r="BY44" s="358">
        <f t="shared" si="61"/>
        <v>52033594</v>
      </c>
      <c r="BZ44" s="358">
        <f t="shared" si="61"/>
        <v>-52172449</v>
      </c>
      <c r="CA44" s="358">
        <f t="shared" si="61"/>
        <v>82649842</v>
      </c>
      <c r="CB44" s="358">
        <f t="shared" si="61"/>
        <v>204260109</v>
      </c>
      <c r="CC44" s="358">
        <f t="shared" si="61"/>
        <v>-34453334</v>
      </c>
      <c r="CD44" s="358">
        <f t="shared" si="61"/>
        <v>383111048</v>
      </c>
      <c r="CE44" s="358">
        <f t="shared" si="61"/>
        <v>1222735950</v>
      </c>
      <c r="CF44" s="358">
        <f t="shared" si="61"/>
        <v>1222735950</v>
      </c>
      <c r="CG44" s="358">
        <f t="shared" si="61"/>
        <v>1192610158</v>
      </c>
      <c r="CH44" s="358">
        <f t="shared" si="61"/>
        <v>1222735950</v>
      </c>
      <c r="CI44" s="358">
        <f t="shared" si="61"/>
        <v>1192610158</v>
      </c>
      <c r="CJ44" s="358">
        <f t="shared" si="61"/>
        <v>554093000</v>
      </c>
      <c r="CK44" s="358">
        <f t="shared" si="61"/>
        <v>0</v>
      </c>
      <c r="CL44" s="358">
        <f t="shared" si="61"/>
        <v>0</v>
      </c>
      <c r="CM44" s="358">
        <f t="shared" si="61"/>
        <v>0</v>
      </c>
      <c r="CN44" s="358">
        <f t="shared" si="61"/>
        <v>0</v>
      </c>
      <c r="CO44" s="358">
        <f t="shared" si="61"/>
        <v>0</v>
      </c>
      <c r="CP44" s="358">
        <f t="shared" si="61"/>
        <v>0</v>
      </c>
      <c r="CQ44" s="358">
        <f t="shared" si="61"/>
        <v>0</v>
      </c>
      <c r="CR44" s="358">
        <f t="shared" si="61"/>
        <v>0</v>
      </c>
      <c r="CS44" s="358">
        <f t="shared" si="61"/>
        <v>0</v>
      </c>
      <c r="CT44" s="358">
        <f t="shared" si="61"/>
        <v>0</v>
      </c>
      <c r="CU44" s="358">
        <f t="shared" si="61"/>
        <v>0</v>
      </c>
      <c r="CV44" s="358">
        <f t="shared" si="61"/>
        <v>0</v>
      </c>
      <c r="CW44" s="358">
        <f t="shared" si="61"/>
        <v>0</v>
      </c>
      <c r="CX44" s="358">
        <f t="shared" si="61"/>
        <v>0</v>
      </c>
      <c r="CY44" s="358">
        <f t="shared" si="61"/>
        <v>0</v>
      </c>
      <c r="CZ44" s="358">
        <f t="shared" si="61"/>
        <v>0</v>
      </c>
      <c r="DA44" s="358">
        <f t="shared" si="61"/>
        <v>0</v>
      </c>
      <c r="DB44" s="358">
        <f t="shared" si="61"/>
        <v>0</v>
      </c>
      <c r="DC44" s="358">
        <f t="shared" si="61"/>
        <v>0</v>
      </c>
      <c r="DD44" s="358">
        <f t="shared" si="61"/>
        <v>0</v>
      </c>
      <c r="DE44" s="358">
        <f t="shared" si="61"/>
        <v>0</v>
      </c>
      <c r="DF44" s="358">
        <f t="shared" si="61"/>
        <v>0</v>
      </c>
      <c r="DG44" s="358">
        <f t="shared" si="61"/>
        <v>0</v>
      </c>
      <c r="DH44" s="358">
        <f t="shared" si="61"/>
        <v>0</v>
      </c>
      <c r="DI44" s="358">
        <f t="shared" si="61"/>
        <v>0</v>
      </c>
      <c r="DJ44" s="358">
        <f t="shared" si="61"/>
        <v>0</v>
      </c>
      <c r="DK44" s="358">
        <f t="shared" si="61"/>
        <v>0</v>
      </c>
      <c r="DL44" s="358">
        <f t="shared" si="61"/>
        <v>0</v>
      </c>
      <c r="DM44" s="358">
        <f>+DM39+DM42</f>
        <v>0</v>
      </c>
      <c r="DN44" s="358">
        <f>+DN39+DN42</f>
        <v>848389000</v>
      </c>
      <c r="DO44" s="402"/>
      <c r="DP44" s="402"/>
      <c r="DQ44" s="402"/>
      <c r="DR44" s="402"/>
      <c r="DS44" s="402"/>
      <c r="DT44" s="402"/>
      <c r="DU44" s="402"/>
      <c r="DV44" s="402"/>
      <c r="DW44" s="402"/>
      <c r="DX44" s="402"/>
      <c r="DY44" s="402"/>
      <c r="DZ44" s="402"/>
      <c r="EA44" s="402"/>
      <c r="EB44" s="402"/>
      <c r="EC44" s="402"/>
      <c r="ED44" s="402"/>
      <c r="EE44" s="402"/>
      <c r="EF44" s="402"/>
      <c r="EG44" s="402"/>
      <c r="EH44" s="402"/>
      <c r="EI44" s="402"/>
      <c r="EJ44" s="402"/>
      <c r="EK44" s="402"/>
      <c r="EL44" s="402"/>
      <c r="EM44" s="387">
        <f>EK44+EI44+EG44+EE44+EC44+EA44+DY44+DW44+DU44+DS44+DQ44+DO44</f>
        <v>0</v>
      </c>
      <c r="EN44" s="388">
        <f>+EN39+EN42</f>
        <v>0</v>
      </c>
      <c r="EO44" s="388">
        <f>+EO39+EO42</f>
        <v>0</v>
      </c>
      <c r="EP44" s="388">
        <f>+EP39+EP42</f>
        <v>0</v>
      </c>
      <c r="EQ44" s="388">
        <f>+EQ39+EQ42</f>
        <v>0</v>
      </c>
      <c r="ER44" s="365">
        <f t="shared" si="4"/>
        <v>-11.119708995361668</v>
      </c>
      <c r="ES44" s="283">
        <f t="shared" si="6"/>
        <v>0.97536198064676183</v>
      </c>
      <c r="ET44" s="284">
        <f t="shared" si="7"/>
        <v>0.97536198064676183</v>
      </c>
      <c r="EU44" s="285">
        <f t="shared" si="5"/>
        <v>0.91292140345952266</v>
      </c>
      <c r="EV44" s="286">
        <f t="shared" si="8"/>
        <v>0.60700159255754138</v>
      </c>
      <c r="EW44" s="478"/>
      <c r="EX44" s="475"/>
      <c r="EY44" s="475" t="s">
        <v>568</v>
      </c>
      <c r="EZ44" s="476"/>
      <c r="FA44" s="480"/>
      <c r="FB44" s="479"/>
    </row>
    <row r="45" spans="1:158" s="3" customFormat="1" ht="42.75" customHeight="1" x14ac:dyDescent="0.25">
      <c r="A45" s="515" t="s">
        <v>307</v>
      </c>
      <c r="B45" s="515">
        <v>6</v>
      </c>
      <c r="C45" s="515" t="s">
        <v>311</v>
      </c>
      <c r="D45" s="515" t="s">
        <v>266</v>
      </c>
      <c r="E45" s="515">
        <v>268</v>
      </c>
      <c r="F45" s="311" t="s">
        <v>40</v>
      </c>
      <c r="G45" s="344">
        <f>+AA45+BE45+CH45+CJ45+DN45</f>
        <v>7948</v>
      </c>
      <c r="H45" s="351">
        <v>1292</v>
      </c>
      <c r="I45" s="351"/>
      <c r="J45" s="351"/>
      <c r="K45" s="351"/>
      <c r="L45" s="351"/>
      <c r="M45" s="351"/>
      <c r="N45" s="351"/>
      <c r="O45" s="351"/>
      <c r="P45" s="351"/>
      <c r="Q45" s="351"/>
      <c r="R45" s="351"/>
      <c r="S45" s="351"/>
      <c r="T45" s="352"/>
      <c r="U45" s="351"/>
      <c r="V45" s="351"/>
      <c r="W45" s="351">
        <v>1292</v>
      </c>
      <c r="X45" s="351">
        <v>1292</v>
      </c>
      <c r="Y45" s="351">
        <v>1292</v>
      </c>
      <c r="Z45" s="351">
        <v>1292</v>
      </c>
      <c r="AA45" s="351">
        <v>1292</v>
      </c>
      <c r="AB45" s="351">
        <v>759</v>
      </c>
      <c r="AC45" s="351">
        <v>51</v>
      </c>
      <c r="AD45" s="351">
        <v>278</v>
      </c>
      <c r="AE45" s="351">
        <v>66</v>
      </c>
      <c r="AF45" s="351">
        <v>211</v>
      </c>
      <c r="AG45" s="351">
        <v>66</v>
      </c>
      <c r="AH45" s="351">
        <v>837</v>
      </c>
      <c r="AI45" s="351">
        <v>473</v>
      </c>
      <c r="AJ45" s="351">
        <v>488</v>
      </c>
      <c r="AK45" s="351">
        <v>2050</v>
      </c>
      <c r="AL45" s="351">
        <v>892</v>
      </c>
      <c r="AM45" s="351">
        <v>295</v>
      </c>
      <c r="AN45" s="351">
        <v>798</v>
      </c>
      <c r="AO45" s="351">
        <v>295</v>
      </c>
      <c r="AP45" s="351">
        <v>265</v>
      </c>
      <c r="AQ45" s="351">
        <v>295</v>
      </c>
      <c r="AR45" s="351">
        <v>203</v>
      </c>
      <c r="AS45" s="351">
        <v>295</v>
      </c>
      <c r="AT45" s="351">
        <v>294</v>
      </c>
      <c r="AU45" s="351">
        <v>295</v>
      </c>
      <c r="AV45" s="351">
        <v>575</v>
      </c>
      <c r="AW45" s="351">
        <v>295</v>
      </c>
      <c r="AX45" s="351">
        <v>57</v>
      </c>
      <c r="AY45" s="351">
        <f>231+243</f>
        <v>474</v>
      </c>
      <c r="AZ45" s="351">
        <v>52</v>
      </c>
      <c r="BA45" s="383">
        <f>AY45+AW45+AU45+AS45+AQ45+AO45+AM45+AK45+AI45+AG45+AE45+AC45</f>
        <v>4950</v>
      </c>
      <c r="BB45" s="383">
        <f t="shared" ref="BB45:BC49" si="62">AC45+AE45+AG45+AI45+AK45+AM45+AO45+AQ45+AS45+AU45+AW45+AY45</f>
        <v>4950</v>
      </c>
      <c r="BC45" s="383">
        <f t="shared" si="62"/>
        <v>4950</v>
      </c>
      <c r="BD45" s="383">
        <f>AE45+AG45+AI45+AK45+AM45+AO45+AQ45+AS45+AU45+AW45+AY45+AC45</f>
        <v>4950</v>
      </c>
      <c r="BE45" s="383">
        <f>AD45+AF45+AH45+AJ45+AL45+AN45+AP45+AR45+AT45+AV45+AX45+AZ45</f>
        <v>4950</v>
      </c>
      <c r="BF45" s="351">
        <v>1097</v>
      </c>
      <c r="BG45" s="351">
        <v>85</v>
      </c>
      <c r="BH45" s="351">
        <v>0</v>
      </c>
      <c r="BI45" s="351">
        <v>92</v>
      </c>
      <c r="BJ45" s="351">
        <v>32</v>
      </c>
      <c r="BK45" s="351">
        <v>92</v>
      </c>
      <c r="BL45" s="351">
        <v>55</v>
      </c>
      <c r="BM45" s="351">
        <v>92</v>
      </c>
      <c r="BN45" s="351">
        <v>110</v>
      </c>
      <c r="BO45" s="351">
        <v>92</v>
      </c>
      <c r="BP45" s="351">
        <v>263</v>
      </c>
      <c r="BQ45" s="351">
        <v>99</v>
      </c>
      <c r="BR45" s="351">
        <v>87</v>
      </c>
      <c r="BS45" s="351">
        <v>92</v>
      </c>
      <c r="BT45" s="351">
        <v>65</v>
      </c>
      <c r="BU45" s="351">
        <v>92</v>
      </c>
      <c r="BV45" s="351">
        <v>99</v>
      </c>
      <c r="BW45" s="351">
        <v>92</v>
      </c>
      <c r="BX45" s="351">
        <v>171</v>
      </c>
      <c r="BY45" s="351">
        <v>92</v>
      </c>
      <c r="BZ45" s="351">
        <v>103</v>
      </c>
      <c r="CA45" s="351">
        <v>92</v>
      </c>
      <c r="CB45" s="351">
        <v>94</v>
      </c>
      <c r="CC45" s="400">
        <f>85+86</f>
        <v>171</v>
      </c>
      <c r="CD45" s="351">
        <v>104</v>
      </c>
      <c r="CE45" s="347">
        <f>CC45+CA45+BY45+BW45+BU45+BS45+BQ45+BO45+BM45+BK45+BI45+BG45</f>
        <v>1183</v>
      </c>
      <c r="CF45" s="347">
        <f t="shared" ref="CF45:CG49" si="63">+BG45+BI45+BK45+BM45+BO45+BQ45+BS45+BU45+BW45+BY45+CA45+CC45</f>
        <v>1183</v>
      </c>
      <c r="CG45" s="348">
        <f t="shared" si="63"/>
        <v>1183</v>
      </c>
      <c r="CH45" s="348">
        <f>CC45+CA45+BY45+BW45+BU45+BS45+BQ45+BO45+BM45+BK45+BI45+BG45</f>
        <v>1183</v>
      </c>
      <c r="CI45" s="348">
        <f>+BH45+BJ45+BL45+BN45+BP45+BR45+BT45+BV45+BX45+BZ45+CB45+CD45</f>
        <v>1183</v>
      </c>
      <c r="CJ45" s="351">
        <v>370</v>
      </c>
      <c r="CK45" s="351"/>
      <c r="CL45" s="351"/>
      <c r="CM45" s="351"/>
      <c r="CN45" s="351"/>
      <c r="CO45" s="351"/>
      <c r="CP45" s="351"/>
      <c r="CQ45" s="351"/>
      <c r="CR45" s="351"/>
      <c r="CS45" s="351"/>
      <c r="CT45" s="351"/>
      <c r="CU45" s="351"/>
      <c r="CV45" s="351"/>
      <c r="CW45" s="351"/>
      <c r="CX45" s="351"/>
      <c r="CY45" s="351"/>
      <c r="CZ45" s="351"/>
      <c r="DA45" s="351"/>
      <c r="DB45" s="351"/>
      <c r="DC45" s="351"/>
      <c r="DD45" s="351"/>
      <c r="DE45" s="351"/>
      <c r="DF45" s="351"/>
      <c r="DG45" s="351"/>
      <c r="DH45" s="351"/>
      <c r="DI45" s="352">
        <v>0</v>
      </c>
      <c r="DJ45" s="351">
        <v>0</v>
      </c>
      <c r="DK45" s="352">
        <v>0</v>
      </c>
      <c r="DL45" s="401">
        <v>0</v>
      </c>
      <c r="DM45" s="351">
        <v>0</v>
      </c>
      <c r="DN45" s="352">
        <f>482-243-86</f>
        <v>153</v>
      </c>
      <c r="DO45" s="371"/>
      <c r="DP45" s="371"/>
      <c r="DQ45" s="371"/>
      <c r="DR45" s="371"/>
      <c r="DS45" s="371"/>
      <c r="DT45" s="371"/>
      <c r="DU45" s="371"/>
      <c r="DV45" s="371"/>
      <c r="DW45" s="371"/>
      <c r="DX45" s="371"/>
      <c r="DY45" s="371"/>
      <c r="DZ45" s="371"/>
      <c r="EA45" s="371"/>
      <c r="EB45" s="371"/>
      <c r="EC45" s="371"/>
      <c r="ED45" s="371"/>
      <c r="EE45" s="371"/>
      <c r="EF45" s="371"/>
      <c r="EG45" s="372"/>
      <c r="EH45" s="372"/>
      <c r="EI45" s="372"/>
      <c r="EJ45" s="372"/>
      <c r="EK45" s="372"/>
      <c r="EL45" s="372"/>
      <c r="EM45" s="373">
        <f>EK45+EI45+EG45+EE45+EC45+EA45+DY45+DW45+DU45+DS45+DQ45+DO45</f>
        <v>0</v>
      </c>
      <c r="EN45" s="372">
        <f t="shared" ref="EN45:EN50" si="64">DO45+DQ45+DS45+DU45</f>
        <v>0</v>
      </c>
      <c r="EO45" s="374">
        <f t="shared" ref="EO45:EO50" si="65">DP45+DR45+DT45+DV45</f>
        <v>0</v>
      </c>
      <c r="EP45" s="375">
        <f>DQ45+DS45+DU45+DW45+DY45+EA45+EC45+EE45+EG45+EI45+EK45+DO45</f>
        <v>0</v>
      </c>
      <c r="EQ45" s="372">
        <f>DP45+DR45+DT45+DV45</f>
        <v>0</v>
      </c>
      <c r="ER45" s="354">
        <f t="shared" si="4"/>
        <v>0.60818713450292394</v>
      </c>
      <c r="ES45" s="355">
        <f t="shared" si="6"/>
        <v>1</v>
      </c>
      <c r="ET45" s="356">
        <f t="shared" si="7"/>
        <v>1</v>
      </c>
      <c r="EU45" s="357">
        <f t="shared" si="5"/>
        <v>1</v>
      </c>
      <c r="EV45" s="356">
        <f t="shared" si="8"/>
        <v>0.93419728233517862</v>
      </c>
      <c r="EW45" s="477" t="s">
        <v>665</v>
      </c>
      <c r="EX45" s="475" t="s">
        <v>568</v>
      </c>
      <c r="EY45" s="475" t="s">
        <v>568</v>
      </c>
      <c r="EZ45" s="475" t="s">
        <v>537</v>
      </c>
      <c r="FA45" s="475" t="s">
        <v>332</v>
      </c>
      <c r="FB45" s="479"/>
    </row>
    <row r="46" spans="1:158" s="57" customFormat="1" ht="42.75" customHeight="1" x14ac:dyDescent="0.25">
      <c r="A46" s="515"/>
      <c r="B46" s="515"/>
      <c r="C46" s="515"/>
      <c r="D46" s="515"/>
      <c r="E46" s="515"/>
      <c r="F46" s="312" t="s">
        <v>3</v>
      </c>
      <c r="G46" s="317">
        <f>AA46+BE46+CH46+CJ46+DN46</f>
        <v>6741902697</v>
      </c>
      <c r="H46" s="107">
        <v>658814131</v>
      </c>
      <c r="I46" s="117"/>
      <c r="J46" s="117"/>
      <c r="K46" s="117"/>
      <c r="L46" s="117"/>
      <c r="M46" s="117"/>
      <c r="N46" s="117"/>
      <c r="O46" s="117"/>
      <c r="P46" s="117"/>
      <c r="Q46" s="117"/>
      <c r="R46" s="117"/>
      <c r="S46" s="117"/>
      <c r="T46" s="118"/>
      <c r="U46" s="107"/>
      <c r="V46" s="107"/>
      <c r="W46" s="107">
        <v>658814131</v>
      </c>
      <c r="X46" s="107">
        <v>658814131</v>
      </c>
      <c r="Y46" s="107">
        <v>644978000</v>
      </c>
      <c r="Z46" s="107">
        <v>658814131</v>
      </c>
      <c r="AA46" s="107">
        <v>644978000</v>
      </c>
      <c r="AB46" s="107">
        <v>1294148000</v>
      </c>
      <c r="AC46" s="117">
        <v>0</v>
      </c>
      <c r="AD46" s="107">
        <v>0</v>
      </c>
      <c r="AE46" s="107">
        <v>385283000</v>
      </c>
      <c r="AF46" s="107">
        <f>385283000-AD46</f>
        <v>385283000</v>
      </c>
      <c r="AG46" s="107">
        <v>752696000</v>
      </c>
      <c r="AH46" s="107">
        <f>1137979000-AF46-AD46</f>
        <v>752696000</v>
      </c>
      <c r="AI46" s="107">
        <v>0</v>
      </c>
      <c r="AJ46" s="107">
        <f>1137979000-AH46-AF46-AD46</f>
        <v>0</v>
      </c>
      <c r="AK46" s="117">
        <v>24066000</v>
      </c>
      <c r="AL46" s="117">
        <f>1162045000-AJ46-AH46-AF46-AD46</f>
        <v>24066000</v>
      </c>
      <c r="AM46" s="117">
        <v>0</v>
      </c>
      <c r="AN46" s="117">
        <v>0</v>
      </c>
      <c r="AO46" s="117">
        <v>0</v>
      </c>
      <c r="AP46" s="117">
        <v>0</v>
      </c>
      <c r="AQ46" s="117">
        <v>44034333.333333336</v>
      </c>
      <c r="AR46" s="117">
        <v>0</v>
      </c>
      <c r="AS46" s="117">
        <v>44034333.333333336</v>
      </c>
      <c r="AT46" s="117">
        <v>24595500</v>
      </c>
      <c r="AU46" s="117">
        <v>44034333.333333336</v>
      </c>
      <c r="AV46" s="117">
        <v>15965667</v>
      </c>
      <c r="AW46" s="117">
        <v>0</v>
      </c>
      <c r="AX46" s="117">
        <v>61570599</v>
      </c>
      <c r="AY46" s="117">
        <v>0</v>
      </c>
      <c r="AZ46" s="117">
        <v>8140033</v>
      </c>
      <c r="BA46" s="107">
        <f>AY46+AW46+AU46+AS46+AQ46+AO46+AM46+AK46+AI46+AG46+AE46+AC46</f>
        <v>1294148000</v>
      </c>
      <c r="BB46" s="107">
        <f t="shared" si="62"/>
        <v>1294147999.9999998</v>
      </c>
      <c r="BC46" s="107">
        <f t="shared" si="62"/>
        <v>1272316799</v>
      </c>
      <c r="BD46" s="107">
        <f>AE46+AG46+AI46+AK46+AM46+AO46+AQ46+AS46+AU46+AW46+AY46+AC46</f>
        <v>1294147999.9999998</v>
      </c>
      <c r="BE46" s="107">
        <f>AD46+AF46+AH46+AJ46+AL46+AN46+AP46+AR46+AT46+AV46+AX46+AZ46</f>
        <v>1272316799</v>
      </c>
      <c r="BF46" s="107">
        <v>1568833000</v>
      </c>
      <c r="BG46" s="117">
        <v>1443681000</v>
      </c>
      <c r="BH46" s="117">
        <v>1487818000</v>
      </c>
      <c r="BI46" s="117">
        <v>0</v>
      </c>
      <c r="BJ46" s="117">
        <v>0</v>
      </c>
      <c r="BK46" s="117">
        <f>82874000+ 48160000</f>
        <v>131034000</v>
      </c>
      <c r="BL46" s="117">
        <v>0</v>
      </c>
      <c r="BM46" s="117">
        <v>0</v>
      </c>
      <c r="BN46" s="117">
        <v>0</v>
      </c>
      <c r="BO46" s="117">
        <v>7048000</v>
      </c>
      <c r="BP46" s="117">
        <v>0</v>
      </c>
      <c r="BQ46" s="117">
        <v>7278000</v>
      </c>
      <c r="BR46" s="117">
        <v>6020000</v>
      </c>
      <c r="BS46" s="117">
        <v>0</v>
      </c>
      <c r="BT46" s="117">
        <v>0</v>
      </c>
      <c r="BU46" s="117">
        <v>0</v>
      </c>
      <c r="BV46" s="117">
        <v>0</v>
      </c>
      <c r="BW46" s="117">
        <f>35000000+213822900</f>
        <v>248822900</v>
      </c>
      <c r="BX46" s="117">
        <v>47940200</v>
      </c>
      <c r="BY46" s="117">
        <v>115523998</v>
      </c>
      <c r="BZ46" s="117">
        <v>223888000</v>
      </c>
      <c r="CA46" s="117">
        <v>0</v>
      </c>
      <c r="CB46" s="117">
        <v>122375900</v>
      </c>
      <c r="CC46" s="117">
        <v>84750000</v>
      </c>
      <c r="CD46" s="117">
        <v>124732133</v>
      </c>
      <c r="CE46" s="108">
        <f>CC46+CA46+BY46+BW46+BU46+BS46+BQ46+BO46+BM46+BK46+BI46+BG46</f>
        <v>2038137898</v>
      </c>
      <c r="CF46" s="108">
        <f t="shared" si="63"/>
        <v>2038137898</v>
      </c>
      <c r="CG46" s="108">
        <f t="shared" si="63"/>
        <v>2012774233</v>
      </c>
      <c r="CH46" s="107">
        <f>CC46+CA46+BY46+BW46+BU46+BS46+BQ46+BO46+BM46+BK46+BI46+BG46</f>
        <v>2038137898</v>
      </c>
      <c r="CI46" s="107">
        <f>+BH46+BJ46+BL46+BN46+BP46+BR46+BT46+BV46+BX46+BZ46+CB46+CD46</f>
        <v>2012774233</v>
      </c>
      <c r="CJ46" s="117">
        <v>1768085000</v>
      </c>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07"/>
      <c r="DJ46" s="117"/>
      <c r="DK46" s="117"/>
      <c r="DL46" s="107"/>
      <c r="DM46" s="117"/>
      <c r="DN46" s="117">
        <v>1018385000</v>
      </c>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297">
        <f>EK46+EI46+EG46+EE46+EC46+EA46+DY46+DW46+DU46+DS46+DQ46+DO46</f>
        <v>0</v>
      </c>
      <c r="EN46" s="87">
        <f t="shared" si="64"/>
        <v>0</v>
      </c>
      <c r="EO46" s="87">
        <f t="shared" si="65"/>
        <v>0</v>
      </c>
      <c r="EP46" s="88">
        <f>DQ46+DS46+DU46+DW46+DY46+EA46+EC46+EE46+EG46+EI46+EK46+DO46</f>
        <v>0</v>
      </c>
      <c r="EQ46" s="87">
        <f>DP46+DR46+DT46+DV46</f>
        <v>0</v>
      </c>
      <c r="ER46" s="123">
        <f t="shared" si="4"/>
        <v>1.471765581120944</v>
      </c>
      <c r="ES46" s="277">
        <f t="shared" si="6"/>
        <v>0.98755547157781176</v>
      </c>
      <c r="ET46" s="278">
        <f t="shared" si="7"/>
        <v>0.98755547157781176</v>
      </c>
      <c r="EU46" s="279">
        <f t="shared" si="5"/>
        <v>0.98470822666519542</v>
      </c>
      <c r="EV46" s="278">
        <f t="shared" si="8"/>
        <v>0.58293173435279555</v>
      </c>
      <c r="EW46" s="477"/>
      <c r="EX46" s="475" t="s">
        <v>568</v>
      </c>
      <c r="EY46" s="475" t="s">
        <v>568</v>
      </c>
      <c r="EZ46" s="475"/>
      <c r="FA46" s="475"/>
      <c r="FB46" s="479"/>
    </row>
    <row r="47" spans="1:158" s="57" customFormat="1" ht="42.75" customHeight="1" x14ac:dyDescent="0.25">
      <c r="A47" s="515"/>
      <c r="B47" s="515"/>
      <c r="C47" s="515"/>
      <c r="D47" s="515"/>
      <c r="E47" s="515"/>
      <c r="F47" s="313" t="s">
        <v>216</v>
      </c>
      <c r="G47" s="320"/>
      <c r="H47" s="107"/>
      <c r="I47" s="117"/>
      <c r="J47" s="117"/>
      <c r="K47" s="117"/>
      <c r="L47" s="117"/>
      <c r="M47" s="117"/>
      <c r="N47" s="117"/>
      <c r="O47" s="117"/>
      <c r="P47" s="117"/>
      <c r="Q47" s="117"/>
      <c r="R47" s="117"/>
      <c r="S47" s="117"/>
      <c r="T47" s="118"/>
      <c r="U47" s="107"/>
      <c r="V47" s="107"/>
      <c r="W47" s="107"/>
      <c r="X47" s="107"/>
      <c r="Y47" s="107"/>
      <c r="Z47" s="107"/>
      <c r="AA47" s="107"/>
      <c r="AB47" s="107"/>
      <c r="AC47" s="117">
        <v>0</v>
      </c>
      <c r="AD47" s="117">
        <v>0</v>
      </c>
      <c r="AE47" s="107">
        <v>0</v>
      </c>
      <c r="AF47" s="107">
        <v>0</v>
      </c>
      <c r="AG47" s="107">
        <v>2672200</v>
      </c>
      <c r="AH47" s="107">
        <v>2672200</v>
      </c>
      <c r="AI47" s="107">
        <v>50155734</v>
      </c>
      <c r="AJ47" s="107">
        <f>52827934-AH47</f>
        <v>50155734</v>
      </c>
      <c r="AK47" s="117">
        <v>112069567</v>
      </c>
      <c r="AL47" s="117">
        <f>164897501-AJ47-AH47</f>
        <v>112069567</v>
      </c>
      <c r="AM47" s="117">
        <v>153388400</v>
      </c>
      <c r="AN47" s="117">
        <v>153388400</v>
      </c>
      <c r="AO47" s="117">
        <v>0</v>
      </c>
      <c r="AP47" s="117">
        <v>133716400</v>
      </c>
      <c r="AQ47" s="117">
        <v>0</v>
      </c>
      <c r="AR47" s="117">
        <v>134296967</v>
      </c>
      <c r="AS47" s="117">
        <v>0</v>
      </c>
      <c r="AT47" s="117">
        <v>143750933</v>
      </c>
      <c r="AU47" s="117">
        <v>0</v>
      </c>
      <c r="AV47" s="117">
        <v>139067500</v>
      </c>
      <c r="AW47" s="117">
        <v>0</v>
      </c>
      <c r="AX47" s="117">
        <v>120979400</v>
      </c>
      <c r="AY47" s="117">
        <v>0</v>
      </c>
      <c r="AZ47" s="117">
        <v>168419156</v>
      </c>
      <c r="BA47" s="107">
        <f>AY47+AW47+AU47+AS47+AQ47+AO47+AM47+AK47+AI47+AG47+AE47+AC47</f>
        <v>318285901</v>
      </c>
      <c r="BB47" s="107">
        <f t="shared" si="62"/>
        <v>318285901</v>
      </c>
      <c r="BC47" s="107">
        <f t="shared" si="62"/>
        <v>1158516257</v>
      </c>
      <c r="BD47" s="107">
        <f>AE47+AG47+AI47+AK47+AM47+AO47+AQ47+AS47+AU47+AW47+AY47+AC47</f>
        <v>318285901</v>
      </c>
      <c r="BE47" s="107">
        <f>AD47+AF47+AH47+AJ47+AL47+AN47+AP47+AR47+AT47+AV47+AX47+AZ47</f>
        <v>1158516257</v>
      </c>
      <c r="BF47" s="117">
        <v>0</v>
      </c>
      <c r="BG47" s="137">
        <v>0</v>
      </c>
      <c r="BH47" s="137">
        <v>0</v>
      </c>
      <c r="BI47" s="137"/>
      <c r="BJ47" s="117">
        <v>13187899</v>
      </c>
      <c r="BK47" s="137"/>
      <c r="BL47" s="117">
        <v>121091401</v>
      </c>
      <c r="BM47" s="137"/>
      <c r="BN47" s="117">
        <v>139007700</v>
      </c>
      <c r="BO47" s="137"/>
      <c r="BP47" s="117">
        <v>162956333</v>
      </c>
      <c r="BQ47" s="137"/>
      <c r="BR47" s="117">
        <v>159505900</v>
      </c>
      <c r="BS47" s="137"/>
      <c r="BT47" s="117">
        <v>149244000</v>
      </c>
      <c r="BU47" s="137">
        <v>0</v>
      </c>
      <c r="BV47" s="117">
        <v>136416000</v>
      </c>
      <c r="BW47" s="137">
        <v>0</v>
      </c>
      <c r="BX47" s="117">
        <v>174495600</v>
      </c>
      <c r="BY47" s="137">
        <v>0</v>
      </c>
      <c r="BZ47" s="117">
        <v>162654334</v>
      </c>
      <c r="CA47" s="137">
        <v>0</v>
      </c>
      <c r="CB47" s="117">
        <v>162774200</v>
      </c>
      <c r="CC47" s="137">
        <v>0</v>
      </c>
      <c r="CD47" s="117">
        <v>241406833</v>
      </c>
      <c r="CE47" s="120">
        <f>CC47+CA47+BY47+BW47+BU47+BS47+BQ47+BO47+BM47+BK47+BI47+BG47</f>
        <v>0</v>
      </c>
      <c r="CF47" s="108">
        <f t="shared" si="63"/>
        <v>0</v>
      </c>
      <c r="CG47" s="108">
        <f t="shared" si="63"/>
        <v>1622740200</v>
      </c>
      <c r="CH47" s="107">
        <f>CC47+CA47+BY47+BW47+BU47+BS47+BQ47+BO47+BM47+BK47+BI47+BG47</f>
        <v>0</v>
      </c>
      <c r="CI47" s="107">
        <f>+BH47+BJ47+BL47+BN47+BP47+BR47+BT47+BV47+BX47+BZ47+CB47+CD47</f>
        <v>1622740200</v>
      </c>
      <c r="CJ47" s="117">
        <v>0</v>
      </c>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07"/>
      <c r="DJ47" s="117"/>
      <c r="DK47" s="117"/>
      <c r="DL47" s="107"/>
      <c r="DM47" s="117"/>
      <c r="DN47" s="117">
        <v>0</v>
      </c>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297">
        <f>EI47+EG47+EE47+EC47+EA47+DY47+DW47+DU47+DS47+DQ47+DO47+EK47</f>
        <v>0</v>
      </c>
      <c r="EN47" s="87">
        <f t="shared" si="64"/>
        <v>0</v>
      </c>
      <c r="EO47" s="87">
        <f t="shared" si="65"/>
        <v>0</v>
      </c>
      <c r="EP47" s="85">
        <f>DQ47+DS47+DU47+DW47+DY47+EA47+EC47+EE47+EG47+EI47+EK47</f>
        <v>0</v>
      </c>
      <c r="EQ47" s="87">
        <f>DP47+DR47+DT47+DV47</f>
        <v>0</v>
      </c>
      <c r="ER47" s="123" t="e">
        <f t="shared" si="4"/>
        <v>#DIV/0!</v>
      </c>
      <c r="ES47" s="277" t="e">
        <f t="shared" si="6"/>
        <v>#DIV/0!</v>
      </c>
      <c r="ET47" s="278" t="e">
        <f t="shared" si="7"/>
        <v>#DIV/0!</v>
      </c>
      <c r="EU47" s="279">
        <f t="shared" si="5"/>
        <v>8.7382332935947424</v>
      </c>
      <c r="EV47" s="278" t="e">
        <f t="shared" si="8"/>
        <v>#DIV/0!</v>
      </c>
      <c r="EW47" s="477"/>
      <c r="EX47" s="475" t="s">
        <v>568</v>
      </c>
      <c r="EY47" s="475" t="s">
        <v>568</v>
      </c>
      <c r="EZ47" s="475"/>
      <c r="FA47" s="475"/>
      <c r="FB47" s="479"/>
    </row>
    <row r="48" spans="1:158" s="3" customFormat="1" ht="42.75" customHeight="1" x14ac:dyDescent="0.25">
      <c r="A48" s="515"/>
      <c r="B48" s="515"/>
      <c r="C48" s="515"/>
      <c r="D48" s="515"/>
      <c r="E48" s="515"/>
      <c r="F48" s="311" t="s">
        <v>41</v>
      </c>
      <c r="G48" s="319">
        <f>+AA48+BD48+BF48+CJ48+DN48</f>
        <v>0</v>
      </c>
      <c r="H48" s="274">
        <v>0</v>
      </c>
      <c r="I48" s="274"/>
      <c r="J48" s="274"/>
      <c r="K48" s="274"/>
      <c r="L48" s="274"/>
      <c r="M48" s="274"/>
      <c r="N48" s="274"/>
      <c r="O48" s="274"/>
      <c r="P48" s="274"/>
      <c r="Q48" s="274"/>
      <c r="R48" s="274"/>
      <c r="S48" s="274"/>
      <c r="T48" s="291"/>
      <c r="U48" s="274"/>
      <c r="V48" s="274"/>
      <c r="W48" s="274">
        <v>0</v>
      </c>
      <c r="X48" s="274">
        <v>0</v>
      </c>
      <c r="Y48" s="274">
        <v>0</v>
      </c>
      <c r="Z48" s="274">
        <v>0</v>
      </c>
      <c r="AA48" s="274">
        <v>0</v>
      </c>
      <c r="AB48" s="274">
        <v>0</v>
      </c>
      <c r="AC48" s="274">
        <v>0</v>
      </c>
      <c r="AD48" s="274">
        <v>0</v>
      </c>
      <c r="AE48" s="274">
        <v>0</v>
      </c>
      <c r="AF48" s="274">
        <v>0</v>
      </c>
      <c r="AG48" s="274">
        <v>0</v>
      </c>
      <c r="AH48" s="274">
        <v>0</v>
      </c>
      <c r="AI48" s="274">
        <v>0</v>
      </c>
      <c r="AJ48" s="274">
        <v>0</v>
      </c>
      <c r="AK48" s="274">
        <v>0</v>
      </c>
      <c r="AL48" s="274">
        <v>0</v>
      </c>
      <c r="AM48" s="274">
        <v>0</v>
      </c>
      <c r="AN48" s="274">
        <v>0</v>
      </c>
      <c r="AO48" s="274">
        <v>0</v>
      </c>
      <c r="AP48" s="274">
        <v>0</v>
      </c>
      <c r="AQ48" s="274">
        <v>0</v>
      </c>
      <c r="AR48" s="274">
        <v>0</v>
      </c>
      <c r="AS48" s="274">
        <v>0</v>
      </c>
      <c r="AT48" s="274">
        <v>0</v>
      </c>
      <c r="AU48" s="274">
        <v>0</v>
      </c>
      <c r="AV48" s="274">
        <v>0</v>
      </c>
      <c r="AW48" s="274">
        <v>0</v>
      </c>
      <c r="AX48" s="274">
        <v>0</v>
      </c>
      <c r="AY48" s="274">
        <v>0</v>
      </c>
      <c r="AZ48" s="274">
        <v>0</v>
      </c>
      <c r="BA48" s="121">
        <f>AY48+AW48+AU48+AS48+AQ48+AO48+AM48+AK48+AI48+AG48+AE48+AC48</f>
        <v>0</v>
      </c>
      <c r="BB48" s="121">
        <f t="shared" si="62"/>
        <v>0</v>
      </c>
      <c r="BC48" s="121">
        <f t="shared" si="62"/>
        <v>0</v>
      </c>
      <c r="BD48" s="121">
        <f>BE49-BC49</f>
        <v>0</v>
      </c>
      <c r="BE48" s="121">
        <f>AD48+AF48+AH48+AJ48+AL48+AN48+AP48+AR48+AT48+AV48+AX48+AZ48</f>
        <v>0</v>
      </c>
      <c r="BF48" s="274">
        <v>0</v>
      </c>
      <c r="BG48" s="274">
        <v>0</v>
      </c>
      <c r="BH48" s="274">
        <v>0</v>
      </c>
      <c r="BI48" s="274"/>
      <c r="BJ48" s="274">
        <v>0</v>
      </c>
      <c r="BK48" s="274">
        <v>0</v>
      </c>
      <c r="BL48" s="274">
        <v>0</v>
      </c>
      <c r="BM48" s="274"/>
      <c r="BN48" s="274">
        <v>0</v>
      </c>
      <c r="BO48" s="274"/>
      <c r="BP48" s="274">
        <v>0</v>
      </c>
      <c r="BQ48" s="274"/>
      <c r="BR48" s="274">
        <v>0</v>
      </c>
      <c r="BS48" s="274"/>
      <c r="BT48" s="274">
        <v>0</v>
      </c>
      <c r="BU48" s="274">
        <v>0</v>
      </c>
      <c r="BV48" s="274">
        <v>0</v>
      </c>
      <c r="BW48" s="274">
        <v>0</v>
      </c>
      <c r="BX48" s="274">
        <v>0</v>
      </c>
      <c r="BY48" s="274">
        <v>0</v>
      </c>
      <c r="BZ48" s="274">
        <v>0</v>
      </c>
      <c r="CA48" s="274">
        <v>0</v>
      </c>
      <c r="CB48" s="274">
        <v>0</v>
      </c>
      <c r="CC48" s="274">
        <v>0</v>
      </c>
      <c r="CD48" s="274">
        <v>0</v>
      </c>
      <c r="CE48" s="293">
        <f>CC48+CA48+BY48+BW48+BU48+BS48+BQ48+BO48+BM48+BK48+BI48+BG48</f>
        <v>0</v>
      </c>
      <c r="CF48" s="292">
        <f t="shared" si="63"/>
        <v>0</v>
      </c>
      <c r="CG48" s="240">
        <f t="shared" si="63"/>
        <v>0</v>
      </c>
      <c r="CH48" s="237">
        <f>CC48+CA48+BY48+BW48+BU48+BS48+BQ48+BO48+BM48+BK48+BI48+BG48</f>
        <v>0</v>
      </c>
      <c r="CI48" s="240">
        <f>+BH48+BJ48+BL48+BN48+BP48+BR48+BT48+BV48+BX48+BZ48+CB48+CD48</f>
        <v>0</v>
      </c>
      <c r="CJ48" s="274">
        <v>0</v>
      </c>
      <c r="CK48" s="274"/>
      <c r="CL48" s="274"/>
      <c r="CM48" s="274"/>
      <c r="CN48" s="274"/>
      <c r="CO48" s="274"/>
      <c r="CP48" s="274"/>
      <c r="CQ48" s="274"/>
      <c r="CR48" s="274"/>
      <c r="CS48" s="274"/>
      <c r="CT48" s="274"/>
      <c r="CU48" s="274"/>
      <c r="CV48" s="274"/>
      <c r="CW48" s="274"/>
      <c r="CX48" s="274"/>
      <c r="CY48" s="274"/>
      <c r="CZ48" s="274"/>
      <c r="DA48" s="274"/>
      <c r="DB48" s="274"/>
      <c r="DC48" s="274"/>
      <c r="DD48" s="274"/>
      <c r="DE48" s="274"/>
      <c r="DF48" s="274"/>
      <c r="DG48" s="274"/>
      <c r="DH48" s="274"/>
      <c r="DI48" s="291">
        <v>0</v>
      </c>
      <c r="DJ48" s="274">
        <v>0</v>
      </c>
      <c r="DK48" s="291">
        <v>0</v>
      </c>
      <c r="DL48" s="122">
        <v>0</v>
      </c>
      <c r="DM48" s="274">
        <v>0</v>
      </c>
      <c r="DN48" s="274">
        <v>0</v>
      </c>
      <c r="DO48" s="300"/>
      <c r="DP48" s="300"/>
      <c r="DQ48" s="300"/>
      <c r="DR48" s="300"/>
      <c r="DS48" s="300"/>
      <c r="DT48" s="300"/>
      <c r="DU48" s="300"/>
      <c r="DV48" s="300"/>
      <c r="DW48" s="300"/>
      <c r="DX48" s="300"/>
      <c r="DY48" s="300"/>
      <c r="DZ48" s="300"/>
      <c r="EA48" s="300"/>
      <c r="EB48" s="300"/>
      <c r="EC48" s="300"/>
      <c r="ED48" s="300"/>
      <c r="EE48" s="300"/>
      <c r="EF48" s="300"/>
      <c r="EG48" s="300"/>
      <c r="EH48" s="300"/>
      <c r="EI48" s="300"/>
      <c r="EJ48" s="300"/>
      <c r="EK48" s="300"/>
      <c r="EL48" s="300"/>
      <c r="EM48" s="296">
        <f>EI48+EG48+EE48+EC48+EA48+DY48+DW48+DU48+DS48+DQ48+DO48+EK48</f>
        <v>0</v>
      </c>
      <c r="EN48" s="89">
        <f t="shared" si="64"/>
        <v>0</v>
      </c>
      <c r="EO48" s="89">
        <f t="shared" si="65"/>
        <v>0</v>
      </c>
      <c r="EP48" s="90">
        <f>DQ48+DS48+DU48+DW48+DY48+EA48+EC48+EE48+EG48+EI48+EK48</f>
        <v>0</v>
      </c>
      <c r="EQ48" s="296">
        <f>DP48+DR48+DT48+DV48</f>
        <v>0</v>
      </c>
      <c r="ER48" s="123" t="e">
        <f t="shared" si="4"/>
        <v>#DIV/0!</v>
      </c>
      <c r="ES48" s="277" t="e">
        <f t="shared" si="6"/>
        <v>#DIV/0!</v>
      </c>
      <c r="ET48" s="278" t="e">
        <f t="shared" si="7"/>
        <v>#DIV/0!</v>
      </c>
      <c r="EU48" s="279" t="e">
        <f t="shared" si="5"/>
        <v>#DIV/0!</v>
      </c>
      <c r="EV48" s="278" t="e">
        <f t="shared" si="8"/>
        <v>#DIV/0!</v>
      </c>
      <c r="EW48" s="477"/>
      <c r="EX48" s="475" t="s">
        <v>568</v>
      </c>
      <c r="EY48" s="475" t="s">
        <v>568</v>
      </c>
      <c r="EZ48" s="475"/>
      <c r="FA48" s="475"/>
      <c r="FB48" s="479"/>
    </row>
    <row r="49" spans="1:158" s="3" customFormat="1" ht="42.75" customHeight="1" x14ac:dyDescent="0.25">
      <c r="A49" s="515"/>
      <c r="B49" s="515"/>
      <c r="C49" s="515"/>
      <c r="D49" s="515"/>
      <c r="E49" s="515"/>
      <c r="F49" s="312" t="s">
        <v>4</v>
      </c>
      <c r="G49" s="317">
        <f>AA49+BE49+CH49+CJ49+DN49</f>
        <v>348458281</v>
      </c>
      <c r="H49" s="107">
        <v>0</v>
      </c>
      <c r="I49" s="117"/>
      <c r="J49" s="117"/>
      <c r="K49" s="117"/>
      <c r="L49" s="117"/>
      <c r="M49" s="117"/>
      <c r="N49" s="117"/>
      <c r="O49" s="117"/>
      <c r="P49" s="117"/>
      <c r="Q49" s="117"/>
      <c r="R49" s="117"/>
      <c r="S49" s="117"/>
      <c r="T49" s="118"/>
      <c r="U49" s="107"/>
      <c r="V49" s="107"/>
      <c r="W49" s="107">
        <v>0</v>
      </c>
      <c r="X49" s="107">
        <v>0</v>
      </c>
      <c r="Y49" s="107">
        <v>0</v>
      </c>
      <c r="Z49" s="107">
        <v>0</v>
      </c>
      <c r="AA49" s="107">
        <v>0</v>
      </c>
      <c r="AB49" s="107">
        <v>282323662</v>
      </c>
      <c r="AC49" s="107">
        <v>62610500</v>
      </c>
      <c r="AD49" s="107">
        <v>62610500</v>
      </c>
      <c r="AE49" s="107">
        <v>113705833</v>
      </c>
      <c r="AF49" s="107">
        <f>176316333-AD49</f>
        <v>113705833</v>
      </c>
      <c r="AG49" s="107">
        <v>41010499</v>
      </c>
      <c r="AH49" s="107">
        <f>217326832-AF49-AD49</f>
        <v>41010499</v>
      </c>
      <c r="AI49" s="107">
        <v>24710465</v>
      </c>
      <c r="AJ49" s="107">
        <f>242037297-AH49-AF49-AD49</f>
        <v>24710465</v>
      </c>
      <c r="AK49" s="117">
        <v>3094000</v>
      </c>
      <c r="AL49" s="117">
        <f>245131297-AJ49-AH49-AF49-AD49</f>
        <v>3094000</v>
      </c>
      <c r="AM49" s="117">
        <v>14803433</v>
      </c>
      <c r="AN49" s="117">
        <v>14803433</v>
      </c>
      <c r="AO49" s="117">
        <v>0</v>
      </c>
      <c r="AP49" s="117">
        <v>0</v>
      </c>
      <c r="AQ49" s="117">
        <f>30516833-3961969-22793465</f>
        <v>3761399</v>
      </c>
      <c r="AR49" s="117">
        <v>0</v>
      </c>
      <c r="AS49" s="117">
        <f>10636900+601</f>
        <v>10637501</v>
      </c>
      <c r="AT49" s="117">
        <v>0</v>
      </c>
      <c r="AU49" s="117"/>
      <c r="AV49" s="117">
        <v>0</v>
      </c>
      <c r="AW49" s="117">
        <v>0</v>
      </c>
      <c r="AX49" s="117">
        <v>1870410</v>
      </c>
      <c r="AY49" s="117"/>
      <c r="AZ49" s="117"/>
      <c r="BA49" s="107">
        <f>AY49+AW49+AU49+AS49+AQ49+AO49+AM49+AK49+AI49+AG49+AE49+AC49</f>
        <v>274333630</v>
      </c>
      <c r="BB49" s="107">
        <f t="shared" si="62"/>
        <v>274333630</v>
      </c>
      <c r="BC49" s="107">
        <f t="shared" si="62"/>
        <v>261805140</v>
      </c>
      <c r="BD49" s="107">
        <f>AE49+AG49+AI49+AK49+AM49+AO49+AQ49+AS49+AU49+AW49+AY49+AC49</f>
        <v>274333630</v>
      </c>
      <c r="BE49" s="107">
        <v>261805140</v>
      </c>
      <c r="BF49" s="117">
        <v>113800542</v>
      </c>
      <c r="BG49" s="117">
        <v>8850800</v>
      </c>
      <c r="BH49" s="117">
        <v>0</v>
      </c>
      <c r="BI49" s="117">
        <v>104949742</v>
      </c>
      <c r="BJ49" s="117">
        <v>51705541</v>
      </c>
      <c r="BK49" s="117"/>
      <c r="BL49" s="117">
        <v>0</v>
      </c>
      <c r="BM49" s="117"/>
      <c r="BN49" s="117">
        <v>0</v>
      </c>
      <c r="BO49" s="117"/>
      <c r="BP49" s="117">
        <v>0</v>
      </c>
      <c r="BQ49" s="117">
        <v>-27147400</v>
      </c>
      <c r="BR49" s="117">
        <v>0</v>
      </c>
      <c r="BS49" s="117">
        <v>27147400</v>
      </c>
      <c r="BT49" s="117">
        <v>34947601</v>
      </c>
      <c r="BU49" s="117">
        <v>0</v>
      </c>
      <c r="BV49" s="117">
        <v>0</v>
      </c>
      <c r="BW49" s="117">
        <v>-27147400</v>
      </c>
      <c r="BX49" s="117">
        <v>-14095801</v>
      </c>
      <c r="BY49" s="117">
        <v>82196508</v>
      </c>
      <c r="BZ49" s="117">
        <v>96292309</v>
      </c>
      <c r="CA49" s="117">
        <v>-55049108</v>
      </c>
      <c r="CB49" s="117">
        <v>-82196509</v>
      </c>
      <c r="CC49" s="117">
        <v>-27147401</v>
      </c>
      <c r="CD49" s="117">
        <v>-14095800</v>
      </c>
      <c r="CE49" s="108">
        <f>CC49+CA49+BY49+BW49+BU49+BS49+BQ49+BO49+BM49+BK49+BI49+BG49</f>
        <v>86653141</v>
      </c>
      <c r="CF49" s="108">
        <f t="shared" si="63"/>
        <v>86653141</v>
      </c>
      <c r="CG49" s="108">
        <f t="shared" si="63"/>
        <v>72557341</v>
      </c>
      <c r="CH49" s="107">
        <f>CC49+CA49+BY49+BW49+BU49+BS49+BQ49+BO49+BM49+BK49+BI49+BG49</f>
        <v>86653141</v>
      </c>
      <c r="CI49" s="107">
        <f>+BH49+BJ49+BL49+BN49+BP49+BR49+BT49+BV49+BX49+BZ49+CB49+CD49</f>
        <v>72557341</v>
      </c>
      <c r="CJ49" s="117">
        <v>0</v>
      </c>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07">
        <v>0</v>
      </c>
      <c r="DJ49" s="117">
        <v>0</v>
      </c>
      <c r="DK49" s="117">
        <v>0</v>
      </c>
      <c r="DL49" s="107">
        <v>0</v>
      </c>
      <c r="DM49" s="117">
        <v>0</v>
      </c>
      <c r="DN49" s="117">
        <v>0</v>
      </c>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296">
        <f>EI49+EG49+EE49+EC49+EA49+DY49+DW49+DU49+DS49+DQ49+DO49+EK49</f>
        <v>0</v>
      </c>
      <c r="EN49" s="87">
        <f t="shared" si="64"/>
        <v>0</v>
      </c>
      <c r="EO49" s="87">
        <f t="shared" si="65"/>
        <v>0</v>
      </c>
      <c r="EP49" s="85">
        <f>DQ49+DS49+DU49+DW49+DY49+EA49+EC49+EE49+EG49+EI49+EK49+DO49</f>
        <v>0</v>
      </c>
      <c r="EQ49" s="87">
        <f>DP49+DR49+DT49+DV49</f>
        <v>0</v>
      </c>
      <c r="ER49" s="123">
        <f t="shared" si="4"/>
        <v>0.51923202519460332</v>
      </c>
      <c r="ES49" s="277">
        <f t="shared" si="6"/>
        <v>0.83733076680971097</v>
      </c>
      <c r="ET49" s="278">
        <f t="shared" si="7"/>
        <v>0.83733076680971097</v>
      </c>
      <c r="EU49" s="279">
        <f t="shared" si="5"/>
        <v>0.92624580140084967</v>
      </c>
      <c r="EV49" s="278">
        <f t="shared" si="8"/>
        <v>0.95954809867181778</v>
      </c>
      <c r="EW49" s="477"/>
      <c r="EX49" s="475" t="s">
        <v>568</v>
      </c>
      <c r="EY49" s="475" t="s">
        <v>568</v>
      </c>
      <c r="EZ49" s="475"/>
      <c r="FA49" s="475"/>
      <c r="FB49" s="479"/>
    </row>
    <row r="50" spans="1:158" s="3" customFormat="1" ht="42.75" customHeight="1" thickBot="1" x14ac:dyDescent="0.3">
      <c r="A50" s="515"/>
      <c r="B50" s="515"/>
      <c r="C50" s="515"/>
      <c r="D50" s="515"/>
      <c r="E50" s="515"/>
      <c r="F50" s="311" t="s">
        <v>42</v>
      </c>
      <c r="G50" s="366">
        <f>+G45+G48</f>
        <v>7948</v>
      </c>
      <c r="H50" s="378">
        <f>+H45+H48</f>
        <v>1292</v>
      </c>
      <c r="I50" s="378">
        <f t="shared" ref="I50:AZ50" si="66">+I45+I48</f>
        <v>0</v>
      </c>
      <c r="J50" s="378">
        <f t="shared" si="66"/>
        <v>0</v>
      </c>
      <c r="K50" s="378">
        <f t="shared" si="66"/>
        <v>0</v>
      </c>
      <c r="L50" s="378">
        <f t="shared" si="66"/>
        <v>0</v>
      </c>
      <c r="M50" s="378">
        <f t="shared" si="66"/>
        <v>0</v>
      </c>
      <c r="N50" s="378">
        <f t="shared" si="66"/>
        <v>0</v>
      </c>
      <c r="O50" s="378">
        <f t="shared" si="66"/>
        <v>0</v>
      </c>
      <c r="P50" s="378">
        <f t="shared" si="66"/>
        <v>0</v>
      </c>
      <c r="Q50" s="378">
        <f t="shared" si="66"/>
        <v>0</v>
      </c>
      <c r="R50" s="378">
        <f t="shared" si="66"/>
        <v>0</v>
      </c>
      <c r="S50" s="378">
        <f t="shared" si="66"/>
        <v>0</v>
      </c>
      <c r="T50" s="378">
        <f t="shared" si="66"/>
        <v>0</v>
      </c>
      <c r="U50" s="378">
        <f t="shared" si="66"/>
        <v>0</v>
      </c>
      <c r="V50" s="378">
        <f t="shared" si="66"/>
        <v>0</v>
      </c>
      <c r="W50" s="378">
        <f>+W45+W48</f>
        <v>1292</v>
      </c>
      <c r="X50" s="378">
        <f>+X45+X48</f>
        <v>1292</v>
      </c>
      <c r="Y50" s="378">
        <f t="shared" si="66"/>
        <v>1292</v>
      </c>
      <c r="Z50" s="378">
        <f>+Z45+Z48</f>
        <v>1292</v>
      </c>
      <c r="AA50" s="378">
        <f t="shared" si="66"/>
        <v>1292</v>
      </c>
      <c r="AB50" s="335">
        <f>+AB45+AB48</f>
        <v>759</v>
      </c>
      <c r="AC50" s="378">
        <f>+AC45+AC48</f>
        <v>51</v>
      </c>
      <c r="AD50" s="378">
        <f t="shared" si="66"/>
        <v>278</v>
      </c>
      <c r="AE50" s="378">
        <f t="shared" si="66"/>
        <v>66</v>
      </c>
      <c r="AF50" s="378">
        <f t="shared" si="66"/>
        <v>211</v>
      </c>
      <c r="AG50" s="378">
        <f t="shared" si="66"/>
        <v>66</v>
      </c>
      <c r="AH50" s="378">
        <f t="shared" si="66"/>
        <v>837</v>
      </c>
      <c r="AI50" s="378">
        <f t="shared" si="66"/>
        <v>473</v>
      </c>
      <c r="AJ50" s="378">
        <f t="shared" si="66"/>
        <v>488</v>
      </c>
      <c r="AK50" s="378">
        <f t="shared" si="66"/>
        <v>2050</v>
      </c>
      <c r="AL50" s="378">
        <f t="shared" si="66"/>
        <v>892</v>
      </c>
      <c r="AM50" s="378">
        <f t="shared" si="66"/>
        <v>295</v>
      </c>
      <c r="AN50" s="378">
        <f>+AN45+AN48</f>
        <v>798</v>
      </c>
      <c r="AO50" s="378">
        <f t="shared" si="66"/>
        <v>295</v>
      </c>
      <c r="AP50" s="378">
        <f t="shared" si="66"/>
        <v>265</v>
      </c>
      <c r="AQ50" s="378">
        <f t="shared" si="66"/>
        <v>295</v>
      </c>
      <c r="AR50" s="378">
        <f t="shared" si="66"/>
        <v>203</v>
      </c>
      <c r="AS50" s="378">
        <f t="shared" si="66"/>
        <v>295</v>
      </c>
      <c r="AT50" s="378">
        <f t="shared" si="66"/>
        <v>294</v>
      </c>
      <c r="AU50" s="378">
        <f t="shared" si="66"/>
        <v>295</v>
      </c>
      <c r="AV50" s="378">
        <f>+AV45+AV48</f>
        <v>575</v>
      </c>
      <c r="AW50" s="378">
        <f t="shared" si="66"/>
        <v>295</v>
      </c>
      <c r="AX50" s="378">
        <f>+AX45+AX48</f>
        <v>57</v>
      </c>
      <c r="AY50" s="378">
        <f t="shared" si="66"/>
        <v>474</v>
      </c>
      <c r="AZ50" s="378">
        <f t="shared" si="66"/>
        <v>52</v>
      </c>
      <c r="BA50" s="378">
        <f t="shared" ref="BA50:BF51" si="67">+BA45+BA48</f>
        <v>4950</v>
      </c>
      <c r="BB50" s="335">
        <f t="shared" si="67"/>
        <v>4950</v>
      </c>
      <c r="BC50" s="335">
        <f t="shared" si="67"/>
        <v>4950</v>
      </c>
      <c r="BD50" s="335">
        <f t="shared" si="67"/>
        <v>4950</v>
      </c>
      <c r="BE50" s="335">
        <f t="shared" si="67"/>
        <v>4950</v>
      </c>
      <c r="BF50" s="335">
        <f t="shared" si="67"/>
        <v>1097</v>
      </c>
      <c r="BG50" s="335">
        <f t="shared" ref="BG50:CD50" si="68">+BG45+BG48</f>
        <v>85</v>
      </c>
      <c r="BH50" s="335">
        <f t="shared" si="68"/>
        <v>0</v>
      </c>
      <c r="BI50" s="335">
        <f t="shared" si="68"/>
        <v>92</v>
      </c>
      <c r="BJ50" s="335">
        <f>+BJ45+BJ48</f>
        <v>32</v>
      </c>
      <c r="BK50" s="335">
        <f t="shared" si="68"/>
        <v>92</v>
      </c>
      <c r="BL50" s="335">
        <f t="shared" si="68"/>
        <v>55</v>
      </c>
      <c r="BM50" s="335">
        <f t="shared" si="68"/>
        <v>92</v>
      </c>
      <c r="BN50" s="335">
        <f t="shared" si="68"/>
        <v>110</v>
      </c>
      <c r="BO50" s="335">
        <f t="shared" si="68"/>
        <v>92</v>
      </c>
      <c r="BP50" s="335">
        <f t="shared" si="68"/>
        <v>263</v>
      </c>
      <c r="BQ50" s="335">
        <f t="shared" si="68"/>
        <v>99</v>
      </c>
      <c r="BR50" s="335">
        <f t="shared" si="68"/>
        <v>87</v>
      </c>
      <c r="BS50" s="335">
        <f t="shared" si="68"/>
        <v>92</v>
      </c>
      <c r="BT50" s="335">
        <f t="shared" si="68"/>
        <v>65</v>
      </c>
      <c r="BU50" s="335">
        <f t="shared" si="68"/>
        <v>92</v>
      </c>
      <c r="BV50" s="335">
        <f t="shared" si="68"/>
        <v>99</v>
      </c>
      <c r="BW50" s="335">
        <f t="shared" si="68"/>
        <v>92</v>
      </c>
      <c r="BX50" s="335">
        <f t="shared" si="68"/>
        <v>171</v>
      </c>
      <c r="BY50" s="335">
        <f t="shared" si="68"/>
        <v>92</v>
      </c>
      <c r="BZ50" s="335">
        <f t="shared" si="68"/>
        <v>103</v>
      </c>
      <c r="CA50" s="335">
        <f t="shared" si="68"/>
        <v>92</v>
      </c>
      <c r="CB50" s="335">
        <f t="shared" si="68"/>
        <v>94</v>
      </c>
      <c r="CC50" s="335">
        <f t="shared" si="68"/>
        <v>171</v>
      </c>
      <c r="CD50" s="335">
        <f t="shared" si="68"/>
        <v>104</v>
      </c>
      <c r="CE50" s="335">
        <f t="shared" ref="CE50:CJ51" si="69">+CE45+CE48</f>
        <v>1183</v>
      </c>
      <c r="CF50" s="335">
        <f t="shared" si="69"/>
        <v>1183</v>
      </c>
      <c r="CG50" s="335">
        <f t="shared" si="69"/>
        <v>1183</v>
      </c>
      <c r="CH50" s="367">
        <f t="shared" si="69"/>
        <v>1183</v>
      </c>
      <c r="CI50" s="367">
        <f t="shared" si="69"/>
        <v>1183</v>
      </c>
      <c r="CJ50" s="335">
        <f t="shared" si="69"/>
        <v>370</v>
      </c>
      <c r="CK50" s="335"/>
      <c r="CL50" s="335"/>
      <c r="CM50" s="335"/>
      <c r="CN50" s="335"/>
      <c r="CO50" s="335"/>
      <c r="CP50" s="335"/>
      <c r="CQ50" s="335"/>
      <c r="CR50" s="335"/>
      <c r="CS50" s="335"/>
      <c r="CT50" s="335"/>
      <c r="CU50" s="335"/>
      <c r="CV50" s="335"/>
      <c r="CW50" s="335"/>
      <c r="CX50" s="335"/>
      <c r="CY50" s="335"/>
      <c r="CZ50" s="335"/>
      <c r="DA50" s="335"/>
      <c r="DB50" s="335"/>
      <c r="DC50" s="335"/>
      <c r="DD50" s="335"/>
      <c r="DE50" s="335"/>
      <c r="DF50" s="335"/>
      <c r="DG50" s="335"/>
      <c r="DH50" s="335"/>
      <c r="DI50" s="335">
        <v>0</v>
      </c>
      <c r="DJ50" s="335">
        <v>0</v>
      </c>
      <c r="DK50" s="335">
        <v>0</v>
      </c>
      <c r="DL50" s="368">
        <v>0</v>
      </c>
      <c r="DM50" s="335">
        <v>0</v>
      </c>
      <c r="DN50" s="335">
        <f>+DN45+DN48</f>
        <v>153</v>
      </c>
      <c r="DO50" s="379"/>
      <c r="DP50" s="379"/>
      <c r="DQ50" s="379"/>
      <c r="DR50" s="379"/>
      <c r="DS50" s="379"/>
      <c r="DT50" s="379"/>
      <c r="DU50" s="379"/>
      <c r="DV50" s="379"/>
      <c r="DW50" s="379"/>
      <c r="DX50" s="379"/>
      <c r="DY50" s="379"/>
      <c r="DZ50" s="379"/>
      <c r="EA50" s="379"/>
      <c r="EB50" s="379"/>
      <c r="EC50" s="379"/>
      <c r="ED50" s="379"/>
      <c r="EE50" s="379"/>
      <c r="EF50" s="379"/>
      <c r="EG50" s="379"/>
      <c r="EH50" s="379"/>
      <c r="EI50" s="379"/>
      <c r="EJ50" s="379"/>
      <c r="EK50" s="379"/>
      <c r="EL50" s="379"/>
      <c r="EM50" s="380">
        <f>EI50+EG50+EE50+EC50+EA50+DY50+DW50+DU50+DS50+DQ50+DO50+EK50</f>
        <v>0</v>
      </c>
      <c r="EN50" s="381">
        <f t="shared" si="64"/>
        <v>0</v>
      </c>
      <c r="EO50" s="381">
        <f t="shared" si="65"/>
        <v>0</v>
      </c>
      <c r="EP50" s="382">
        <f>DQ50+DS50+DU50+DW50+DY50+EA50+EC50+EE50+EG50+EI50+EK50+DO50</f>
        <v>0</v>
      </c>
      <c r="EQ50" s="381">
        <f>DR50+DT50+DV50+DP50</f>
        <v>0</v>
      </c>
      <c r="ER50" s="343">
        <f t="shared" si="4"/>
        <v>0.60818713450292394</v>
      </c>
      <c r="ES50" s="280">
        <f t="shared" si="6"/>
        <v>1</v>
      </c>
      <c r="ET50" s="281">
        <f t="shared" si="7"/>
        <v>1</v>
      </c>
      <c r="EU50" s="282">
        <f t="shared" si="5"/>
        <v>1</v>
      </c>
      <c r="EV50" s="281">
        <f t="shared" si="8"/>
        <v>0.93419728233517862</v>
      </c>
      <c r="EW50" s="477"/>
      <c r="EX50" s="475" t="s">
        <v>568</v>
      </c>
      <c r="EY50" s="475" t="s">
        <v>568</v>
      </c>
      <c r="EZ50" s="475"/>
      <c r="FA50" s="475"/>
      <c r="FB50" s="479"/>
    </row>
    <row r="51" spans="1:158" s="29" customFormat="1" ht="42.75" customHeight="1" thickBot="1" x14ac:dyDescent="0.3">
      <c r="A51" s="515"/>
      <c r="B51" s="515"/>
      <c r="C51" s="515"/>
      <c r="D51" s="515"/>
      <c r="E51" s="515"/>
      <c r="F51" s="312" t="s">
        <v>44</v>
      </c>
      <c r="G51" s="287">
        <f>+G46+G49</f>
        <v>7090360978</v>
      </c>
      <c r="H51" s="358">
        <f>+H46+H49</f>
        <v>658814131</v>
      </c>
      <c r="I51" s="358">
        <f t="shared" ref="I51:AZ51" si="70">+I46+I49</f>
        <v>0</v>
      </c>
      <c r="J51" s="358">
        <f t="shared" si="70"/>
        <v>0</v>
      </c>
      <c r="K51" s="358">
        <f t="shared" si="70"/>
        <v>0</v>
      </c>
      <c r="L51" s="358">
        <f t="shared" si="70"/>
        <v>0</v>
      </c>
      <c r="M51" s="358">
        <f t="shared" si="70"/>
        <v>0</v>
      </c>
      <c r="N51" s="358">
        <f t="shared" si="70"/>
        <v>0</v>
      </c>
      <c r="O51" s="358">
        <f t="shared" si="70"/>
        <v>0</v>
      </c>
      <c r="P51" s="358">
        <f t="shared" si="70"/>
        <v>0</v>
      </c>
      <c r="Q51" s="358">
        <f t="shared" si="70"/>
        <v>0</v>
      </c>
      <c r="R51" s="358">
        <f t="shared" si="70"/>
        <v>0</v>
      </c>
      <c r="S51" s="358">
        <f t="shared" si="70"/>
        <v>0</v>
      </c>
      <c r="T51" s="358">
        <f t="shared" si="70"/>
        <v>0</v>
      </c>
      <c r="U51" s="358">
        <f t="shared" si="70"/>
        <v>0</v>
      </c>
      <c r="V51" s="358">
        <f t="shared" si="70"/>
        <v>0</v>
      </c>
      <c r="W51" s="358">
        <f>+W46+W49</f>
        <v>658814131</v>
      </c>
      <c r="X51" s="358">
        <f>+X46+X49</f>
        <v>658814131</v>
      </c>
      <c r="Y51" s="358">
        <f t="shared" si="70"/>
        <v>644978000</v>
      </c>
      <c r="Z51" s="358">
        <f>+Z46+Z49</f>
        <v>658814131</v>
      </c>
      <c r="AA51" s="358">
        <f t="shared" si="70"/>
        <v>644978000</v>
      </c>
      <c r="AB51" s="376">
        <f>+AB46+AB49</f>
        <v>1576471662</v>
      </c>
      <c r="AC51" s="358">
        <f t="shared" si="70"/>
        <v>62610500</v>
      </c>
      <c r="AD51" s="358">
        <f t="shared" si="70"/>
        <v>62610500</v>
      </c>
      <c r="AE51" s="358">
        <f t="shared" si="70"/>
        <v>498988833</v>
      </c>
      <c r="AF51" s="358">
        <f t="shared" si="70"/>
        <v>498988833</v>
      </c>
      <c r="AG51" s="358">
        <f t="shared" si="70"/>
        <v>793706499</v>
      </c>
      <c r="AH51" s="358">
        <f t="shared" si="70"/>
        <v>793706499</v>
      </c>
      <c r="AI51" s="358">
        <f t="shared" si="70"/>
        <v>24710465</v>
      </c>
      <c r="AJ51" s="358">
        <f t="shared" si="70"/>
        <v>24710465</v>
      </c>
      <c r="AK51" s="358">
        <f t="shared" si="70"/>
        <v>27160000</v>
      </c>
      <c r="AL51" s="358">
        <f>+AL46+AL49</f>
        <v>27160000</v>
      </c>
      <c r="AM51" s="358">
        <f t="shared" si="70"/>
        <v>14803433</v>
      </c>
      <c r="AN51" s="358">
        <f>+AN46+AN49</f>
        <v>14803433</v>
      </c>
      <c r="AO51" s="358">
        <f t="shared" si="70"/>
        <v>0</v>
      </c>
      <c r="AP51" s="358">
        <f t="shared" si="70"/>
        <v>0</v>
      </c>
      <c r="AQ51" s="358">
        <f t="shared" si="70"/>
        <v>47795732.333333336</v>
      </c>
      <c r="AR51" s="358">
        <f t="shared" si="70"/>
        <v>0</v>
      </c>
      <c r="AS51" s="358">
        <f t="shared" si="70"/>
        <v>54671834.333333336</v>
      </c>
      <c r="AT51" s="358">
        <f t="shared" si="70"/>
        <v>24595500</v>
      </c>
      <c r="AU51" s="358">
        <f t="shared" si="70"/>
        <v>44034333.333333336</v>
      </c>
      <c r="AV51" s="358">
        <f>+AV46+AV49</f>
        <v>15965667</v>
      </c>
      <c r="AW51" s="358">
        <f t="shared" si="70"/>
        <v>0</v>
      </c>
      <c r="AX51" s="358">
        <f>+AX46+AX49</f>
        <v>63441009</v>
      </c>
      <c r="AY51" s="358">
        <f t="shared" si="70"/>
        <v>0</v>
      </c>
      <c r="AZ51" s="358">
        <f t="shared" si="70"/>
        <v>8140033</v>
      </c>
      <c r="BA51" s="359">
        <f>+BA46+BA49</f>
        <v>1568481630</v>
      </c>
      <c r="BB51" s="360">
        <f>+BB46+BB49</f>
        <v>1568481629.9999998</v>
      </c>
      <c r="BC51" s="360">
        <f>+BC46+BC49</f>
        <v>1534121939</v>
      </c>
      <c r="BD51" s="360">
        <f>+BD46+BD49</f>
        <v>1568481629.9999998</v>
      </c>
      <c r="BE51" s="360">
        <f>+BE46+BE49</f>
        <v>1534121939</v>
      </c>
      <c r="BF51" s="360">
        <f t="shared" si="67"/>
        <v>1682633542</v>
      </c>
      <c r="BG51" s="360">
        <f t="shared" ref="BG51:CD51" si="71">+BG46+BG49</f>
        <v>1452531800</v>
      </c>
      <c r="BH51" s="360">
        <f t="shared" si="71"/>
        <v>1487818000</v>
      </c>
      <c r="BI51" s="360">
        <f>+BI46+BI49</f>
        <v>104949742</v>
      </c>
      <c r="BJ51" s="360">
        <f>+BJ46+BJ49</f>
        <v>51705541</v>
      </c>
      <c r="BK51" s="360">
        <f t="shared" si="71"/>
        <v>131034000</v>
      </c>
      <c r="BL51" s="360">
        <f t="shared" si="71"/>
        <v>0</v>
      </c>
      <c r="BM51" s="360">
        <f t="shared" si="71"/>
        <v>0</v>
      </c>
      <c r="BN51" s="360">
        <f t="shared" si="71"/>
        <v>0</v>
      </c>
      <c r="BO51" s="360">
        <f t="shared" si="71"/>
        <v>7048000</v>
      </c>
      <c r="BP51" s="360">
        <f t="shared" si="71"/>
        <v>0</v>
      </c>
      <c r="BQ51" s="360">
        <f t="shared" si="71"/>
        <v>-19869400</v>
      </c>
      <c r="BR51" s="360">
        <f t="shared" si="71"/>
        <v>6020000</v>
      </c>
      <c r="BS51" s="360">
        <f t="shared" si="71"/>
        <v>27147400</v>
      </c>
      <c r="BT51" s="360">
        <f t="shared" si="71"/>
        <v>34947601</v>
      </c>
      <c r="BU51" s="360">
        <f t="shared" si="71"/>
        <v>0</v>
      </c>
      <c r="BV51" s="360">
        <f t="shared" si="71"/>
        <v>0</v>
      </c>
      <c r="BW51" s="360">
        <f t="shared" si="71"/>
        <v>221675500</v>
      </c>
      <c r="BX51" s="360">
        <f t="shared" si="71"/>
        <v>33844399</v>
      </c>
      <c r="BY51" s="360">
        <f t="shared" si="71"/>
        <v>197720506</v>
      </c>
      <c r="BZ51" s="360">
        <f t="shared" si="71"/>
        <v>320180309</v>
      </c>
      <c r="CA51" s="360">
        <f t="shared" si="71"/>
        <v>-55049108</v>
      </c>
      <c r="CB51" s="360">
        <f t="shared" si="71"/>
        <v>40179391</v>
      </c>
      <c r="CC51" s="360">
        <f t="shared" si="71"/>
        <v>57602599</v>
      </c>
      <c r="CD51" s="360">
        <f t="shared" si="71"/>
        <v>110636333</v>
      </c>
      <c r="CE51" s="360">
        <f t="shared" si="69"/>
        <v>2124791039</v>
      </c>
      <c r="CF51" s="360">
        <f t="shared" si="69"/>
        <v>2124791039</v>
      </c>
      <c r="CG51" s="360">
        <f t="shared" si="69"/>
        <v>2085331574</v>
      </c>
      <c r="CH51" s="359">
        <f t="shared" si="69"/>
        <v>2124791039</v>
      </c>
      <c r="CI51" s="359">
        <f t="shared" si="69"/>
        <v>2085331574</v>
      </c>
      <c r="CJ51" s="360">
        <f t="shared" si="69"/>
        <v>1768085000</v>
      </c>
      <c r="CK51" s="358"/>
      <c r="CL51" s="358"/>
      <c r="CM51" s="358"/>
      <c r="CN51" s="358"/>
      <c r="CO51" s="358"/>
      <c r="CP51" s="358"/>
      <c r="CQ51" s="358"/>
      <c r="CR51" s="358"/>
      <c r="CS51" s="358"/>
      <c r="CT51" s="358"/>
      <c r="CU51" s="358"/>
      <c r="CV51" s="358"/>
      <c r="CW51" s="358"/>
      <c r="CX51" s="358"/>
      <c r="CY51" s="358"/>
      <c r="CZ51" s="358"/>
      <c r="DA51" s="358"/>
      <c r="DB51" s="358"/>
      <c r="DC51" s="358"/>
      <c r="DD51" s="358"/>
      <c r="DE51" s="358"/>
      <c r="DF51" s="358"/>
      <c r="DG51" s="358"/>
      <c r="DH51" s="358"/>
      <c r="DI51" s="359">
        <v>0</v>
      </c>
      <c r="DJ51" s="360">
        <v>0</v>
      </c>
      <c r="DK51" s="360">
        <v>0</v>
      </c>
      <c r="DL51" s="359">
        <v>0</v>
      </c>
      <c r="DM51" s="360">
        <v>0</v>
      </c>
      <c r="DN51" s="360">
        <f>+DN46+DN49</f>
        <v>1018385000</v>
      </c>
      <c r="DO51" s="386"/>
      <c r="DP51" s="386"/>
      <c r="DQ51" s="386"/>
      <c r="DR51" s="386"/>
      <c r="DS51" s="386"/>
      <c r="DT51" s="386"/>
      <c r="DU51" s="386"/>
      <c r="DV51" s="386"/>
      <c r="DW51" s="386"/>
      <c r="DX51" s="386"/>
      <c r="DY51" s="386"/>
      <c r="DZ51" s="386"/>
      <c r="EA51" s="386"/>
      <c r="EB51" s="386"/>
      <c r="EC51" s="386"/>
      <c r="ED51" s="386"/>
      <c r="EE51" s="386"/>
      <c r="EF51" s="386"/>
      <c r="EG51" s="386"/>
      <c r="EH51" s="386"/>
      <c r="EI51" s="386"/>
      <c r="EJ51" s="386"/>
      <c r="EK51" s="386"/>
      <c r="EL51" s="386"/>
      <c r="EM51" s="387">
        <f>EK51+EI51+EG51+EE51+EC51+EA51+DY51+DW51+DU51+DS51+DQ51+DO51</f>
        <v>0</v>
      </c>
      <c r="EN51" s="388">
        <f>+EN46+EN49</f>
        <v>0</v>
      </c>
      <c r="EO51" s="389">
        <f>EO46+EO49</f>
        <v>0</v>
      </c>
      <c r="EP51" s="388">
        <f>+EP46+EP49</f>
        <v>0</v>
      </c>
      <c r="EQ51" s="388">
        <f>+EQ46+EQ49</f>
        <v>0</v>
      </c>
      <c r="ER51" s="365">
        <f t="shared" si="4"/>
        <v>1.9206830059872819</v>
      </c>
      <c r="ES51" s="283">
        <f t="shared" si="6"/>
        <v>0.98142901382972181</v>
      </c>
      <c r="ET51" s="284">
        <f t="shared" si="7"/>
        <v>0.98142901382972181</v>
      </c>
      <c r="EU51" s="285">
        <f t="shared" si="5"/>
        <v>0.97985902142392933</v>
      </c>
      <c r="EV51" s="286">
        <f t="shared" si="8"/>
        <v>0.60144067787686617</v>
      </c>
      <c r="EW51" s="478"/>
      <c r="EX51" s="475" t="s">
        <v>568</v>
      </c>
      <c r="EY51" s="475" t="s">
        <v>568</v>
      </c>
      <c r="EZ51" s="475"/>
      <c r="FA51" s="475"/>
      <c r="FB51" s="479"/>
    </row>
    <row r="52" spans="1:158" s="3" customFormat="1" ht="42.75" customHeight="1" x14ac:dyDescent="0.25">
      <c r="A52" s="515" t="s">
        <v>307</v>
      </c>
      <c r="B52" s="515">
        <v>7</v>
      </c>
      <c r="C52" s="515" t="s">
        <v>312</v>
      </c>
      <c r="D52" s="515" t="s">
        <v>271</v>
      </c>
      <c r="E52" s="515">
        <v>268</v>
      </c>
      <c r="F52" s="311" t="s">
        <v>40</v>
      </c>
      <c r="G52" s="390">
        <v>1</v>
      </c>
      <c r="H52" s="391">
        <v>1</v>
      </c>
      <c r="I52" s="391">
        <v>1</v>
      </c>
      <c r="J52" s="391">
        <v>1</v>
      </c>
      <c r="K52" s="391">
        <v>1</v>
      </c>
      <c r="L52" s="391">
        <v>1</v>
      </c>
      <c r="M52" s="391">
        <v>1</v>
      </c>
      <c r="N52" s="391">
        <v>1</v>
      </c>
      <c r="O52" s="391">
        <v>1</v>
      </c>
      <c r="P52" s="391">
        <v>1</v>
      </c>
      <c r="Q52" s="391">
        <v>1</v>
      </c>
      <c r="R52" s="391">
        <v>1</v>
      </c>
      <c r="S52" s="391">
        <v>1</v>
      </c>
      <c r="T52" s="391">
        <v>1</v>
      </c>
      <c r="U52" s="391">
        <v>1</v>
      </c>
      <c r="V52" s="391">
        <v>1</v>
      </c>
      <c r="W52" s="391">
        <v>1</v>
      </c>
      <c r="X52" s="391">
        <v>1</v>
      </c>
      <c r="Y52" s="391">
        <v>1</v>
      </c>
      <c r="Z52" s="391">
        <v>1</v>
      </c>
      <c r="AA52" s="391">
        <v>1</v>
      </c>
      <c r="AB52" s="391">
        <v>1</v>
      </c>
      <c r="AC52" s="391">
        <v>1</v>
      </c>
      <c r="AD52" s="391">
        <v>1</v>
      </c>
      <c r="AE52" s="391">
        <v>1</v>
      </c>
      <c r="AF52" s="391">
        <v>1</v>
      </c>
      <c r="AG52" s="391">
        <v>1</v>
      </c>
      <c r="AH52" s="391">
        <v>1</v>
      </c>
      <c r="AI52" s="391">
        <v>1</v>
      </c>
      <c r="AJ52" s="391">
        <v>0.64</v>
      </c>
      <c r="AK52" s="391">
        <v>1</v>
      </c>
      <c r="AL52" s="391">
        <v>0.877</v>
      </c>
      <c r="AM52" s="391">
        <v>1</v>
      </c>
      <c r="AN52" s="403">
        <v>0.91600000000000004</v>
      </c>
      <c r="AO52" s="391">
        <v>1</v>
      </c>
      <c r="AP52" s="391">
        <v>1</v>
      </c>
      <c r="AQ52" s="391">
        <v>1</v>
      </c>
      <c r="AR52" s="403">
        <v>0.91300000000000003</v>
      </c>
      <c r="AS52" s="391">
        <v>1</v>
      </c>
      <c r="AT52" s="391">
        <v>1</v>
      </c>
      <c r="AU52" s="391">
        <v>1</v>
      </c>
      <c r="AV52" s="403">
        <v>1</v>
      </c>
      <c r="AW52" s="391">
        <v>1</v>
      </c>
      <c r="AX52" s="391">
        <v>1</v>
      </c>
      <c r="AY52" s="391">
        <v>1</v>
      </c>
      <c r="AZ52" s="403">
        <v>1</v>
      </c>
      <c r="BA52" s="391">
        <f>+AB52</f>
        <v>1</v>
      </c>
      <c r="BB52" s="391">
        <f>+AY52</f>
        <v>1</v>
      </c>
      <c r="BC52" s="391">
        <f>+AZ52</f>
        <v>1</v>
      </c>
      <c r="BD52" s="391">
        <f>+G52</f>
        <v>1</v>
      </c>
      <c r="BE52" s="391">
        <f>+AZ52</f>
        <v>1</v>
      </c>
      <c r="BF52" s="391">
        <v>1</v>
      </c>
      <c r="BG52" s="391">
        <v>1</v>
      </c>
      <c r="BH52" s="391">
        <v>1</v>
      </c>
      <c r="BI52" s="391">
        <v>1</v>
      </c>
      <c r="BJ52" s="391">
        <v>1</v>
      </c>
      <c r="BK52" s="391">
        <v>1</v>
      </c>
      <c r="BL52" s="391">
        <v>1</v>
      </c>
      <c r="BM52" s="391">
        <v>1</v>
      </c>
      <c r="BN52" s="391">
        <v>1</v>
      </c>
      <c r="BO52" s="391">
        <v>1</v>
      </c>
      <c r="BP52" s="391">
        <v>1</v>
      </c>
      <c r="BQ52" s="391">
        <v>1</v>
      </c>
      <c r="BR52" s="391">
        <v>1</v>
      </c>
      <c r="BS52" s="391">
        <v>1</v>
      </c>
      <c r="BT52" s="391">
        <v>1</v>
      </c>
      <c r="BU52" s="391">
        <v>1</v>
      </c>
      <c r="BV52" s="391">
        <v>1</v>
      </c>
      <c r="BW52" s="391">
        <v>1</v>
      </c>
      <c r="BX52" s="391">
        <v>1</v>
      </c>
      <c r="BY52" s="391">
        <v>1</v>
      </c>
      <c r="BZ52" s="404">
        <v>0.92849999999999999</v>
      </c>
      <c r="CA52" s="391">
        <v>1</v>
      </c>
      <c r="CB52" s="391">
        <v>1</v>
      </c>
      <c r="CC52" s="391">
        <v>1</v>
      </c>
      <c r="CD52" s="391">
        <v>1</v>
      </c>
      <c r="CE52" s="391">
        <f>BF52</f>
        <v>1</v>
      </c>
      <c r="CF52" s="391">
        <f>+CC52</f>
        <v>1</v>
      </c>
      <c r="CG52" s="391">
        <f>+CD52</f>
        <v>1</v>
      </c>
      <c r="CH52" s="391">
        <f>+CC52</f>
        <v>1</v>
      </c>
      <c r="CI52" s="391">
        <f>+CD52</f>
        <v>1</v>
      </c>
      <c r="CJ52" s="391">
        <v>1</v>
      </c>
      <c r="CK52" s="391"/>
      <c r="CL52" s="391"/>
      <c r="CM52" s="391"/>
      <c r="CN52" s="391"/>
      <c r="CO52" s="391"/>
      <c r="CP52" s="391"/>
      <c r="CQ52" s="391"/>
      <c r="CR52" s="391"/>
      <c r="CS52" s="391"/>
      <c r="CT52" s="391"/>
      <c r="CU52" s="391"/>
      <c r="CV52" s="391"/>
      <c r="CW52" s="391"/>
      <c r="CX52" s="391"/>
      <c r="CY52" s="391"/>
      <c r="CZ52" s="391"/>
      <c r="DA52" s="391"/>
      <c r="DB52" s="391"/>
      <c r="DC52" s="391"/>
      <c r="DD52" s="391"/>
      <c r="DE52" s="391"/>
      <c r="DF52" s="391"/>
      <c r="DG52" s="391"/>
      <c r="DH52" s="391"/>
      <c r="DI52" s="391">
        <f>DG52+DE52+DC52+DA52+CY52+CW52+CU52+CS52+CQ52+CO52+CM52+CK52</f>
        <v>0</v>
      </c>
      <c r="DJ52" s="391">
        <f>CK52+CM52+CO52+CQ52</f>
        <v>0</v>
      </c>
      <c r="DK52" s="391">
        <f>CL52+CN52+CP52+CR52</f>
        <v>0</v>
      </c>
      <c r="DL52" s="391">
        <f>CM52+CO52+CQ52+CS52+CU52+CW52+CY52+DA52+DC52+DE52+DG52+CK52</f>
        <v>0</v>
      </c>
      <c r="DM52" s="391">
        <f>CL52+CN52+CP52+CR52</f>
        <v>0</v>
      </c>
      <c r="DN52" s="391">
        <v>1</v>
      </c>
      <c r="DO52" s="405"/>
      <c r="DP52" s="405"/>
      <c r="DQ52" s="405"/>
      <c r="DR52" s="405"/>
      <c r="DS52" s="405"/>
      <c r="DT52" s="405"/>
      <c r="DU52" s="405"/>
      <c r="DV52" s="405"/>
      <c r="DW52" s="405"/>
      <c r="DX52" s="405"/>
      <c r="DY52" s="405"/>
      <c r="DZ52" s="405"/>
      <c r="EA52" s="405"/>
      <c r="EB52" s="405"/>
      <c r="EC52" s="405"/>
      <c r="ED52" s="405"/>
      <c r="EE52" s="405"/>
      <c r="EF52" s="405"/>
      <c r="EG52" s="406"/>
      <c r="EH52" s="406"/>
      <c r="EI52" s="406"/>
      <c r="EJ52" s="406"/>
      <c r="EK52" s="406"/>
      <c r="EL52" s="406"/>
      <c r="EM52" s="394">
        <f>EK52+EI52+EG52+EE52+EC52+EA52+DY52+DW52+DU52+DS52+DQ52+DO52</f>
        <v>0</v>
      </c>
      <c r="EN52" s="407">
        <f>DO52+DQ52+DS52+DU52</f>
        <v>0</v>
      </c>
      <c r="EO52" s="393">
        <f t="shared" ref="EO52:EO57" si="72">DP52+DR52+DT52+DV52</f>
        <v>0</v>
      </c>
      <c r="EP52" s="393">
        <f>DQ52+DS52+DU52+DW52+DY52+EA52+EC52+EE52+EG52+EI52+EK52+DO52</f>
        <v>0</v>
      </c>
      <c r="EQ52" s="407">
        <f>DP52+DR52+DT52+DV52</f>
        <v>0</v>
      </c>
      <c r="ER52" s="354">
        <f t="shared" si="4"/>
        <v>1</v>
      </c>
      <c r="ES52" s="355">
        <f>+CG52/CF52</f>
        <v>1</v>
      </c>
      <c r="ET52" s="356">
        <f t="shared" si="7"/>
        <v>1</v>
      </c>
      <c r="EU52" s="357">
        <f t="shared" si="5"/>
        <v>1</v>
      </c>
      <c r="EV52" s="356">
        <f>+(AA52+BE52+CI52)/500%</f>
        <v>0.6</v>
      </c>
      <c r="EW52" s="477" t="s">
        <v>648</v>
      </c>
      <c r="EX52" s="475" t="s">
        <v>568</v>
      </c>
      <c r="EY52" s="475" t="s">
        <v>568</v>
      </c>
      <c r="EZ52" s="475" t="s">
        <v>523</v>
      </c>
      <c r="FA52" s="475" t="s">
        <v>620</v>
      </c>
      <c r="FB52" s="479"/>
    </row>
    <row r="53" spans="1:158" s="51" customFormat="1" ht="42.75" customHeight="1" x14ac:dyDescent="0.25">
      <c r="A53" s="515"/>
      <c r="B53" s="515"/>
      <c r="C53" s="515"/>
      <c r="D53" s="515"/>
      <c r="E53" s="515"/>
      <c r="F53" s="312" t="s">
        <v>3</v>
      </c>
      <c r="G53" s="317">
        <f>AA53+BE53+CH53+CJ53+DN53</f>
        <v>2876792365</v>
      </c>
      <c r="H53" s="107">
        <v>450000000</v>
      </c>
      <c r="I53" s="108"/>
      <c r="J53" s="108"/>
      <c r="K53" s="108"/>
      <c r="L53" s="108"/>
      <c r="M53" s="108"/>
      <c r="N53" s="108"/>
      <c r="O53" s="108"/>
      <c r="P53" s="108"/>
      <c r="Q53" s="108"/>
      <c r="R53" s="108"/>
      <c r="S53" s="108"/>
      <c r="T53" s="107"/>
      <c r="U53" s="119"/>
      <c r="V53" s="119"/>
      <c r="W53" s="107">
        <v>450000000</v>
      </c>
      <c r="X53" s="107">
        <v>450000000</v>
      </c>
      <c r="Y53" s="107">
        <v>447516000</v>
      </c>
      <c r="Z53" s="107">
        <v>450000000</v>
      </c>
      <c r="AA53" s="107">
        <v>447516000</v>
      </c>
      <c r="AB53" s="107">
        <v>691670000</v>
      </c>
      <c r="AC53" s="108">
        <v>0</v>
      </c>
      <c r="AD53" s="108">
        <v>0</v>
      </c>
      <c r="AE53" s="108">
        <v>326043000</v>
      </c>
      <c r="AF53" s="108">
        <f>326043000-AD53</f>
        <v>326043000</v>
      </c>
      <c r="AG53" s="108">
        <v>89595000</v>
      </c>
      <c r="AH53" s="108">
        <f>415638000-AF53-AD53</f>
        <v>89595000</v>
      </c>
      <c r="AI53" s="108">
        <v>100480000</v>
      </c>
      <c r="AJ53" s="108">
        <f>516118000-AH53-AF53-AD53</f>
        <v>100480000</v>
      </c>
      <c r="AK53" s="108">
        <v>0</v>
      </c>
      <c r="AL53" s="108">
        <f>516118000-AJ53-AH53-AF53-AD53</f>
        <v>0</v>
      </c>
      <c r="AM53" s="108">
        <v>0</v>
      </c>
      <c r="AN53" s="108">
        <v>0</v>
      </c>
      <c r="AO53" s="108">
        <v>0</v>
      </c>
      <c r="AP53" s="108">
        <v>0</v>
      </c>
      <c r="AQ53" s="108">
        <f>4186666.66666667+32598400</f>
        <v>36785066.666666672</v>
      </c>
      <c r="AR53" s="108">
        <v>0</v>
      </c>
      <c r="AS53" s="108">
        <f>4186666.66666667+32598400-133727930</f>
        <v>-96942863.333333328</v>
      </c>
      <c r="AT53" s="108">
        <v>0</v>
      </c>
      <c r="AU53" s="108">
        <f>4186666.66666667+32598400</f>
        <v>36785066.666666672</v>
      </c>
      <c r="AV53" s="108">
        <v>27531699</v>
      </c>
      <c r="AW53" s="108">
        <v>32598400</v>
      </c>
      <c r="AX53" s="108">
        <v>13283666</v>
      </c>
      <c r="AY53" s="108">
        <v>32598400</v>
      </c>
      <c r="AZ53" s="108">
        <v>0</v>
      </c>
      <c r="BA53" s="108">
        <f>AY53+AW53+AU53+AS53+AQ53+AO53+AM53+AK53+AI53+AG53+AE53+AC53</f>
        <v>557942070</v>
      </c>
      <c r="BB53" s="117">
        <f>AC53+AE53+AG53+AI53+AK53+AM53+AO53+AQ53+AS53+AU53+AW53+AY53</f>
        <v>557942070</v>
      </c>
      <c r="BC53" s="108">
        <f>AD53+AF53+AH53+AJ53+AL53+AN53+AP53+AR53+AT53+AV53+AX53+AZ53</f>
        <v>556933365</v>
      </c>
      <c r="BD53" s="117">
        <f>AE53+AG53+AI53+AK53+AM53+AO53+AQ53+AS53+AU53+AW53+AY53+AC53</f>
        <v>557942070</v>
      </c>
      <c r="BE53" s="108">
        <f>AD53+AF53+AH53+AJ53+AL53+AN53+AP53+AR53+AT53+AV53+AX53+AZ53</f>
        <v>556933365</v>
      </c>
      <c r="BF53" s="117">
        <v>725040000</v>
      </c>
      <c r="BG53" s="108">
        <v>722400000</v>
      </c>
      <c r="BH53" s="108">
        <v>585413000</v>
      </c>
      <c r="BI53" s="108">
        <v>0</v>
      </c>
      <c r="BJ53" s="108">
        <v>0</v>
      </c>
      <c r="BK53" s="321">
        <v>-136987000</v>
      </c>
      <c r="BL53" s="108">
        <v>0</v>
      </c>
      <c r="BM53" s="321">
        <v>0</v>
      </c>
      <c r="BN53" s="108">
        <v>0</v>
      </c>
      <c r="BO53" s="321">
        <v>0</v>
      </c>
      <c r="BP53" s="108">
        <v>0</v>
      </c>
      <c r="BQ53" s="321">
        <v>0</v>
      </c>
      <c r="BR53" s="108">
        <v>0</v>
      </c>
      <c r="BS53" s="321">
        <v>0</v>
      </c>
      <c r="BT53" s="108">
        <v>0</v>
      </c>
      <c r="BU53" s="322">
        <v>2640000</v>
      </c>
      <c r="BV53" s="108">
        <v>0</v>
      </c>
      <c r="BW53" s="322">
        <v>76803767</v>
      </c>
      <c r="BX53" s="108">
        <v>12040000</v>
      </c>
      <c r="BY53" s="108">
        <v>-793767</v>
      </c>
      <c r="BZ53" s="108">
        <v>46709200</v>
      </c>
      <c r="CA53" s="108">
        <v>0</v>
      </c>
      <c r="CB53" s="108">
        <v>19900800</v>
      </c>
      <c r="CC53" s="108">
        <v>0</v>
      </c>
      <c r="CD53" s="108">
        <v>0</v>
      </c>
      <c r="CE53" s="108">
        <f>CC53+CA53+BY53+BW53+BU53+BS53+BQ53+BO53+BM53+BK53+BI53+BG53</f>
        <v>664063000</v>
      </c>
      <c r="CF53" s="108">
        <f>+BG53+BI53+BK53+BM53+BO53+BQ53+BS53+BU53+BW53+BY53+CA53+CC53</f>
        <v>664063000</v>
      </c>
      <c r="CG53" s="108">
        <f>+BH53+BJ53+BL53+BN53+BP53+BR53+BT53+BV53+BX53+BZ53+CB53+CD53</f>
        <v>664063000</v>
      </c>
      <c r="CH53" s="107">
        <f>CC53+CA53+BY53+BW53+BU53+BS53+BQ53+BO53+BM53+BK53+BI53+BG53</f>
        <v>664063000</v>
      </c>
      <c r="CI53" s="107">
        <f>+BH53+BJ53+BL53+BN53+BP53+BR53+BT53+BV53+BX53+BZ53+CB53+CD53</f>
        <v>664063000</v>
      </c>
      <c r="CJ53" s="108">
        <v>758280000</v>
      </c>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7"/>
      <c r="DJ53" s="117"/>
      <c r="DK53" s="117"/>
      <c r="DL53" s="107"/>
      <c r="DM53" s="117"/>
      <c r="DN53" s="108">
        <v>450000000</v>
      </c>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297">
        <f>EK53+EI53+EG53+EE53+EC53+EA53+DY53+DW53+DU53+DS53+DQ53+DO53</f>
        <v>0</v>
      </c>
      <c r="EN53" s="87">
        <f>DO53+DQ53+DS53+DU53</f>
        <v>0</v>
      </c>
      <c r="EO53" s="87">
        <f t="shared" si="72"/>
        <v>0</v>
      </c>
      <c r="EP53" s="88">
        <f>DQ53+DS53+DU53+DW53+DY53+EA53+EC53+EE53+EG53+EI53+EK53+DO53</f>
        <v>0</v>
      </c>
      <c r="EQ53" s="87">
        <f>DP53+DR53+DT53+DV53</f>
        <v>0</v>
      </c>
      <c r="ER53" s="123" t="e">
        <f t="shared" si="4"/>
        <v>#DIV/0!</v>
      </c>
      <c r="ES53" s="277">
        <f t="shared" si="6"/>
        <v>1</v>
      </c>
      <c r="ET53" s="278">
        <f t="shared" si="7"/>
        <v>1</v>
      </c>
      <c r="EU53" s="279">
        <f t="shared" si="5"/>
        <v>0.99791106793713247</v>
      </c>
      <c r="EV53" s="278">
        <f t="shared" si="8"/>
        <v>0.57999054269597938</v>
      </c>
      <c r="EW53" s="477"/>
      <c r="EX53" s="475" t="s">
        <v>568</v>
      </c>
      <c r="EY53" s="475" t="s">
        <v>568</v>
      </c>
      <c r="EZ53" s="475"/>
      <c r="FA53" s="475"/>
      <c r="FB53" s="479"/>
    </row>
    <row r="54" spans="1:158" s="51" customFormat="1" ht="42.75" customHeight="1" x14ac:dyDescent="0.25">
      <c r="A54" s="515"/>
      <c r="B54" s="515"/>
      <c r="C54" s="515"/>
      <c r="D54" s="515"/>
      <c r="E54" s="515"/>
      <c r="F54" s="313" t="s">
        <v>216</v>
      </c>
      <c r="G54" s="318"/>
      <c r="H54" s="107"/>
      <c r="I54" s="108"/>
      <c r="J54" s="108"/>
      <c r="K54" s="108"/>
      <c r="L54" s="108"/>
      <c r="M54" s="108"/>
      <c r="N54" s="108"/>
      <c r="O54" s="108"/>
      <c r="P54" s="108"/>
      <c r="Q54" s="108"/>
      <c r="R54" s="108"/>
      <c r="S54" s="108"/>
      <c r="T54" s="107"/>
      <c r="U54" s="119"/>
      <c r="V54" s="119"/>
      <c r="W54" s="107"/>
      <c r="X54" s="107"/>
      <c r="Y54" s="107"/>
      <c r="Z54" s="107"/>
      <c r="AA54" s="108"/>
      <c r="AB54" s="107"/>
      <c r="AC54" s="108">
        <v>0</v>
      </c>
      <c r="AD54" s="120">
        <v>0</v>
      </c>
      <c r="AE54" s="108">
        <v>0</v>
      </c>
      <c r="AF54" s="108">
        <v>0</v>
      </c>
      <c r="AG54" s="108">
        <v>13025300</v>
      </c>
      <c r="AH54" s="108">
        <v>13025300</v>
      </c>
      <c r="AI54" s="108">
        <v>41275300</v>
      </c>
      <c r="AJ54" s="108">
        <f>54300600-AH54</f>
        <v>41275300</v>
      </c>
      <c r="AK54" s="108">
        <v>49826100</v>
      </c>
      <c r="AL54" s="108">
        <f>104126700-AJ54-AH54</f>
        <v>49826100</v>
      </c>
      <c r="AM54" s="108">
        <v>59253467</v>
      </c>
      <c r="AN54" s="108">
        <v>59253467</v>
      </c>
      <c r="AO54" s="108">
        <v>0</v>
      </c>
      <c r="AP54" s="108">
        <v>58742000</v>
      </c>
      <c r="AQ54" s="108">
        <v>0</v>
      </c>
      <c r="AR54" s="108">
        <v>58742000</v>
      </c>
      <c r="AS54" s="108">
        <v>0</v>
      </c>
      <c r="AT54" s="108">
        <v>58742000</v>
      </c>
      <c r="AU54" s="108">
        <v>0</v>
      </c>
      <c r="AV54" s="108">
        <v>58742000</v>
      </c>
      <c r="AW54" s="108">
        <v>0</v>
      </c>
      <c r="AX54" s="108">
        <v>58742000</v>
      </c>
      <c r="AY54" s="108">
        <v>0</v>
      </c>
      <c r="AZ54" s="108">
        <v>0</v>
      </c>
      <c r="BA54" s="108">
        <f>AY54+AW54+AU54+AS54+AQ54+AO54+AM54+AK54+AI54+AG54+AE54+AC54</f>
        <v>163380167</v>
      </c>
      <c r="BB54" s="117">
        <f>AC54+AE54+AG54+AI54+AK54+AM54+AO54+AQ54+AS54+AU54+AW54+AY54</f>
        <v>163380167</v>
      </c>
      <c r="BC54" s="108">
        <f>AD54+AF54+AH54+AJ54+AL54+AN54+AP54+AR54+AT54+AV54+AX54+AZ54</f>
        <v>457090167</v>
      </c>
      <c r="BD54" s="117">
        <f>AE54+AG54+AI54+AK54+AM54+AO54+AQ54+AS54+AU54+AW54+AY54+AC54</f>
        <v>163380167</v>
      </c>
      <c r="BE54" s="108">
        <f>AD54+AF54+AH54+AJ54+AL54+AN54+AP54+AR54+AT54+AV54+AX54+AZ54</f>
        <v>457090167</v>
      </c>
      <c r="BF54" s="108">
        <v>0</v>
      </c>
      <c r="BG54" s="108">
        <v>0</v>
      </c>
      <c r="BH54" s="108">
        <v>0</v>
      </c>
      <c r="BI54" s="108"/>
      <c r="BJ54" s="108">
        <v>1771000</v>
      </c>
      <c r="BK54" s="108"/>
      <c r="BL54" s="108">
        <v>55558600</v>
      </c>
      <c r="BM54" s="108"/>
      <c r="BN54" s="108">
        <v>75173000</v>
      </c>
      <c r="BO54" s="108"/>
      <c r="BP54" s="108">
        <v>67583000</v>
      </c>
      <c r="BQ54" s="108">
        <v>0</v>
      </c>
      <c r="BR54" s="108">
        <v>67583000</v>
      </c>
      <c r="BS54" s="108"/>
      <c r="BT54" s="108">
        <v>67583000</v>
      </c>
      <c r="BU54" s="108">
        <v>0</v>
      </c>
      <c r="BV54" s="108">
        <v>59667000</v>
      </c>
      <c r="BW54" s="108">
        <v>0</v>
      </c>
      <c r="BX54" s="108">
        <v>72489000</v>
      </c>
      <c r="BY54" s="108">
        <v>0</v>
      </c>
      <c r="BZ54" s="108">
        <v>47759000</v>
      </c>
      <c r="CA54" s="108">
        <v>0</v>
      </c>
      <c r="CB54" s="108">
        <v>45262000</v>
      </c>
      <c r="CC54" s="108">
        <v>0</v>
      </c>
      <c r="CD54" s="108">
        <v>69310900</v>
      </c>
      <c r="CE54" s="108">
        <f>CC54+CA54+BY54+BW54+BU54+BS54+BQ54+BO54+BM54+BK54+BI54+BG54</f>
        <v>0</v>
      </c>
      <c r="CF54" s="108">
        <f>+BG54+BI54+BK54+BM54+BO54+BQ54+BS54+BU54+BW54+BY54+CA54+CC54</f>
        <v>0</v>
      </c>
      <c r="CG54" s="108">
        <f>+BH54+BJ54+BL54+BN54+BP54+BR54+BT54+BV54+BX54+BZ54+CB54+CD54</f>
        <v>629739500</v>
      </c>
      <c r="CH54" s="107">
        <f>CC54+CA54+BY54+BW54+BU54+BS54+BQ54+BO54+BM54+BK54+BI54+BG54</f>
        <v>0</v>
      </c>
      <c r="CI54" s="107">
        <f>+BH54+BJ54+BL54+BN54+BP54+BR54+BT54+BV54+BX54+BZ54+CB54+CD54</f>
        <v>629739500</v>
      </c>
      <c r="CJ54" s="108">
        <v>0</v>
      </c>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7"/>
      <c r="DJ54" s="117"/>
      <c r="DK54" s="117"/>
      <c r="DL54" s="107"/>
      <c r="DM54" s="117"/>
      <c r="DN54" s="108">
        <v>0</v>
      </c>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297">
        <f>EI54+EG54+EE54+EC54+EA54+DY54+DW54+DU54+DS54+DQ54+DO54+EK54</f>
        <v>0</v>
      </c>
      <c r="EN54" s="87">
        <f>DO54+DQ54+DS54+DU54</f>
        <v>0</v>
      </c>
      <c r="EO54" s="87">
        <f t="shared" si="72"/>
        <v>0</v>
      </c>
      <c r="EP54" s="85">
        <f>DQ54+DS54+DU54+DW54+DY54+EA54+EC54+EE54+EG54+EI54+EK54</f>
        <v>0</v>
      </c>
      <c r="EQ54" s="87">
        <f>DP54+DR54+DT54+DV54</f>
        <v>0</v>
      </c>
      <c r="ER54" s="123" t="e">
        <f t="shared" si="4"/>
        <v>#DIV/0!</v>
      </c>
      <c r="ES54" s="277" t="e">
        <f t="shared" si="6"/>
        <v>#DIV/0!</v>
      </c>
      <c r="ET54" s="278" t="e">
        <f t="shared" si="7"/>
        <v>#DIV/0!</v>
      </c>
      <c r="EU54" s="279">
        <f t="shared" si="5"/>
        <v>6.6521517694372294</v>
      </c>
      <c r="EV54" s="278" t="e">
        <f t="shared" si="8"/>
        <v>#DIV/0!</v>
      </c>
      <c r="EW54" s="477"/>
      <c r="EX54" s="475" t="s">
        <v>568</v>
      </c>
      <c r="EY54" s="475" t="s">
        <v>568</v>
      </c>
      <c r="EZ54" s="475"/>
      <c r="FA54" s="475"/>
      <c r="FB54" s="479"/>
    </row>
    <row r="55" spans="1:158" s="3" customFormat="1" ht="42.75" customHeight="1" x14ac:dyDescent="0.25">
      <c r="A55" s="515"/>
      <c r="B55" s="515"/>
      <c r="C55" s="515"/>
      <c r="D55" s="515"/>
      <c r="E55" s="515"/>
      <c r="F55" s="311" t="s">
        <v>41</v>
      </c>
      <c r="G55" s="316">
        <v>0</v>
      </c>
      <c r="H55" s="106">
        <v>0</v>
      </c>
      <c r="I55" s="271">
        <v>0</v>
      </c>
      <c r="J55" s="271">
        <v>0</v>
      </c>
      <c r="K55" s="271">
        <v>0</v>
      </c>
      <c r="L55" s="271">
        <v>0</v>
      </c>
      <c r="M55" s="271">
        <v>0</v>
      </c>
      <c r="N55" s="274">
        <v>0</v>
      </c>
      <c r="O55" s="271">
        <v>0</v>
      </c>
      <c r="P55" s="274">
        <v>0</v>
      </c>
      <c r="Q55" s="271">
        <v>0</v>
      </c>
      <c r="R55" s="290">
        <v>0</v>
      </c>
      <c r="S55" s="271">
        <v>0</v>
      </c>
      <c r="T55" s="274">
        <v>0</v>
      </c>
      <c r="U55" s="271">
        <v>0</v>
      </c>
      <c r="V55" s="271">
        <v>0</v>
      </c>
      <c r="W55" s="99">
        <v>0</v>
      </c>
      <c r="X55" s="99">
        <v>0</v>
      </c>
      <c r="Y55" s="99">
        <v>0</v>
      </c>
      <c r="Z55" s="99">
        <v>0</v>
      </c>
      <c r="AA55" s="99">
        <v>0</v>
      </c>
      <c r="AB55" s="99">
        <v>0</v>
      </c>
      <c r="AC55" s="99">
        <v>0</v>
      </c>
      <c r="AD55" s="99">
        <v>0</v>
      </c>
      <c r="AE55" s="99">
        <v>0</v>
      </c>
      <c r="AF55" s="99">
        <v>0</v>
      </c>
      <c r="AG55" s="99">
        <v>0</v>
      </c>
      <c r="AH55" s="99">
        <v>0</v>
      </c>
      <c r="AI55" s="99">
        <v>0</v>
      </c>
      <c r="AJ55" s="99">
        <v>0</v>
      </c>
      <c r="AK55" s="99">
        <v>0</v>
      </c>
      <c r="AL55" s="99">
        <v>0</v>
      </c>
      <c r="AM55" s="99">
        <v>0</v>
      </c>
      <c r="AN55" s="99">
        <v>0</v>
      </c>
      <c r="AO55" s="99">
        <v>0</v>
      </c>
      <c r="AP55" s="99">
        <v>0</v>
      </c>
      <c r="AQ55" s="99">
        <v>0</v>
      </c>
      <c r="AR55" s="99">
        <v>0</v>
      </c>
      <c r="AS55" s="99">
        <v>0</v>
      </c>
      <c r="AT55" s="99">
        <v>0</v>
      </c>
      <c r="AU55" s="99">
        <v>0</v>
      </c>
      <c r="AV55" s="99">
        <v>0</v>
      </c>
      <c r="AW55" s="99">
        <v>0</v>
      </c>
      <c r="AX55" s="99">
        <v>0</v>
      </c>
      <c r="AY55" s="99">
        <v>0</v>
      </c>
      <c r="AZ55" s="99">
        <v>0</v>
      </c>
      <c r="BA55" s="99">
        <f>+AB55</f>
        <v>0</v>
      </c>
      <c r="BB55" s="99">
        <f>+AY55</f>
        <v>0</v>
      </c>
      <c r="BC55" s="99">
        <f>+AZ55</f>
        <v>0</v>
      </c>
      <c r="BD55" s="99">
        <f>+G55</f>
        <v>0</v>
      </c>
      <c r="BE55" s="99">
        <f>+AZ55</f>
        <v>0</v>
      </c>
      <c r="BF55" s="223">
        <v>0</v>
      </c>
      <c r="BG55" s="99">
        <v>0</v>
      </c>
      <c r="BH55" s="99">
        <v>0</v>
      </c>
      <c r="BI55" s="99">
        <v>0</v>
      </c>
      <c r="BJ55" s="99">
        <v>0</v>
      </c>
      <c r="BK55" s="99">
        <v>0</v>
      </c>
      <c r="BL55" s="99">
        <v>0</v>
      </c>
      <c r="BM55" s="99">
        <v>0</v>
      </c>
      <c r="BN55" s="99">
        <v>0</v>
      </c>
      <c r="BO55" s="99">
        <v>0</v>
      </c>
      <c r="BP55" s="99">
        <v>0</v>
      </c>
      <c r="BQ55" s="99">
        <v>0</v>
      </c>
      <c r="BR55" s="99">
        <v>0</v>
      </c>
      <c r="BS55" s="99">
        <v>0</v>
      </c>
      <c r="BT55" s="99">
        <v>0</v>
      </c>
      <c r="BU55" s="99">
        <v>0</v>
      </c>
      <c r="BV55" s="99">
        <v>0</v>
      </c>
      <c r="BW55" s="99">
        <v>0</v>
      </c>
      <c r="BX55" s="99">
        <v>0</v>
      </c>
      <c r="BY55" s="99">
        <v>0</v>
      </c>
      <c r="BZ55" s="99">
        <v>0</v>
      </c>
      <c r="CA55" s="99">
        <v>0</v>
      </c>
      <c r="CB55" s="99">
        <v>0</v>
      </c>
      <c r="CC55" s="99">
        <v>0</v>
      </c>
      <c r="CD55" s="99">
        <v>0</v>
      </c>
      <c r="CE55" s="99">
        <f>BF55</f>
        <v>0</v>
      </c>
      <c r="CF55" s="99">
        <f>+CC55</f>
        <v>0</v>
      </c>
      <c r="CG55" s="99">
        <f>CD55</f>
        <v>0</v>
      </c>
      <c r="CH55" s="99">
        <f>+CC55</f>
        <v>0</v>
      </c>
      <c r="CI55" s="99">
        <f>+CD55</f>
        <v>0</v>
      </c>
      <c r="CJ55" s="99">
        <v>0</v>
      </c>
      <c r="CK55" s="99">
        <v>0</v>
      </c>
      <c r="CL55" s="99">
        <v>0</v>
      </c>
      <c r="CM55" s="99">
        <v>0</v>
      </c>
      <c r="CN55" s="99">
        <v>0</v>
      </c>
      <c r="CO55" s="99">
        <v>0</v>
      </c>
      <c r="CP55" s="99">
        <v>0</v>
      </c>
      <c r="CQ55" s="99">
        <v>0</v>
      </c>
      <c r="CR55" s="99">
        <v>0</v>
      </c>
      <c r="CS55" s="99">
        <v>0</v>
      </c>
      <c r="CT55" s="99">
        <v>0</v>
      </c>
      <c r="CU55" s="99">
        <v>0</v>
      </c>
      <c r="CV55" s="99">
        <v>0</v>
      </c>
      <c r="CW55" s="99">
        <v>0</v>
      </c>
      <c r="CX55" s="99">
        <v>0</v>
      </c>
      <c r="CY55" s="99">
        <v>0</v>
      </c>
      <c r="CZ55" s="99">
        <v>0</v>
      </c>
      <c r="DA55" s="99">
        <v>0</v>
      </c>
      <c r="DB55" s="99">
        <v>0</v>
      </c>
      <c r="DC55" s="99">
        <v>0</v>
      </c>
      <c r="DD55" s="99">
        <v>0</v>
      </c>
      <c r="DE55" s="99">
        <v>0</v>
      </c>
      <c r="DF55" s="99">
        <v>0</v>
      </c>
      <c r="DG55" s="99">
        <v>0</v>
      </c>
      <c r="DH55" s="99">
        <v>0</v>
      </c>
      <c r="DI55" s="99">
        <v>0</v>
      </c>
      <c r="DJ55" s="99">
        <v>0</v>
      </c>
      <c r="DK55" s="99">
        <v>0</v>
      </c>
      <c r="DL55" s="99">
        <v>0</v>
      </c>
      <c r="DM55" s="99">
        <v>0</v>
      </c>
      <c r="DN55" s="99">
        <v>0</v>
      </c>
      <c r="DO55" s="144"/>
      <c r="DP55" s="144"/>
      <c r="DQ55" s="144"/>
      <c r="DR55" s="144"/>
      <c r="DS55" s="144"/>
      <c r="DT55" s="144"/>
      <c r="DU55" s="144"/>
      <c r="DV55" s="144"/>
      <c r="DW55" s="144"/>
      <c r="DX55" s="144"/>
      <c r="DY55" s="144"/>
      <c r="DZ55" s="144"/>
      <c r="EA55" s="144"/>
      <c r="EB55" s="144"/>
      <c r="EC55" s="144"/>
      <c r="ED55" s="144"/>
      <c r="EE55" s="144"/>
      <c r="EF55" s="144"/>
      <c r="EG55" s="144"/>
      <c r="EH55" s="144"/>
      <c r="EI55" s="144"/>
      <c r="EJ55" s="144"/>
      <c r="EK55" s="144"/>
      <c r="EL55" s="144"/>
      <c r="EM55" s="145">
        <f>EI55+EG55+EE55+EC55+EA55+DY55+DW55+DU55+DS55+DQ55+DO55+EK55</f>
        <v>0</v>
      </c>
      <c r="EN55" s="146">
        <f>DO55+DQ55+DS55+DU55</f>
        <v>0</v>
      </c>
      <c r="EO55" s="146">
        <f t="shared" si="72"/>
        <v>0</v>
      </c>
      <c r="EP55" s="145">
        <f>DQ55+DS55+DU55+DW55+DY55+EA55+EC55+EE55+EG55+EI55+EK55</f>
        <v>0</v>
      </c>
      <c r="EQ55" s="146">
        <v>0</v>
      </c>
      <c r="ER55" s="123" t="e">
        <f t="shared" si="4"/>
        <v>#DIV/0!</v>
      </c>
      <c r="ES55" s="277" t="e">
        <f t="shared" si="6"/>
        <v>#DIV/0!</v>
      </c>
      <c r="ET55" s="278" t="e">
        <f t="shared" si="7"/>
        <v>#DIV/0!</v>
      </c>
      <c r="EU55" s="279" t="e">
        <f t="shared" si="5"/>
        <v>#DIV/0!</v>
      </c>
      <c r="EV55" s="278" t="e">
        <f t="shared" si="8"/>
        <v>#DIV/0!</v>
      </c>
      <c r="EW55" s="477"/>
      <c r="EX55" s="475" t="s">
        <v>568</v>
      </c>
      <c r="EY55" s="475" t="s">
        <v>568</v>
      </c>
      <c r="EZ55" s="475"/>
      <c r="FA55" s="475"/>
      <c r="FB55" s="479"/>
    </row>
    <row r="56" spans="1:158" s="51" customFormat="1" ht="42.75" customHeight="1" x14ac:dyDescent="0.25">
      <c r="A56" s="515"/>
      <c r="B56" s="515"/>
      <c r="C56" s="515"/>
      <c r="D56" s="515"/>
      <c r="E56" s="515"/>
      <c r="F56" s="312" t="s">
        <v>4</v>
      </c>
      <c r="G56" s="317">
        <f>AA56+BE56+CH56+CJ56+DN56</f>
        <v>156976534</v>
      </c>
      <c r="H56" s="107">
        <v>187668702</v>
      </c>
      <c r="I56" s="108">
        <v>0</v>
      </c>
      <c r="J56" s="108">
        <v>0</v>
      </c>
      <c r="K56" s="108">
        <v>0</v>
      </c>
      <c r="L56" s="108">
        <v>0</v>
      </c>
      <c r="M56" s="108">
        <v>0</v>
      </c>
      <c r="N56" s="108">
        <v>0</v>
      </c>
      <c r="O56" s="108">
        <v>0</v>
      </c>
      <c r="P56" s="108">
        <v>0</v>
      </c>
      <c r="Q56" s="108">
        <v>0</v>
      </c>
      <c r="R56" s="108">
        <v>0</v>
      </c>
      <c r="S56" s="108">
        <v>0</v>
      </c>
      <c r="T56" s="107">
        <v>0</v>
      </c>
      <c r="U56" s="119">
        <v>0</v>
      </c>
      <c r="V56" s="119">
        <v>0</v>
      </c>
      <c r="W56" s="107">
        <v>187668702</v>
      </c>
      <c r="X56" s="107">
        <v>187668702</v>
      </c>
      <c r="Y56" s="107">
        <v>0</v>
      </c>
      <c r="Z56" s="107">
        <v>187668702</v>
      </c>
      <c r="AA56" s="108">
        <v>0</v>
      </c>
      <c r="AB56" s="107">
        <v>131174135</v>
      </c>
      <c r="AC56" s="108">
        <v>56494567</v>
      </c>
      <c r="AD56" s="108">
        <v>56494567</v>
      </c>
      <c r="AE56" s="108">
        <v>56557034</v>
      </c>
      <c r="AF56" s="108">
        <f>113051601-AD56</f>
        <v>56557034</v>
      </c>
      <c r="AG56" s="108">
        <v>7384000</v>
      </c>
      <c r="AH56" s="108">
        <f>120435601-AF56-AD56</f>
        <v>7384000</v>
      </c>
      <c r="AI56" s="108">
        <v>3121667</v>
      </c>
      <c r="AJ56" s="108">
        <f>123557268-AH56-AF56-AD56</f>
        <v>3121667</v>
      </c>
      <c r="AK56" s="108">
        <v>3746000</v>
      </c>
      <c r="AL56" s="108">
        <f>127303268-AJ56-AH56-AF56-AD56</f>
        <v>3746000</v>
      </c>
      <c r="AM56" s="108">
        <v>3870867</v>
      </c>
      <c r="AN56" s="108">
        <v>3870867</v>
      </c>
      <c r="AO56" s="108">
        <v>0</v>
      </c>
      <c r="AP56" s="108">
        <v>0</v>
      </c>
      <c r="AQ56" s="108">
        <v>0</v>
      </c>
      <c r="AR56" s="108">
        <v>0</v>
      </c>
      <c r="AS56" s="108">
        <v>0</v>
      </c>
      <c r="AT56" s="108">
        <v>0</v>
      </c>
      <c r="AU56" s="108">
        <v>0</v>
      </c>
      <c r="AV56" s="108">
        <v>0</v>
      </c>
      <c r="AW56" s="108">
        <v>0</v>
      </c>
      <c r="AX56" s="108">
        <v>0</v>
      </c>
      <c r="AY56" s="108">
        <v>0</v>
      </c>
      <c r="AZ56" s="108">
        <v>0</v>
      </c>
      <c r="BA56" s="108">
        <f>AY56+AW56+AU56+AS56+AQ56+AO56+AM56+AK56+AI56+AG56+AE56+AC56</f>
        <v>131174135</v>
      </c>
      <c r="BB56" s="117">
        <f>AC56+AE56+AG56+AI56+AK56+AM56+AO56+AQ56+AS56+AU56+AW56+AY56</f>
        <v>131174135</v>
      </c>
      <c r="BC56" s="108">
        <f>AD56+AF56+AH56+AJ56+AL56+AN56+AP56+AR56+AT56+AV56+AX56+AZ56</f>
        <v>131174135</v>
      </c>
      <c r="BD56" s="117">
        <f>AE56+AG56+AI56+AK56+AM56+AO56+AQ56+AS56+AU56+AW56+AY56+AC56</f>
        <v>131174135</v>
      </c>
      <c r="BE56" s="108">
        <f>AD56+AF56+AH56+AJ56+AL56+AN56+AP56+AR56+AT56+AV56+AX56+AZ56</f>
        <v>131174135</v>
      </c>
      <c r="BF56" s="108">
        <v>25802399</v>
      </c>
      <c r="BG56" s="108">
        <v>25802399</v>
      </c>
      <c r="BH56" s="108"/>
      <c r="BI56" s="108"/>
      <c r="BJ56" s="108">
        <v>25802399</v>
      </c>
      <c r="BK56" s="108"/>
      <c r="BL56" s="108">
        <v>0</v>
      </c>
      <c r="BM56" s="108"/>
      <c r="BN56" s="108">
        <v>0</v>
      </c>
      <c r="BO56" s="108"/>
      <c r="BP56" s="108">
        <v>0</v>
      </c>
      <c r="BQ56" s="108">
        <v>0</v>
      </c>
      <c r="BR56" s="108">
        <v>0</v>
      </c>
      <c r="BS56" s="108">
        <v>0</v>
      </c>
      <c r="BT56" s="108">
        <v>0</v>
      </c>
      <c r="BU56" s="108">
        <v>0</v>
      </c>
      <c r="BV56" s="108">
        <v>0</v>
      </c>
      <c r="BW56" s="108">
        <v>0</v>
      </c>
      <c r="BX56" s="108">
        <v>0</v>
      </c>
      <c r="BY56" s="108">
        <v>0</v>
      </c>
      <c r="BZ56" s="108">
        <v>0</v>
      </c>
      <c r="CA56" s="108">
        <v>0</v>
      </c>
      <c r="CB56" s="108">
        <v>0</v>
      </c>
      <c r="CC56" s="108">
        <v>0</v>
      </c>
      <c r="CD56" s="108">
        <v>0</v>
      </c>
      <c r="CE56" s="108">
        <f>CC56+CA56+BY56+BW56+BU56+BS56+BQ56+BO56+BM56+BK56+BI56+BG56</f>
        <v>25802399</v>
      </c>
      <c r="CF56" s="108">
        <f>+BG56+BI56+BK56+BM56+BO56+BQ56+BS56+BU56+BW56+BY56+CA56+CC56</f>
        <v>25802399</v>
      </c>
      <c r="CG56" s="108">
        <f>+BH56+BJ56+BL56+BN56+BP56+BR56+BT56+BV56+BX56+BZ56+CB56+CD56</f>
        <v>25802399</v>
      </c>
      <c r="CH56" s="107">
        <f>CC56+CA56+BY56+BW56+BU56+BS56+BQ56+BO56+BM56+BK56+BI56+BG56</f>
        <v>25802399</v>
      </c>
      <c r="CI56" s="107">
        <f>+BH56+BJ56+BL56+BN56+BP56+BR56+BT56+BV56+BX56+BZ56+CB56+CD56</f>
        <v>25802399</v>
      </c>
      <c r="CJ56" s="108"/>
      <c r="CK56" s="108">
        <v>0</v>
      </c>
      <c r="CL56" s="108">
        <v>0</v>
      </c>
      <c r="CM56" s="108">
        <v>0</v>
      </c>
      <c r="CN56" s="108">
        <v>0</v>
      </c>
      <c r="CO56" s="108">
        <v>0</v>
      </c>
      <c r="CP56" s="108">
        <v>0</v>
      </c>
      <c r="CQ56" s="108">
        <v>0</v>
      </c>
      <c r="CR56" s="108">
        <v>0</v>
      </c>
      <c r="CS56" s="108">
        <v>0</v>
      </c>
      <c r="CT56" s="108">
        <v>0</v>
      </c>
      <c r="CU56" s="108">
        <v>0</v>
      </c>
      <c r="CV56" s="108">
        <v>0</v>
      </c>
      <c r="CW56" s="108">
        <v>0</v>
      </c>
      <c r="CX56" s="108">
        <v>0</v>
      </c>
      <c r="CY56" s="108">
        <v>0</v>
      </c>
      <c r="CZ56" s="108">
        <v>0</v>
      </c>
      <c r="DA56" s="108">
        <v>0</v>
      </c>
      <c r="DB56" s="108">
        <v>0</v>
      </c>
      <c r="DC56" s="108">
        <v>0</v>
      </c>
      <c r="DD56" s="108">
        <v>0</v>
      </c>
      <c r="DE56" s="108">
        <v>0</v>
      </c>
      <c r="DF56" s="108">
        <v>0</v>
      </c>
      <c r="DG56" s="108">
        <v>0</v>
      </c>
      <c r="DH56" s="108">
        <v>0</v>
      </c>
      <c r="DI56" s="107">
        <v>0</v>
      </c>
      <c r="DJ56" s="117">
        <v>0</v>
      </c>
      <c r="DK56" s="117">
        <v>0</v>
      </c>
      <c r="DL56" s="107">
        <v>0</v>
      </c>
      <c r="DM56" s="117">
        <v>0</v>
      </c>
      <c r="DN56" s="108">
        <v>0</v>
      </c>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296">
        <f>EI56+EG56+EE56+EC56+EA56+DY56+DW56+DU56+DS56+DQ56+DO56+EK56</f>
        <v>0</v>
      </c>
      <c r="EN56" s="87">
        <f>DO56+DQ56+DS56+DU56</f>
        <v>0</v>
      </c>
      <c r="EO56" s="87">
        <f t="shared" si="72"/>
        <v>0</v>
      </c>
      <c r="EP56" s="85">
        <f>DQ56+DS56+DU56+DW56+DY56+EA56+EC56+EE56+EG56+EI56+EK56+DO56</f>
        <v>0</v>
      </c>
      <c r="EQ56" s="87">
        <f>DP56+DR56+DT56+DV56</f>
        <v>0</v>
      </c>
      <c r="ER56" s="123" t="e">
        <f t="shared" si="4"/>
        <v>#DIV/0!</v>
      </c>
      <c r="ES56" s="277">
        <f t="shared" si="6"/>
        <v>1</v>
      </c>
      <c r="ET56" s="278">
        <f t="shared" si="7"/>
        <v>1</v>
      </c>
      <c r="EU56" s="279">
        <f t="shared" si="5"/>
        <v>0.45547280972715953</v>
      </c>
      <c r="EV56" s="278">
        <f t="shared" si="8"/>
        <v>1</v>
      </c>
      <c r="EW56" s="477"/>
      <c r="EX56" s="475" t="s">
        <v>568</v>
      </c>
      <c r="EY56" s="475" t="s">
        <v>568</v>
      </c>
      <c r="EZ56" s="475"/>
      <c r="FA56" s="475"/>
      <c r="FB56" s="479"/>
    </row>
    <row r="57" spans="1:158" s="3" customFormat="1" ht="42.75" customHeight="1" thickBot="1" x14ac:dyDescent="0.3">
      <c r="A57" s="515"/>
      <c r="B57" s="515"/>
      <c r="C57" s="515"/>
      <c r="D57" s="515"/>
      <c r="E57" s="515"/>
      <c r="F57" s="311" t="s">
        <v>42</v>
      </c>
      <c r="G57" s="332">
        <f>+G52+G55</f>
        <v>1</v>
      </c>
      <c r="H57" s="337">
        <f>+H52+H55</f>
        <v>1</v>
      </c>
      <c r="I57" s="337"/>
      <c r="J57" s="337"/>
      <c r="K57" s="337"/>
      <c r="L57" s="337"/>
      <c r="M57" s="337"/>
      <c r="N57" s="337"/>
      <c r="O57" s="337"/>
      <c r="P57" s="337"/>
      <c r="Q57" s="337"/>
      <c r="R57" s="337"/>
      <c r="S57" s="337"/>
      <c r="T57" s="337"/>
      <c r="U57" s="337"/>
      <c r="V57" s="337"/>
      <c r="W57" s="337">
        <f t="shared" ref="W57:AM57" si="73">+W52+W55</f>
        <v>1</v>
      </c>
      <c r="X57" s="337">
        <f t="shared" si="73"/>
        <v>1</v>
      </c>
      <c r="Y57" s="337">
        <f t="shared" si="73"/>
        <v>1</v>
      </c>
      <c r="Z57" s="337">
        <f t="shared" si="73"/>
        <v>1</v>
      </c>
      <c r="AA57" s="337">
        <f t="shared" si="73"/>
        <v>1</v>
      </c>
      <c r="AB57" s="337">
        <f>+AB52+AB55</f>
        <v>1</v>
      </c>
      <c r="AC57" s="337">
        <f t="shared" si="73"/>
        <v>1</v>
      </c>
      <c r="AD57" s="337">
        <f t="shared" si="73"/>
        <v>1</v>
      </c>
      <c r="AE57" s="337">
        <f t="shared" si="73"/>
        <v>1</v>
      </c>
      <c r="AF57" s="337">
        <f t="shared" si="73"/>
        <v>1</v>
      </c>
      <c r="AG57" s="337">
        <f t="shared" si="73"/>
        <v>1</v>
      </c>
      <c r="AH57" s="337">
        <f t="shared" si="73"/>
        <v>1</v>
      </c>
      <c r="AI57" s="337">
        <f t="shared" si="73"/>
        <v>1</v>
      </c>
      <c r="AJ57" s="337">
        <f t="shared" si="73"/>
        <v>0.64</v>
      </c>
      <c r="AK57" s="337">
        <f t="shared" si="73"/>
        <v>1</v>
      </c>
      <c r="AL57" s="337">
        <f t="shared" si="73"/>
        <v>0.877</v>
      </c>
      <c r="AM57" s="337">
        <f t="shared" si="73"/>
        <v>1</v>
      </c>
      <c r="AN57" s="337">
        <f t="shared" ref="AN57:AZ57" si="74">+AN52+AN55</f>
        <v>0.91600000000000004</v>
      </c>
      <c r="AO57" s="337">
        <f t="shared" si="74"/>
        <v>1</v>
      </c>
      <c r="AP57" s="337">
        <f t="shared" si="74"/>
        <v>1</v>
      </c>
      <c r="AQ57" s="337">
        <f t="shared" si="74"/>
        <v>1</v>
      </c>
      <c r="AR57" s="337">
        <f t="shared" si="74"/>
        <v>0.91300000000000003</v>
      </c>
      <c r="AS57" s="337">
        <f t="shared" si="74"/>
        <v>1</v>
      </c>
      <c r="AT57" s="337">
        <f t="shared" si="74"/>
        <v>1</v>
      </c>
      <c r="AU57" s="337">
        <f t="shared" si="74"/>
        <v>1</v>
      </c>
      <c r="AV57" s="337">
        <f t="shared" si="74"/>
        <v>1</v>
      </c>
      <c r="AW57" s="337">
        <f t="shared" si="74"/>
        <v>1</v>
      </c>
      <c r="AX57" s="337">
        <f t="shared" si="74"/>
        <v>1</v>
      </c>
      <c r="AY57" s="337">
        <f t="shared" si="74"/>
        <v>1</v>
      </c>
      <c r="AZ57" s="337">
        <f t="shared" si="74"/>
        <v>1</v>
      </c>
      <c r="BA57" s="337">
        <f t="shared" ref="BA57:DL57" si="75">+BA52+BA55</f>
        <v>1</v>
      </c>
      <c r="BB57" s="337">
        <f t="shared" si="75"/>
        <v>1</v>
      </c>
      <c r="BC57" s="337">
        <f t="shared" si="75"/>
        <v>1</v>
      </c>
      <c r="BD57" s="337">
        <f t="shared" si="75"/>
        <v>1</v>
      </c>
      <c r="BE57" s="337">
        <f t="shared" si="75"/>
        <v>1</v>
      </c>
      <c r="BF57" s="337">
        <f t="shared" si="75"/>
        <v>1</v>
      </c>
      <c r="BG57" s="337">
        <f t="shared" si="75"/>
        <v>1</v>
      </c>
      <c r="BH57" s="337">
        <f t="shared" si="75"/>
        <v>1</v>
      </c>
      <c r="BI57" s="337">
        <f t="shared" si="75"/>
        <v>1</v>
      </c>
      <c r="BJ57" s="337">
        <f>+BJ52+BJ55</f>
        <v>1</v>
      </c>
      <c r="BK57" s="337">
        <f t="shared" si="75"/>
        <v>1</v>
      </c>
      <c r="BL57" s="337">
        <f t="shared" si="75"/>
        <v>1</v>
      </c>
      <c r="BM57" s="337">
        <f t="shared" si="75"/>
        <v>1</v>
      </c>
      <c r="BN57" s="337">
        <f t="shared" si="75"/>
        <v>1</v>
      </c>
      <c r="BO57" s="337">
        <f t="shared" si="75"/>
        <v>1</v>
      </c>
      <c r="BP57" s="337">
        <f t="shared" si="75"/>
        <v>1</v>
      </c>
      <c r="BQ57" s="337">
        <f t="shared" si="75"/>
        <v>1</v>
      </c>
      <c r="BR57" s="337">
        <f t="shared" si="75"/>
        <v>1</v>
      </c>
      <c r="BS57" s="337">
        <f t="shared" si="75"/>
        <v>1</v>
      </c>
      <c r="BT57" s="337">
        <f t="shared" si="75"/>
        <v>1</v>
      </c>
      <c r="BU57" s="337">
        <f t="shared" si="75"/>
        <v>1</v>
      </c>
      <c r="BV57" s="337">
        <f t="shared" si="75"/>
        <v>1</v>
      </c>
      <c r="BW57" s="337">
        <f t="shared" si="75"/>
        <v>1</v>
      </c>
      <c r="BX57" s="337">
        <f t="shared" si="75"/>
        <v>1</v>
      </c>
      <c r="BY57" s="337">
        <f t="shared" si="75"/>
        <v>1</v>
      </c>
      <c r="BZ57" s="337">
        <f t="shared" si="75"/>
        <v>0.92849999999999999</v>
      </c>
      <c r="CA57" s="337">
        <f t="shared" si="75"/>
        <v>1</v>
      </c>
      <c r="CB57" s="337">
        <f t="shared" si="75"/>
        <v>1</v>
      </c>
      <c r="CC57" s="337">
        <f t="shared" si="75"/>
        <v>1</v>
      </c>
      <c r="CD57" s="337">
        <f t="shared" si="75"/>
        <v>1</v>
      </c>
      <c r="CE57" s="337">
        <f>+CE52+CE55</f>
        <v>1</v>
      </c>
      <c r="CF57" s="337">
        <f>+CF52+CF55</f>
        <v>1</v>
      </c>
      <c r="CG57" s="337">
        <f>+CG52+CG55</f>
        <v>1</v>
      </c>
      <c r="CH57" s="337">
        <f>+CH52+CH55</f>
        <v>1</v>
      </c>
      <c r="CI57" s="337">
        <f>+CI52+CI55</f>
        <v>1</v>
      </c>
      <c r="CJ57" s="337">
        <f t="shared" si="75"/>
        <v>1</v>
      </c>
      <c r="CK57" s="337">
        <f t="shared" si="75"/>
        <v>0</v>
      </c>
      <c r="CL57" s="337">
        <f t="shared" si="75"/>
        <v>0</v>
      </c>
      <c r="CM57" s="337">
        <f t="shared" si="75"/>
        <v>0</v>
      </c>
      <c r="CN57" s="337">
        <f t="shared" si="75"/>
        <v>0</v>
      </c>
      <c r="CO57" s="337">
        <f t="shared" si="75"/>
        <v>0</v>
      </c>
      <c r="CP57" s="337">
        <f t="shared" si="75"/>
        <v>0</v>
      </c>
      <c r="CQ57" s="337">
        <f t="shared" si="75"/>
        <v>0</v>
      </c>
      <c r="CR57" s="337">
        <f t="shared" si="75"/>
        <v>0</v>
      </c>
      <c r="CS57" s="337">
        <f t="shared" si="75"/>
        <v>0</v>
      </c>
      <c r="CT57" s="337">
        <f t="shared" si="75"/>
        <v>0</v>
      </c>
      <c r="CU57" s="337">
        <f t="shared" si="75"/>
        <v>0</v>
      </c>
      <c r="CV57" s="337">
        <f t="shared" si="75"/>
        <v>0</v>
      </c>
      <c r="CW57" s="337">
        <f t="shared" si="75"/>
        <v>0</v>
      </c>
      <c r="CX57" s="337">
        <f t="shared" si="75"/>
        <v>0</v>
      </c>
      <c r="CY57" s="337">
        <f t="shared" si="75"/>
        <v>0</v>
      </c>
      <c r="CZ57" s="337">
        <f t="shared" si="75"/>
        <v>0</v>
      </c>
      <c r="DA57" s="337">
        <f t="shared" si="75"/>
        <v>0</v>
      </c>
      <c r="DB57" s="337">
        <f t="shared" si="75"/>
        <v>0</v>
      </c>
      <c r="DC57" s="337">
        <f t="shared" si="75"/>
        <v>0</v>
      </c>
      <c r="DD57" s="337">
        <f t="shared" si="75"/>
        <v>0</v>
      </c>
      <c r="DE57" s="337">
        <f t="shared" si="75"/>
        <v>0</v>
      </c>
      <c r="DF57" s="337">
        <f t="shared" si="75"/>
        <v>0</v>
      </c>
      <c r="DG57" s="337">
        <f t="shared" si="75"/>
        <v>0</v>
      </c>
      <c r="DH57" s="337">
        <f t="shared" si="75"/>
        <v>0</v>
      </c>
      <c r="DI57" s="337">
        <f t="shared" si="75"/>
        <v>0</v>
      </c>
      <c r="DJ57" s="337">
        <f t="shared" si="75"/>
        <v>0</v>
      </c>
      <c r="DK57" s="337">
        <f t="shared" si="75"/>
        <v>0</v>
      </c>
      <c r="DL57" s="337">
        <f t="shared" si="75"/>
        <v>0</v>
      </c>
      <c r="DM57" s="337">
        <f>+DM52+DM55</f>
        <v>0</v>
      </c>
      <c r="DN57" s="337">
        <f>+DN52+DN55</f>
        <v>1</v>
      </c>
      <c r="DO57" s="408"/>
      <c r="DP57" s="408"/>
      <c r="DQ57" s="408"/>
      <c r="DR57" s="408"/>
      <c r="DS57" s="408"/>
      <c r="DT57" s="408"/>
      <c r="DU57" s="408"/>
      <c r="DV57" s="408"/>
      <c r="DW57" s="408"/>
      <c r="DX57" s="408"/>
      <c r="DY57" s="408"/>
      <c r="DZ57" s="408"/>
      <c r="EA57" s="408"/>
      <c r="EB57" s="408"/>
      <c r="EC57" s="408"/>
      <c r="ED57" s="408"/>
      <c r="EE57" s="408"/>
      <c r="EF57" s="408"/>
      <c r="EG57" s="408"/>
      <c r="EH57" s="408"/>
      <c r="EI57" s="408"/>
      <c r="EJ57" s="408"/>
      <c r="EK57" s="408"/>
      <c r="EL57" s="408"/>
      <c r="EM57" s="409">
        <f>EI57+EG57+EE57+EC57+EA57+DY57+DW57+DU57+DS57+DQ57+DO57+EK57</f>
        <v>0</v>
      </c>
      <c r="EN57" s="410"/>
      <c r="EO57" s="410">
        <f t="shared" si="72"/>
        <v>0</v>
      </c>
      <c r="EP57" s="409">
        <f>DQ57+DS57+DU57+DW57+DY57+EA57+EC57+EE57+EG57+EI57+EK57+DO57</f>
        <v>0</v>
      </c>
      <c r="EQ57" s="410">
        <f>DR57+DT57+DV57+DP57</f>
        <v>0</v>
      </c>
      <c r="ER57" s="343">
        <f t="shared" si="4"/>
        <v>1</v>
      </c>
      <c r="ES57" s="280">
        <f t="shared" si="6"/>
        <v>1</v>
      </c>
      <c r="ET57" s="281">
        <f t="shared" si="7"/>
        <v>1</v>
      </c>
      <c r="EU57" s="282">
        <f t="shared" si="5"/>
        <v>1</v>
      </c>
      <c r="EV57" s="281">
        <f>+(AA57+BE57+CI57)/500%</f>
        <v>0.6</v>
      </c>
      <c r="EW57" s="477"/>
      <c r="EX57" s="475" t="s">
        <v>568</v>
      </c>
      <c r="EY57" s="475" t="s">
        <v>568</v>
      </c>
      <c r="EZ57" s="475"/>
      <c r="FA57" s="475"/>
      <c r="FB57" s="479"/>
    </row>
    <row r="58" spans="1:158" s="52" customFormat="1" ht="42.75" customHeight="1" thickBot="1" x14ac:dyDescent="0.3">
      <c r="A58" s="515"/>
      <c r="B58" s="515"/>
      <c r="C58" s="515"/>
      <c r="D58" s="515"/>
      <c r="E58" s="515"/>
      <c r="F58" s="312" t="s">
        <v>44</v>
      </c>
      <c r="G58" s="287">
        <f>+G53+G56</f>
        <v>3033768899</v>
      </c>
      <c r="H58" s="358">
        <f>+H53+H56</f>
        <v>637668702</v>
      </c>
      <c r="I58" s="358"/>
      <c r="J58" s="358"/>
      <c r="K58" s="358"/>
      <c r="L58" s="358"/>
      <c r="M58" s="358"/>
      <c r="N58" s="358"/>
      <c r="O58" s="358"/>
      <c r="P58" s="358"/>
      <c r="Q58" s="358"/>
      <c r="R58" s="358"/>
      <c r="S58" s="358"/>
      <c r="T58" s="359"/>
      <c r="U58" s="358"/>
      <c r="V58" s="358"/>
      <c r="W58" s="358">
        <f t="shared" ref="W58:AM58" si="76">+W53+W56</f>
        <v>637668702</v>
      </c>
      <c r="X58" s="358">
        <f t="shared" si="76"/>
        <v>637668702</v>
      </c>
      <c r="Y58" s="358">
        <f t="shared" si="76"/>
        <v>447516000</v>
      </c>
      <c r="Z58" s="358">
        <f t="shared" si="76"/>
        <v>637668702</v>
      </c>
      <c r="AA58" s="358">
        <f t="shared" si="76"/>
        <v>447516000</v>
      </c>
      <c r="AB58" s="358">
        <f>+AB53+AB56</f>
        <v>822844135</v>
      </c>
      <c r="AC58" s="358">
        <f t="shared" si="76"/>
        <v>56494567</v>
      </c>
      <c r="AD58" s="358">
        <f t="shared" si="76"/>
        <v>56494567</v>
      </c>
      <c r="AE58" s="358">
        <f t="shared" si="76"/>
        <v>382600034</v>
      </c>
      <c r="AF58" s="358">
        <f t="shared" si="76"/>
        <v>382600034</v>
      </c>
      <c r="AG58" s="358">
        <f t="shared" si="76"/>
        <v>96979000</v>
      </c>
      <c r="AH58" s="358">
        <f t="shared" si="76"/>
        <v>96979000</v>
      </c>
      <c r="AI58" s="358">
        <f t="shared" si="76"/>
        <v>103601667</v>
      </c>
      <c r="AJ58" s="358">
        <f t="shared" si="76"/>
        <v>103601667</v>
      </c>
      <c r="AK58" s="358">
        <f t="shared" si="76"/>
        <v>3746000</v>
      </c>
      <c r="AL58" s="358">
        <f t="shared" si="76"/>
        <v>3746000</v>
      </c>
      <c r="AM58" s="358">
        <f t="shared" si="76"/>
        <v>3870867</v>
      </c>
      <c r="AN58" s="358">
        <f t="shared" ref="AN58:AZ58" si="77">+AN53+AN56</f>
        <v>3870867</v>
      </c>
      <c r="AO58" s="358">
        <f t="shared" si="77"/>
        <v>0</v>
      </c>
      <c r="AP58" s="358">
        <f t="shared" si="77"/>
        <v>0</v>
      </c>
      <c r="AQ58" s="358">
        <f t="shared" si="77"/>
        <v>36785066.666666672</v>
      </c>
      <c r="AR58" s="358">
        <f t="shared" si="77"/>
        <v>0</v>
      </c>
      <c r="AS58" s="358">
        <f t="shared" si="77"/>
        <v>-96942863.333333328</v>
      </c>
      <c r="AT58" s="358">
        <f t="shared" si="77"/>
        <v>0</v>
      </c>
      <c r="AU58" s="358">
        <f t="shared" si="77"/>
        <v>36785066.666666672</v>
      </c>
      <c r="AV58" s="358">
        <f t="shared" si="77"/>
        <v>27531699</v>
      </c>
      <c r="AW58" s="358">
        <f t="shared" si="77"/>
        <v>32598400</v>
      </c>
      <c r="AX58" s="358">
        <f t="shared" si="77"/>
        <v>13283666</v>
      </c>
      <c r="AY58" s="358">
        <f t="shared" si="77"/>
        <v>32598400</v>
      </c>
      <c r="AZ58" s="358">
        <f t="shared" si="77"/>
        <v>0</v>
      </c>
      <c r="BA58" s="358">
        <f t="shared" ref="BA58:DL58" si="78">+BA53+BA56</f>
        <v>689116205</v>
      </c>
      <c r="BB58" s="358">
        <f>+BB53+BB56</f>
        <v>689116205</v>
      </c>
      <c r="BC58" s="358">
        <f t="shared" si="78"/>
        <v>688107500</v>
      </c>
      <c r="BD58" s="358">
        <f t="shared" si="78"/>
        <v>689116205</v>
      </c>
      <c r="BE58" s="358">
        <f t="shared" si="78"/>
        <v>688107500</v>
      </c>
      <c r="BF58" s="358">
        <f t="shared" si="78"/>
        <v>750842399</v>
      </c>
      <c r="BG58" s="358">
        <f t="shared" si="78"/>
        <v>748202399</v>
      </c>
      <c r="BH58" s="358">
        <f t="shared" si="78"/>
        <v>585413000</v>
      </c>
      <c r="BI58" s="358">
        <f t="shared" si="78"/>
        <v>0</v>
      </c>
      <c r="BJ58" s="358">
        <f>+BJ53+BJ56</f>
        <v>25802399</v>
      </c>
      <c r="BK58" s="358">
        <f>+BK53+BK56</f>
        <v>-136987000</v>
      </c>
      <c r="BL58" s="358">
        <f>+BL53+BL56</f>
        <v>0</v>
      </c>
      <c r="BM58" s="358">
        <f t="shared" si="78"/>
        <v>0</v>
      </c>
      <c r="BN58" s="358">
        <f>+BN53+BN56</f>
        <v>0</v>
      </c>
      <c r="BO58" s="358">
        <f t="shared" si="78"/>
        <v>0</v>
      </c>
      <c r="BP58" s="358">
        <f t="shared" si="78"/>
        <v>0</v>
      </c>
      <c r="BQ58" s="358">
        <f t="shared" si="78"/>
        <v>0</v>
      </c>
      <c r="BR58" s="358">
        <f t="shared" si="78"/>
        <v>0</v>
      </c>
      <c r="BS58" s="358">
        <f t="shared" si="78"/>
        <v>0</v>
      </c>
      <c r="BT58" s="358">
        <f t="shared" si="78"/>
        <v>0</v>
      </c>
      <c r="BU58" s="358">
        <f t="shared" si="78"/>
        <v>2640000</v>
      </c>
      <c r="BV58" s="358">
        <f t="shared" si="78"/>
        <v>0</v>
      </c>
      <c r="BW58" s="358">
        <f t="shared" si="78"/>
        <v>76803767</v>
      </c>
      <c r="BX58" s="358">
        <f t="shared" si="78"/>
        <v>12040000</v>
      </c>
      <c r="BY58" s="358">
        <f t="shared" si="78"/>
        <v>-793767</v>
      </c>
      <c r="BZ58" s="358">
        <f t="shared" si="78"/>
        <v>46709200</v>
      </c>
      <c r="CA58" s="358">
        <f t="shared" si="78"/>
        <v>0</v>
      </c>
      <c r="CB58" s="358">
        <f t="shared" si="78"/>
        <v>19900800</v>
      </c>
      <c r="CC58" s="358">
        <f t="shared" si="78"/>
        <v>0</v>
      </c>
      <c r="CD58" s="358">
        <f t="shared" si="78"/>
        <v>0</v>
      </c>
      <c r="CE58" s="358">
        <f t="shared" si="78"/>
        <v>689865399</v>
      </c>
      <c r="CF58" s="358">
        <f t="shared" si="78"/>
        <v>689865399</v>
      </c>
      <c r="CG58" s="358">
        <f t="shared" si="78"/>
        <v>689865399</v>
      </c>
      <c r="CH58" s="358">
        <f t="shared" si="78"/>
        <v>689865399</v>
      </c>
      <c r="CI58" s="358">
        <f t="shared" si="78"/>
        <v>689865399</v>
      </c>
      <c r="CJ58" s="358">
        <f t="shared" si="78"/>
        <v>758280000</v>
      </c>
      <c r="CK58" s="358">
        <f t="shared" si="78"/>
        <v>0</v>
      </c>
      <c r="CL58" s="358">
        <f t="shared" si="78"/>
        <v>0</v>
      </c>
      <c r="CM58" s="358">
        <f t="shared" si="78"/>
        <v>0</v>
      </c>
      <c r="CN58" s="358">
        <f t="shared" si="78"/>
        <v>0</v>
      </c>
      <c r="CO58" s="358">
        <f t="shared" si="78"/>
        <v>0</v>
      </c>
      <c r="CP58" s="358">
        <f t="shared" si="78"/>
        <v>0</v>
      </c>
      <c r="CQ58" s="358">
        <f t="shared" si="78"/>
        <v>0</v>
      </c>
      <c r="CR58" s="358">
        <f t="shared" si="78"/>
        <v>0</v>
      </c>
      <c r="CS58" s="358">
        <f t="shared" si="78"/>
        <v>0</v>
      </c>
      <c r="CT58" s="358">
        <f t="shared" si="78"/>
        <v>0</v>
      </c>
      <c r="CU58" s="358">
        <f t="shared" si="78"/>
        <v>0</v>
      </c>
      <c r="CV58" s="358">
        <f t="shared" si="78"/>
        <v>0</v>
      </c>
      <c r="CW58" s="358">
        <f t="shared" si="78"/>
        <v>0</v>
      </c>
      <c r="CX58" s="358">
        <f t="shared" si="78"/>
        <v>0</v>
      </c>
      <c r="CY58" s="358">
        <f t="shared" si="78"/>
        <v>0</v>
      </c>
      <c r="CZ58" s="358">
        <f t="shared" si="78"/>
        <v>0</v>
      </c>
      <c r="DA58" s="358">
        <f t="shared" si="78"/>
        <v>0</v>
      </c>
      <c r="DB58" s="358">
        <f t="shared" si="78"/>
        <v>0</v>
      </c>
      <c r="DC58" s="358">
        <f t="shared" si="78"/>
        <v>0</v>
      </c>
      <c r="DD58" s="358">
        <f t="shared" si="78"/>
        <v>0</v>
      </c>
      <c r="DE58" s="358">
        <f t="shared" si="78"/>
        <v>0</v>
      </c>
      <c r="DF58" s="358">
        <f t="shared" si="78"/>
        <v>0</v>
      </c>
      <c r="DG58" s="358">
        <f t="shared" si="78"/>
        <v>0</v>
      </c>
      <c r="DH58" s="358">
        <f t="shared" si="78"/>
        <v>0</v>
      </c>
      <c r="DI58" s="358">
        <f t="shared" si="78"/>
        <v>0</v>
      </c>
      <c r="DJ58" s="358">
        <f t="shared" si="78"/>
        <v>0</v>
      </c>
      <c r="DK58" s="358">
        <f t="shared" si="78"/>
        <v>0</v>
      </c>
      <c r="DL58" s="358">
        <f t="shared" si="78"/>
        <v>0</v>
      </c>
      <c r="DM58" s="358">
        <f>+DM53+DM56</f>
        <v>0</v>
      </c>
      <c r="DN58" s="358">
        <f>+DN53+DN56</f>
        <v>450000000</v>
      </c>
      <c r="DO58" s="386"/>
      <c r="DP58" s="386"/>
      <c r="DQ58" s="386"/>
      <c r="DR58" s="386"/>
      <c r="DS58" s="386"/>
      <c r="DT58" s="386"/>
      <c r="DU58" s="386"/>
      <c r="DV58" s="386"/>
      <c r="DW58" s="386"/>
      <c r="DX58" s="386"/>
      <c r="DY58" s="386"/>
      <c r="DZ58" s="386"/>
      <c r="EA58" s="386"/>
      <c r="EB58" s="386"/>
      <c r="EC58" s="386"/>
      <c r="ED58" s="386"/>
      <c r="EE58" s="386"/>
      <c r="EF58" s="386"/>
      <c r="EG58" s="386"/>
      <c r="EH58" s="386"/>
      <c r="EI58" s="386"/>
      <c r="EJ58" s="386"/>
      <c r="EK58" s="386"/>
      <c r="EL58" s="386"/>
      <c r="EM58" s="387">
        <f>EK58+EI58+EG58+EE58+EC58+EA58+DY58+DW58+DU58+DS58+DQ58+DO58</f>
        <v>0</v>
      </c>
      <c r="EN58" s="388">
        <f>+EN53+EN56</f>
        <v>0</v>
      </c>
      <c r="EO58" s="389">
        <f>EO53+EO56</f>
        <v>0</v>
      </c>
      <c r="EP58" s="388">
        <f>+EP53+EP56</f>
        <v>0</v>
      </c>
      <c r="EQ58" s="388">
        <f>+EQ53+EQ56</f>
        <v>0</v>
      </c>
      <c r="ER58" s="365" t="e">
        <f t="shared" ref="ER58" si="79">+CB58/CA58</f>
        <v>#DIV/0!</v>
      </c>
      <c r="ES58" s="283">
        <f t="shared" si="6"/>
        <v>1</v>
      </c>
      <c r="ET58" s="284">
        <f t="shared" si="7"/>
        <v>1</v>
      </c>
      <c r="EU58" s="285">
        <f>(AA58+BE58+CG58)/(Z58+BD58+CF58)</f>
        <v>0.90520845065143385</v>
      </c>
      <c r="EV58" s="286">
        <f t="shared" si="8"/>
        <v>0.60172312386804516</v>
      </c>
      <c r="EW58" s="478"/>
      <c r="EX58" s="475" t="s">
        <v>568</v>
      </c>
      <c r="EY58" s="475" t="s">
        <v>568</v>
      </c>
      <c r="EZ58" s="475"/>
      <c r="FA58" s="475"/>
      <c r="FB58" s="479"/>
    </row>
    <row r="59" spans="1:158" s="142" customFormat="1" ht="42.75" customHeight="1" x14ac:dyDescent="0.25">
      <c r="A59" s="522" t="s">
        <v>5</v>
      </c>
      <c r="B59" s="522"/>
      <c r="C59" s="522"/>
      <c r="D59" s="522"/>
      <c r="E59" s="522"/>
      <c r="F59" s="314" t="s">
        <v>43</v>
      </c>
      <c r="G59" s="415">
        <f>+G11+G18+G25+G32+G39+G46+G53</f>
        <v>51447684890</v>
      </c>
      <c r="H59" s="416">
        <f t="shared" ref="H59:BS59" si="80">+H11+H18+H25+H32+H39+H46+H53</f>
        <v>4935454528</v>
      </c>
      <c r="I59" s="416">
        <f t="shared" si="80"/>
        <v>0</v>
      </c>
      <c r="J59" s="416">
        <f t="shared" si="80"/>
        <v>0</v>
      </c>
      <c r="K59" s="416">
        <f t="shared" si="80"/>
        <v>0</v>
      </c>
      <c r="L59" s="416">
        <f t="shared" si="80"/>
        <v>0</v>
      </c>
      <c r="M59" s="416">
        <f t="shared" si="80"/>
        <v>0</v>
      </c>
      <c r="N59" s="416">
        <f t="shared" si="80"/>
        <v>0</v>
      </c>
      <c r="O59" s="416">
        <f t="shared" si="80"/>
        <v>0</v>
      </c>
      <c r="P59" s="416">
        <f t="shared" si="80"/>
        <v>0</v>
      </c>
      <c r="Q59" s="416">
        <f t="shared" si="80"/>
        <v>0</v>
      </c>
      <c r="R59" s="416">
        <f t="shared" si="80"/>
        <v>0</v>
      </c>
      <c r="S59" s="416">
        <f t="shared" si="80"/>
        <v>0</v>
      </c>
      <c r="T59" s="416">
        <f t="shared" si="80"/>
        <v>0</v>
      </c>
      <c r="U59" s="416">
        <f t="shared" si="80"/>
        <v>0</v>
      </c>
      <c r="V59" s="416">
        <f t="shared" si="80"/>
        <v>0</v>
      </c>
      <c r="W59" s="416">
        <f t="shared" si="80"/>
        <v>4935454528</v>
      </c>
      <c r="X59" s="416">
        <f t="shared" si="80"/>
        <v>4935454528</v>
      </c>
      <c r="Y59" s="416">
        <f t="shared" si="80"/>
        <v>4588924316</v>
      </c>
      <c r="Z59" s="416">
        <f t="shared" si="80"/>
        <v>4935454528</v>
      </c>
      <c r="AA59" s="416">
        <f t="shared" si="80"/>
        <v>4588924316</v>
      </c>
      <c r="AB59" s="416">
        <f>+AB11+AB18+AB25+AB32+AB39+AB46+AB53</f>
        <v>10067880000</v>
      </c>
      <c r="AC59" s="416">
        <f t="shared" si="80"/>
        <v>0</v>
      </c>
      <c r="AD59" s="416">
        <f t="shared" si="80"/>
        <v>0</v>
      </c>
      <c r="AE59" s="416">
        <f t="shared" si="80"/>
        <v>2665269000</v>
      </c>
      <c r="AF59" s="416">
        <f t="shared" si="80"/>
        <v>2665269000</v>
      </c>
      <c r="AG59" s="416">
        <f t="shared" si="80"/>
        <v>3685714150</v>
      </c>
      <c r="AH59" s="416">
        <f t="shared" si="80"/>
        <v>3685714150</v>
      </c>
      <c r="AI59" s="416">
        <f t="shared" si="80"/>
        <v>881440491</v>
      </c>
      <c r="AJ59" s="416">
        <f t="shared" si="80"/>
        <v>472650491</v>
      </c>
      <c r="AK59" s="416">
        <f t="shared" si="80"/>
        <v>38307944</v>
      </c>
      <c r="AL59" s="416">
        <f t="shared" si="80"/>
        <v>38307944</v>
      </c>
      <c r="AM59" s="416">
        <f>+AM11+AM18+AM25+AM32+AM39+AM46+AM53</f>
        <v>602029987.66666663</v>
      </c>
      <c r="AN59" s="416">
        <f>+AN11+AN18+AN25+AN32+AN39+AN46+AN53</f>
        <v>702989174</v>
      </c>
      <c r="AO59" s="416">
        <f t="shared" si="80"/>
        <v>0</v>
      </c>
      <c r="AP59" s="416">
        <f t="shared" si="80"/>
        <v>24890000</v>
      </c>
      <c r="AQ59" s="416">
        <f t="shared" si="80"/>
        <v>570434551.00000024</v>
      </c>
      <c r="AR59" s="416">
        <f t="shared" si="80"/>
        <v>36764000</v>
      </c>
      <c r="AS59" s="416">
        <f t="shared" si="80"/>
        <v>546934551.00000024</v>
      </c>
      <c r="AT59" s="416">
        <f t="shared" si="80"/>
        <v>81226335</v>
      </c>
      <c r="AU59" s="416">
        <f t="shared" si="80"/>
        <v>425505170.33333331</v>
      </c>
      <c r="AV59" s="417">
        <f>+AV11+AV18+AV25+AV32+AV39+AV46+AV53</f>
        <v>334066472</v>
      </c>
      <c r="AW59" s="417">
        <f t="shared" si="80"/>
        <v>314372077</v>
      </c>
      <c r="AX59" s="417">
        <f>+AX11+AX18+AX25+AX32+AX39+AX46+AX53</f>
        <v>783609288</v>
      </c>
      <c r="AY59" s="417">
        <f t="shared" si="80"/>
        <v>314372078</v>
      </c>
      <c r="AZ59" s="417">
        <f t="shared" si="80"/>
        <v>811678864</v>
      </c>
      <c r="BA59" s="417">
        <f>+BA11+BA18+BA25+BA32+BA39+BA46+BA53</f>
        <v>10044380000</v>
      </c>
      <c r="BB59" s="417">
        <f>+BB11+BB18+BB25+BB32+BB39+BB46+BB53</f>
        <v>10044380000</v>
      </c>
      <c r="BC59" s="417">
        <f>+BC11+BC18+BC25+BC32+BC39+BC46+BC53</f>
        <v>9637165718</v>
      </c>
      <c r="BD59" s="417">
        <f t="shared" si="80"/>
        <v>10044380000</v>
      </c>
      <c r="BE59" s="417">
        <f t="shared" si="80"/>
        <v>9637165718</v>
      </c>
      <c r="BF59" s="416">
        <f t="shared" si="80"/>
        <v>16468441000</v>
      </c>
      <c r="BG59" s="416">
        <f t="shared" si="80"/>
        <v>9170512000</v>
      </c>
      <c r="BH59" s="416">
        <f t="shared" si="80"/>
        <v>8662799908</v>
      </c>
      <c r="BI59" s="416">
        <f>+BI11+BI18+BI25+BI32+BI39+BI46+BI53</f>
        <v>28000000</v>
      </c>
      <c r="BJ59" s="416">
        <f>+BJ11+BJ18+BJ25+BJ32+BJ39+BJ46+BJ53</f>
        <v>0</v>
      </c>
      <c r="BK59" s="416">
        <f t="shared" si="80"/>
        <v>1968874000</v>
      </c>
      <c r="BL59" s="416">
        <f>+BL11+BL18+BL25+BL32+BL39+BL46+BL53</f>
        <v>50000000</v>
      </c>
      <c r="BM59" s="416">
        <f t="shared" si="80"/>
        <v>871146000</v>
      </c>
      <c r="BN59" s="416">
        <f>+BN11+BN18+BN25+BN32+BN39+BN46+BN53</f>
        <v>0</v>
      </c>
      <c r="BO59" s="416">
        <f t="shared" si="80"/>
        <v>20000000</v>
      </c>
      <c r="BP59" s="416">
        <f t="shared" si="80"/>
        <v>274596000</v>
      </c>
      <c r="BQ59" s="416">
        <f t="shared" si="80"/>
        <v>4197269000</v>
      </c>
      <c r="BR59" s="416">
        <f t="shared" si="80"/>
        <v>134020000</v>
      </c>
      <c r="BS59" s="416">
        <f t="shared" si="80"/>
        <v>0</v>
      </c>
      <c r="BT59" s="416">
        <f t="shared" ref="BT59:DN59" si="81">+BT11+BT18+BT25+BT32+BT39+BT46+BT53</f>
        <v>-45866000</v>
      </c>
      <c r="BU59" s="416">
        <f>+BU11+BU18+BU25+BU32+BU39+BU46+BU53</f>
        <v>172640000</v>
      </c>
      <c r="BV59" s="416">
        <f>+BV11+BV18+BV25+BV32+BV39+BV46+BV53</f>
        <v>14028000</v>
      </c>
      <c r="BW59" s="416">
        <f>+BW11+BW18+BW25+BW32+BW39+BW46+BW53</f>
        <v>35000000</v>
      </c>
      <c r="BX59" s="416">
        <f t="shared" si="81"/>
        <v>456347834</v>
      </c>
      <c r="BY59" s="416">
        <f t="shared" si="81"/>
        <v>1382688113</v>
      </c>
      <c r="BZ59" s="416">
        <f t="shared" si="81"/>
        <v>1309394460</v>
      </c>
      <c r="CA59" s="416">
        <f t="shared" si="81"/>
        <v>211140743</v>
      </c>
      <c r="CB59" s="416">
        <f>+CB11+CB18+CB25+CB32+CB39+CB46+CB53</f>
        <v>3776030439</v>
      </c>
      <c r="CC59" s="416">
        <f t="shared" si="81"/>
        <v>-250000000</v>
      </c>
      <c r="CD59" s="416">
        <f t="shared" si="81"/>
        <v>2358468147</v>
      </c>
      <c r="CE59" s="416">
        <f>+CE11+CE18+CE25+CE32+CE39+CE46+CE53</f>
        <v>17807269856</v>
      </c>
      <c r="CF59" s="416">
        <f t="shared" si="81"/>
        <v>17807269856</v>
      </c>
      <c r="CG59" s="416">
        <f>+CG11+CG18+CG25+CG32+CG39+CG46+CG53</f>
        <v>16989818788</v>
      </c>
      <c r="CH59" s="416">
        <f t="shared" si="81"/>
        <v>17807269856</v>
      </c>
      <c r="CI59" s="416">
        <f t="shared" si="81"/>
        <v>16989818788</v>
      </c>
      <c r="CJ59" s="416">
        <f t="shared" si="81"/>
        <v>12385882000</v>
      </c>
      <c r="CK59" s="416">
        <f t="shared" si="81"/>
        <v>0</v>
      </c>
      <c r="CL59" s="416">
        <f t="shared" si="81"/>
        <v>0</v>
      </c>
      <c r="CM59" s="416">
        <f t="shared" si="81"/>
        <v>0</v>
      </c>
      <c r="CN59" s="416">
        <f t="shared" si="81"/>
        <v>0</v>
      </c>
      <c r="CO59" s="416">
        <f t="shared" si="81"/>
        <v>0</v>
      </c>
      <c r="CP59" s="416">
        <f t="shared" si="81"/>
        <v>0</v>
      </c>
      <c r="CQ59" s="416">
        <f t="shared" si="81"/>
        <v>0</v>
      </c>
      <c r="CR59" s="416">
        <f t="shared" si="81"/>
        <v>0</v>
      </c>
      <c r="CS59" s="416">
        <f t="shared" si="81"/>
        <v>0</v>
      </c>
      <c r="CT59" s="416">
        <f t="shared" si="81"/>
        <v>0</v>
      </c>
      <c r="CU59" s="416">
        <f t="shared" si="81"/>
        <v>0</v>
      </c>
      <c r="CV59" s="416">
        <f t="shared" si="81"/>
        <v>0</v>
      </c>
      <c r="CW59" s="416">
        <f t="shared" si="81"/>
        <v>0</v>
      </c>
      <c r="CX59" s="416">
        <f t="shared" si="81"/>
        <v>0</v>
      </c>
      <c r="CY59" s="416">
        <f t="shared" si="81"/>
        <v>0</v>
      </c>
      <c r="CZ59" s="416">
        <f t="shared" si="81"/>
        <v>0</v>
      </c>
      <c r="DA59" s="416">
        <f t="shared" si="81"/>
        <v>0</v>
      </c>
      <c r="DB59" s="416">
        <f t="shared" si="81"/>
        <v>0</v>
      </c>
      <c r="DC59" s="416">
        <f t="shared" si="81"/>
        <v>0</v>
      </c>
      <c r="DD59" s="416">
        <f t="shared" si="81"/>
        <v>0</v>
      </c>
      <c r="DE59" s="416">
        <f t="shared" si="81"/>
        <v>0</v>
      </c>
      <c r="DF59" s="416">
        <f t="shared" si="81"/>
        <v>0</v>
      </c>
      <c r="DG59" s="416">
        <f t="shared" si="81"/>
        <v>0</v>
      </c>
      <c r="DH59" s="416">
        <f t="shared" si="81"/>
        <v>0</v>
      </c>
      <c r="DI59" s="416">
        <f t="shared" si="81"/>
        <v>0</v>
      </c>
      <c r="DJ59" s="416">
        <f t="shared" si="81"/>
        <v>0</v>
      </c>
      <c r="DK59" s="416">
        <f t="shared" si="81"/>
        <v>0</v>
      </c>
      <c r="DL59" s="416">
        <f t="shared" si="81"/>
        <v>0</v>
      </c>
      <c r="DM59" s="416">
        <f t="shared" si="81"/>
        <v>0</v>
      </c>
      <c r="DN59" s="418">
        <f t="shared" si="81"/>
        <v>7028443000</v>
      </c>
      <c r="DO59" s="412"/>
      <c r="DP59" s="411"/>
      <c r="DQ59" s="411"/>
      <c r="DR59" s="411"/>
      <c r="DS59" s="411"/>
      <c r="DT59" s="411"/>
      <c r="DU59" s="411"/>
      <c r="DV59" s="411"/>
      <c r="DW59" s="411"/>
      <c r="DX59" s="411"/>
      <c r="DY59" s="411"/>
      <c r="DZ59" s="411"/>
      <c r="EA59" s="411"/>
      <c r="EB59" s="411"/>
      <c r="EC59" s="411"/>
      <c r="ED59" s="411"/>
      <c r="EE59" s="411"/>
      <c r="EF59" s="411"/>
      <c r="EG59" s="411"/>
      <c r="EH59" s="411"/>
      <c r="EI59" s="411"/>
      <c r="EJ59" s="411"/>
      <c r="EK59" s="411"/>
      <c r="EL59" s="411"/>
      <c r="EM59" s="411"/>
      <c r="EN59" s="411"/>
      <c r="EO59" s="411"/>
      <c r="EP59" s="411"/>
      <c r="EQ59" s="411"/>
      <c r="ER59" s="469"/>
      <c r="ES59" s="469"/>
      <c r="ET59" s="469"/>
      <c r="EU59" s="469"/>
      <c r="EV59" s="469"/>
      <c r="EW59" s="470"/>
      <c r="EX59" s="470"/>
      <c r="EY59" s="470"/>
      <c r="EZ59" s="470"/>
      <c r="FA59" s="470"/>
    </row>
    <row r="60" spans="1:158" s="142" customFormat="1" ht="42.75" customHeight="1" x14ac:dyDescent="0.25">
      <c r="A60" s="522"/>
      <c r="B60" s="522"/>
      <c r="C60" s="522"/>
      <c r="D60" s="522"/>
      <c r="E60" s="522"/>
      <c r="F60" s="315" t="s">
        <v>45</v>
      </c>
      <c r="G60" s="288">
        <f>+G14+G21+G28+G35+G42+G49+G56</f>
        <v>3699793372.8304195</v>
      </c>
      <c r="H60" s="419">
        <f t="shared" ref="H60:BB60" si="82">+H14+H21+H28+H35+H42+H49+H56</f>
        <v>492875980</v>
      </c>
      <c r="I60" s="419">
        <f t="shared" si="82"/>
        <v>0</v>
      </c>
      <c r="J60" s="419">
        <f t="shared" si="82"/>
        <v>0</v>
      </c>
      <c r="K60" s="419">
        <f t="shared" si="82"/>
        <v>0</v>
      </c>
      <c r="L60" s="419">
        <f t="shared" si="82"/>
        <v>0</v>
      </c>
      <c r="M60" s="419">
        <f t="shared" si="82"/>
        <v>0</v>
      </c>
      <c r="N60" s="419">
        <f t="shared" si="82"/>
        <v>0</v>
      </c>
      <c r="O60" s="419">
        <f t="shared" si="82"/>
        <v>0</v>
      </c>
      <c r="P60" s="419">
        <f t="shared" si="82"/>
        <v>0</v>
      </c>
      <c r="Q60" s="419">
        <f t="shared" si="82"/>
        <v>0</v>
      </c>
      <c r="R60" s="419">
        <f t="shared" si="82"/>
        <v>0</v>
      </c>
      <c r="S60" s="419">
        <f t="shared" si="82"/>
        <v>0</v>
      </c>
      <c r="T60" s="419">
        <f t="shared" si="82"/>
        <v>0</v>
      </c>
      <c r="U60" s="419">
        <f t="shared" si="82"/>
        <v>0</v>
      </c>
      <c r="V60" s="419">
        <f t="shared" si="82"/>
        <v>0</v>
      </c>
      <c r="W60" s="419">
        <f t="shared" si="82"/>
        <v>492875980</v>
      </c>
      <c r="X60" s="419">
        <f t="shared" si="82"/>
        <v>492875980</v>
      </c>
      <c r="Y60" s="419">
        <f t="shared" si="82"/>
        <v>0</v>
      </c>
      <c r="Z60" s="419">
        <f t="shared" si="82"/>
        <v>492875980</v>
      </c>
      <c r="AA60" s="419">
        <f t="shared" si="82"/>
        <v>0</v>
      </c>
      <c r="AB60" s="419">
        <f>+AB14+AB21+AB28+AB35+AB42+AB49+AB56</f>
        <v>1796461446</v>
      </c>
      <c r="AC60" s="419">
        <f>+AC14+AC21+AC28+AC35+AC42+AC49+AC56</f>
        <v>420302557</v>
      </c>
      <c r="AD60" s="419">
        <f t="shared" si="82"/>
        <v>420302557</v>
      </c>
      <c r="AE60" s="419">
        <f t="shared" si="82"/>
        <v>475612458</v>
      </c>
      <c r="AF60" s="419">
        <f t="shared" si="82"/>
        <v>475612458</v>
      </c>
      <c r="AG60" s="419">
        <f t="shared" si="82"/>
        <v>237108188</v>
      </c>
      <c r="AH60" s="419">
        <f t="shared" si="82"/>
        <v>237108188</v>
      </c>
      <c r="AI60" s="419">
        <f t="shared" si="82"/>
        <v>109178008</v>
      </c>
      <c r="AJ60" s="419">
        <f t="shared" si="82"/>
        <v>109178008</v>
      </c>
      <c r="AK60" s="419">
        <f>+AK14+AK21+AK28+AK35+AK42+AK49+AK56</f>
        <v>142791967</v>
      </c>
      <c r="AL60" s="419">
        <f>+AL14+AL21+AL28+AL35+AL42+AL49+AL56</f>
        <v>142791967</v>
      </c>
      <c r="AM60" s="419">
        <f>+AM14+AM21+AM28+AM35+AM42+AM49+AM56</f>
        <v>135933686</v>
      </c>
      <c r="AN60" s="419">
        <f>+AN14+AN21+AN28+AN35+AN42+AN49+AN56</f>
        <v>140092408</v>
      </c>
      <c r="AO60" s="419">
        <f t="shared" si="82"/>
        <v>63971107</v>
      </c>
      <c r="AP60" s="419">
        <f t="shared" si="82"/>
        <v>0</v>
      </c>
      <c r="AQ60" s="419">
        <f>+AQ14+AQ21+AQ28+AQ35+AQ42+AQ49+AQ56</f>
        <v>81086539</v>
      </c>
      <c r="AR60" s="419">
        <f t="shared" si="82"/>
        <v>112211559</v>
      </c>
      <c r="AS60" s="419">
        <f t="shared" si="82"/>
        <v>105781038</v>
      </c>
      <c r="AT60" s="419">
        <f>+AT14+AT21+AT28+AT35+AT42+AT49+AT56</f>
        <v>1564253</v>
      </c>
      <c r="AU60" s="419">
        <f t="shared" si="82"/>
        <v>-8431</v>
      </c>
      <c r="AV60" s="218">
        <f>+AV14+AV21+AV28+AV35+AV42+AV49+AV56</f>
        <v>12817727</v>
      </c>
      <c r="AW60" s="218">
        <f t="shared" si="82"/>
        <v>-1342800</v>
      </c>
      <c r="AX60" s="218">
        <f>+AX14+AX21+AX28+AX35+AX42+AX49+AX56</f>
        <v>34756414</v>
      </c>
      <c r="AY60" s="218">
        <f t="shared" si="82"/>
        <v>0</v>
      </c>
      <c r="AZ60" s="218">
        <f>+AZ14+AZ21+AZ28+AZ35+AZ42+AZ49+AZ56</f>
        <v>14850182.830419362</v>
      </c>
      <c r="BA60" s="218">
        <f t="shared" si="82"/>
        <v>1770414317</v>
      </c>
      <c r="BB60" s="218">
        <f t="shared" si="82"/>
        <v>1770414317</v>
      </c>
      <c r="BC60" s="218">
        <f t="shared" ref="BC60:BE60" si="83">+BC14+BC21+BC28+BC35+BC42+BC49+BC56</f>
        <v>1701285721.8304193</v>
      </c>
      <c r="BD60" s="218">
        <f t="shared" si="83"/>
        <v>1770414317</v>
      </c>
      <c r="BE60" s="218">
        <f t="shared" si="83"/>
        <v>1701285721.8304193</v>
      </c>
      <c r="BF60" s="419">
        <f t="shared" ref="BF60:BR60" si="84">+BF14+BF21+BF28+BF35+BF42+BF49+BF56</f>
        <v>2043657525</v>
      </c>
      <c r="BG60" s="419">
        <f t="shared" si="84"/>
        <v>103664081</v>
      </c>
      <c r="BH60" s="419">
        <f t="shared" si="84"/>
        <v>0</v>
      </c>
      <c r="BI60" s="419">
        <f t="shared" si="84"/>
        <v>384363706</v>
      </c>
      <c r="BJ60" s="419">
        <f t="shared" si="84"/>
        <v>275548817</v>
      </c>
      <c r="BK60" s="419">
        <f t="shared" si="84"/>
        <v>319253417</v>
      </c>
      <c r="BL60" s="419">
        <f t="shared" si="84"/>
        <v>0</v>
      </c>
      <c r="BM60" s="419">
        <f t="shared" si="84"/>
        <v>412348492</v>
      </c>
      <c r="BN60" s="419">
        <f t="shared" si="84"/>
        <v>0</v>
      </c>
      <c r="BO60" s="419">
        <f t="shared" si="84"/>
        <v>124201978</v>
      </c>
      <c r="BP60" s="419">
        <f t="shared" si="84"/>
        <v>0</v>
      </c>
      <c r="BQ60" s="419">
        <f t="shared" si="84"/>
        <v>231880399</v>
      </c>
      <c r="BR60" s="419">
        <f t="shared" si="84"/>
        <v>0</v>
      </c>
      <c r="BS60" s="419">
        <f t="shared" ref="BS60:CC60" si="85">+BV14+BS21+BV28+BV35+BS42+BS49+BS56</f>
        <v>18335267</v>
      </c>
      <c r="BT60" s="419">
        <f>+BW14+BT21+BW28+BW35+BT42+BT49+BT56</f>
        <v>225496550</v>
      </c>
      <c r="BU60" s="419">
        <f>+BU14+BU21+BU28+BU35+BU42+BU49+BU56</f>
        <v>42033582</v>
      </c>
      <c r="BV60" s="419">
        <f>+BV14+BV21+BV28+BV35+BV42+BV49+BV56</f>
        <v>-9265466</v>
      </c>
      <c r="BW60" s="419">
        <f>+BZ14+BW21+BW28+BW35+BW42+BW49+BW56</f>
        <v>60424662</v>
      </c>
      <c r="BX60" s="419">
        <f t="shared" si="85"/>
        <v>31251791</v>
      </c>
      <c r="BY60" s="419">
        <f t="shared" si="85"/>
        <v>136466287</v>
      </c>
      <c r="BZ60" s="419">
        <f t="shared" si="85"/>
        <v>-16387605</v>
      </c>
      <c r="CA60" s="419">
        <f t="shared" si="85"/>
        <v>28762268</v>
      </c>
      <c r="CB60" s="419">
        <f>+CB14+CB21+CB28+CB35+CB42+CB49+CB56</f>
        <v>152719221</v>
      </c>
      <c r="CC60" s="419">
        <f t="shared" si="85"/>
        <v>1634738092</v>
      </c>
      <c r="CD60" s="419">
        <f t="shared" ref="CD60:DN60" si="86">+CD14+CD21+CD28+CD35+CD42+CD49+CD56</f>
        <v>-14095800</v>
      </c>
      <c r="CE60" s="419">
        <f>+CE14+CE21+CE28+CE35+CE42+CE49+CE56</f>
        <v>1998507651</v>
      </c>
      <c r="CF60" s="419">
        <f>+CF14+CF21+CF28+CF35+CF42+CF49+CF56</f>
        <v>1998507651</v>
      </c>
      <c r="CG60" s="419">
        <f>+CG14+CG21+CG28+CG35+CG42+CG49+CG56</f>
        <v>1952995740</v>
      </c>
      <c r="CH60" s="419">
        <f>+CH14+CH21+CH28+CH35+CH42+CH49+CH56</f>
        <v>1998507651</v>
      </c>
      <c r="CI60" s="419">
        <f t="shared" si="86"/>
        <v>1952995740</v>
      </c>
      <c r="CJ60" s="419">
        <f t="shared" si="86"/>
        <v>0</v>
      </c>
      <c r="CK60" s="419">
        <f t="shared" si="86"/>
        <v>0</v>
      </c>
      <c r="CL60" s="419">
        <f t="shared" si="86"/>
        <v>0</v>
      </c>
      <c r="CM60" s="419">
        <f t="shared" si="86"/>
        <v>0</v>
      </c>
      <c r="CN60" s="419">
        <f t="shared" si="86"/>
        <v>0</v>
      </c>
      <c r="CO60" s="419">
        <f t="shared" si="86"/>
        <v>0</v>
      </c>
      <c r="CP60" s="419">
        <f t="shared" si="86"/>
        <v>0</v>
      </c>
      <c r="CQ60" s="419">
        <f t="shared" si="86"/>
        <v>0</v>
      </c>
      <c r="CR60" s="419">
        <f t="shared" si="86"/>
        <v>0</v>
      </c>
      <c r="CS60" s="419">
        <f t="shared" si="86"/>
        <v>0</v>
      </c>
      <c r="CT60" s="419">
        <f t="shared" si="86"/>
        <v>0</v>
      </c>
      <c r="CU60" s="419">
        <f t="shared" si="86"/>
        <v>0</v>
      </c>
      <c r="CV60" s="419">
        <f t="shared" si="86"/>
        <v>0</v>
      </c>
      <c r="CW60" s="419">
        <f t="shared" si="86"/>
        <v>0</v>
      </c>
      <c r="CX60" s="419">
        <f t="shared" si="86"/>
        <v>0</v>
      </c>
      <c r="CY60" s="419">
        <f t="shared" si="86"/>
        <v>0</v>
      </c>
      <c r="CZ60" s="419">
        <f t="shared" si="86"/>
        <v>0</v>
      </c>
      <c r="DA60" s="419">
        <f t="shared" si="86"/>
        <v>0</v>
      </c>
      <c r="DB60" s="419">
        <f t="shared" si="86"/>
        <v>0</v>
      </c>
      <c r="DC60" s="419">
        <f t="shared" si="86"/>
        <v>0</v>
      </c>
      <c r="DD60" s="419">
        <f t="shared" si="86"/>
        <v>0</v>
      </c>
      <c r="DE60" s="419">
        <f t="shared" si="86"/>
        <v>0</v>
      </c>
      <c r="DF60" s="419">
        <f t="shared" si="86"/>
        <v>0</v>
      </c>
      <c r="DG60" s="419">
        <f t="shared" si="86"/>
        <v>0</v>
      </c>
      <c r="DH60" s="419">
        <f t="shared" si="86"/>
        <v>0</v>
      </c>
      <c r="DI60" s="419">
        <f t="shared" si="86"/>
        <v>0</v>
      </c>
      <c r="DJ60" s="419">
        <f t="shared" si="86"/>
        <v>0</v>
      </c>
      <c r="DK60" s="419">
        <f t="shared" si="86"/>
        <v>0</v>
      </c>
      <c r="DL60" s="419">
        <f t="shared" si="86"/>
        <v>0</v>
      </c>
      <c r="DM60" s="419">
        <f t="shared" si="86"/>
        <v>0</v>
      </c>
      <c r="DN60" s="420">
        <f t="shared" si="86"/>
        <v>0</v>
      </c>
      <c r="DO60" s="413"/>
      <c r="DP60" s="110"/>
      <c r="DQ60" s="110"/>
      <c r="DR60" s="110"/>
      <c r="DS60" s="110"/>
      <c r="DT60" s="110"/>
      <c r="DU60" s="110"/>
      <c r="DV60" s="110"/>
      <c r="DW60" s="110"/>
      <c r="DX60" s="110"/>
      <c r="DY60" s="110"/>
      <c r="DZ60" s="110"/>
      <c r="EA60" s="110"/>
      <c r="EB60" s="110"/>
      <c r="EC60" s="110"/>
      <c r="ED60" s="110"/>
      <c r="EE60" s="110"/>
      <c r="EF60" s="110"/>
      <c r="EG60" s="308"/>
      <c r="EH60" s="308"/>
      <c r="EI60" s="308"/>
      <c r="EJ60" s="308"/>
      <c r="EK60" s="308"/>
      <c r="EL60" s="308"/>
      <c r="EM60" s="110"/>
      <c r="EN60" s="111"/>
      <c r="EO60" s="111"/>
      <c r="EP60" s="111"/>
      <c r="EQ60" s="111"/>
      <c r="ER60" s="470"/>
      <c r="ES60" s="470"/>
      <c r="ET60" s="470"/>
      <c r="EU60" s="470"/>
      <c r="EV60" s="470"/>
      <c r="EW60" s="470"/>
      <c r="EX60" s="470"/>
      <c r="EY60" s="470"/>
      <c r="EZ60" s="470"/>
      <c r="FA60" s="470"/>
    </row>
    <row r="61" spans="1:158" s="142" customFormat="1" ht="42.75" customHeight="1" thickBot="1" x14ac:dyDescent="0.3">
      <c r="A61" s="522"/>
      <c r="B61" s="522"/>
      <c r="C61" s="522"/>
      <c r="D61" s="522"/>
      <c r="E61" s="522"/>
      <c r="F61" s="314" t="s">
        <v>46</v>
      </c>
      <c r="G61" s="289">
        <f>SUM(G59:G60)</f>
        <v>55147478262.830421</v>
      </c>
      <c r="H61" s="421">
        <f t="shared" ref="H61:BS61" si="87">SUM(H59:H60)</f>
        <v>5428330508</v>
      </c>
      <c r="I61" s="421">
        <f t="shared" si="87"/>
        <v>0</v>
      </c>
      <c r="J61" s="421">
        <f t="shared" si="87"/>
        <v>0</v>
      </c>
      <c r="K61" s="421">
        <f t="shared" si="87"/>
        <v>0</v>
      </c>
      <c r="L61" s="421">
        <f t="shared" si="87"/>
        <v>0</v>
      </c>
      <c r="M61" s="421">
        <f t="shared" si="87"/>
        <v>0</v>
      </c>
      <c r="N61" s="421">
        <f t="shared" si="87"/>
        <v>0</v>
      </c>
      <c r="O61" s="421">
        <f t="shared" si="87"/>
        <v>0</v>
      </c>
      <c r="P61" s="421">
        <f t="shared" si="87"/>
        <v>0</v>
      </c>
      <c r="Q61" s="421">
        <f t="shared" si="87"/>
        <v>0</v>
      </c>
      <c r="R61" s="421">
        <f t="shared" si="87"/>
        <v>0</v>
      </c>
      <c r="S61" s="421">
        <f t="shared" si="87"/>
        <v>0</v>
      </c>
      <c r="T61" s="421">
        <f t="shared" si="87"/>
        <v>0</v>
      </c>
      <c r="U61" s="421">
        <f t="shared" si="87"/>
        <v>0</v>
      </c>
      <c r="V61" s="421">
        <f t="shared" si="87"/>
        <v>0</v>
      </c>
      <c r="W61" s="421">
        <f t="shared" si="87"/>
        <v>5428330508</v>
      </c>
      <c r="X61" s="421">
        <f t="shared" si="87"/>
        <v>5428330508</v>
      </c>
      <c r="Y61" s="421">
        <f t="shared" si="87"/>
        <v>4588924316</v>
      </c>
      <c r="Z61" s="421">
        <f t="shared" si="87"/>
        <v>5428330508</v>
      </c>
      <c r="AA61" s="421">
        <f t="shared" si="87"/>
        <v>4588924316</v>
      </c>
      <c r="AB61" s="421">
        <f t="shared" si="87"/>
        <v>11864341446</v>
      </c>
      <c r="AC61" s="421">
        <f t="shared" si="87"/>
        <v>420302557</v>
      </c>
      <c r="AD61" s="421">
        <f t="shared" si="87"/>
        <v>420302557</v>
      </c>
      <c r="AE61" s="421">
        <f t="shared" si="87"/>
        <v>3140881458</v>
      </c>
      <c r="AF61" s="421">
        <f t="shared" si="87"/>
        <v>3140881458</v>
      </c>
      <c r="AG61" s="421">
        <f t="shared" si="87"/>
        <v>3922822338</v>
      </c>
      <c r="AH61" s="421">
        <f t="shared" si="87"/>
        <v>3922822338</v>
      </c>
      <c r="AI61" s="421">
        <f t="shared" si="87"/>
        <v>990618499</v>
      </c>
      <c r="AJ61" s="421">
        <f t="shared" si="87"/>
        <v>581828499</v>
      </c>
      <c r="AK61" s="421">
        <f t="shared" si="87"/>
        <v>181099911</v>
      </c>
      <c r="AL61" s="421">
        <f t="shared" si="87"/>
        <v>181099911</v>
      </c>
      <c r="AM61" s="421">
        <f t="shared" si="87"/>
        <v>737963673.66666663</v>
      </c>
      <c r="AN61" s="421">
        <f>SUM(AN59:AN60)</f>
        <v>843081582</v>
      </c>
      <c r="AO61" s="421">
        <f t="shared" si="87"/>
        <v>63971107</v>
      </c>
      <c r="AP61" s="421">
        <f t="shared" si="87"/>
        <v>24890000</v>
      </c>
      <c r="AQ61" s="421">
        <f t="shared" si="87"/>
        <v>651521090.00000024</v>
      </c>
      <c r="AR61" s="421">
        <f t="shared" si="87"/>
        <v>148975559</v>
      </c>
      <c r="AS61" s="421">
        <f t="shared" si="87"/>
        <v>652715589.00000024</v>
      </c>
      <c r="AT61" s="421">
        <f t="shared" si="87"/>
        <v>82790588</v>
      </c>
      <c r="AU61" s="421">
        <f t="shared" si="87"/>
        <v>425496739.33333331</v>
      </c>
      <c r="AV61" s="421">
        <f>SUM(AV59:AV60)</f>
        <v>346884199</v>
      </c>
      <c r="AW61" s="421">
        <f t="shared" si="87"/>
        <v>313029277</v>
      </c>
      <c r="AX61" s="421">
        <f>SUM(AX59:AX60)</f>
        <v>818365702</v>
      </c>
      <c r="AY61" s="421">
        <f t="shared" si="87"/>
        <v>314372078</v>
      </c>
      <c r="AZ61" s="421">
        <f t="shared" si="87"/>
        <v>826529046.8304193</v>
      </c>
      <c r="BA61" s="421">
        <f t="shared" si="87"/>
        <v>11814794317</v>
      </c>
      <c r="BB61" s="421">
        <f t="shared" si="87"/>
        <v>11814794317</v>
      </c>
      <c r="BC61" s="421">
        <f t="shared" si="87"/>
        <v>11338451439.83042</v>
      </c>
      <c r="BD61" s="421">
        <f t="shared" si="87"/>
        <v>11814794317</v>
      </c>
      <c r="BE61" s="421">
        <f t="shared" si="87"/>
        <v>11338451439.83042</v>
      </c>
      <c r="BF61" s="421">
        <f t="shared" si="87"/>
        <v>18512098525</v>
      </c>
      <c r="BG61" s="421">
        <f t="shared" si="87"/>
        <v>9274176081</v>
      </c>
      <c r="BH61" s="421">
        <f t="shared" si="87"/>
        <v>8662799908</v>
      </c>
      <c r="BI61" s="421">
        <f t="shared" si="87"/>
        <v>412363706</v>
      </c>
      <c r="BJ61" s="421">
        <f>SUM(BJ59:BJ60)</f>
        <v>275548817</v>
      </c>
      <c r="BK61" s="421">
        <f t="shared" si="87"/>
        <v>2288127417</v>
      </c>
      <c r="BL61" s="421">
        <f t="shared" si="87"/>
        <v>50000000</v>
      </c>
      <c r="BM61" s="421">
        <f t="shared" si="87"/>
        <v>1283494492</v>
      </c>
      <c r="BN61" s="421">
        <f t="shared" si="87"/>
        <v>0</v>
      </c>
      <c r="BO61" s="421">
        <f t="shared" si="87"/>
        <v>144201978</v>
      </c>
      <c r="BP61" s="421">
        <f t="shared" si="87"/>
        <v>274596000</v>
      </c>
      <c r="BQ61" s="421">
        <f t="shared" si="87"/>
        <v>4429149399</v>
      </c>
      <c r="BR61" s="421">
        <f t="shared" si="87"/>
        <v>134020000</v>
      </c>
      <c r="BS61" s="421">
        <f t="shared" si="87"/>
        <v>18335267</v>
      </c>
      <c r="BT61" s="421">
        <f t="shared" ref="BT61:DN61" si="88">SUM(BT59:BT60)</f>
        <v>179630550</v>
      </c>
      <c r="BU61" s="421">
        <f t="shared" si="88"/>
        <v>214673582</v>
      </c>
      <c r="BV61" s="421">
        <f>SUM(BV59:BV60)</f>
        <v>4762534</v>
      </c>
      <c r="BW61" s="421">
        <f t="shared" si="88"/>
        <v>95424662</v>
      </c>
      <c r="BX61" s="421">
        <f t="shared" si="88"/>
        <v>487599625</v>
      </c>
      <c r="BY61" s="421">
        <f t="shared" si="88"/>
        <v>1519154400</v>
      </c>
      <c r="BZ61" s="421">
        <f t="shared" si="88"/>
        <v>1293006855</v>
      </c>
      <c r="CA61" s="421">
        <f t="shared" si="88"/>
        <v>239903011</v>
      </c>
      <c r="CB61" s="421">
        <f t="shared" si="88"/>
        <v>3928749660</v>
      </c>
      <c r="CC61" s="421">
        <f t="shared" si="88"/>
        <v>1384738092</v>
      </c>
      <c r="CD61" s="421">
        <f t="shared" si="88"/>
        <v>2344372347</v>
      </c>
      <c r="CE61" s="421">
        <f t="shared" si="88"/>
        <v>19805777507</v>
      </c>
      <c r="CF61" s="421">
        <f t="shared" si="88"/>
        <v>19805777507</v>
      </c>
      <c r="CG61" s="421">
        <f t="shared" si="88"/>
        <v>18942814528</v>
      </c>
      <c r="CH61" s="421">
        <f t="shared" si="88"/>
        <v>19805777507</v>
      </c>
      <c r="CI61" s="421">
        <f t="shared" si="88"/>
        <v>18942814528</v>
      </c>
      <c r="CJ61" s="421">
        <f t="shared" si="88"/>
        <v>12385882000</v>
      </c>
      <c r="CK61" s="421">
        <f t="shared" si="88"/>
        <v>0</v>
      </c>
      <c r="CL61" s="421">
        <f t="shared" si="88"/>
        <v>0</v>
      </c>
      <c r="CM61" s="421">
        <f t="shared" si="88"/>
        <v>0</v>
      </c>
      <c r="CN61" s="421">
        <f t="shared" si="88"/>
        <v>0</v>
      </c>
      <c r="CO61" s="421">
        <f t="shared" si="88"/>
        <v>0</v>
      </c>
      <c r="CP61" s="421">
        <f t="shared" si="88"/>
        <v>0</v>
      </c>
      <c r="CQ61" s="421">
        <f t="shared" si="88"/>
        <v>0</v>
      </c>
      <c r="CR61" s="421">
        <f t="shared" si="88"/>
        <v>0</v>
      </c>
      <c r="CS61" s="421">
        <f t="shared" si="88"/>
        <v>0</v>
      </c>
      <c r="CT61" s="421">
        <f t="shared" si="88"/>
        <v>0</v>
      </c>
      <c r="CU61" s="421">
        <f t="shared" si="88"/>
        <v>0</v>
      </c>
      <c r="CV61" s="421">
        <f t="shared" si="88"/>
        <v>0</v>
      </c>
      <c r="CW61" s="421">
        <f t="shared" si="88"/>
        <v>0</v>
      </c>
      <c r="CX61" s="421">
        <f t="shared" si="88"/>
        <v>0</v>
      </c>
      <c r="CY61" s="421">
        <f t="shared" si="88"/>
        <v>0</v>
      </c>
      <c r="CZ61" s="421">
        <f t="shared" si="88"/>
        <v>0</v>
      </c>
      <c r="DA61" s="421">
        <f t="shared" si="88"/>
        <v>0</v>
      </c>
      <c r="DB61" s="421">
        <f t="shared" si="88"/>
        <v>0</v>
      </c>
      <c r="DC61" s="421">
        <f t="shared" si="88"/>
        <v>0</v>
      </c>
      <c r="DD61" s="421">
        <f t="shared" si="88"/>
        <v>0</v>
      </c>
      <c r="DE61" s="421">
        <f t="shared" si="88"/>
        <v>0</v>
      </c>
      <c r="DF61" s="421">
        <f t="shared" si="88"/>
        <v>0</v>
      </c>
      <c r="DG61" s="421">
        <f t="shared" si="88"/>
        <v>0</v>
      </c>
      <c r="DH61" s="421">
        <f t="shared" si="88"/>
        <v>0</v>
      </c>
      <c r="DI61" s="421">
        <f t="shared" si="88"/>
        <v>0</v>
      </c>
      <c r="DJ61" s="421">
        <f t="shared" si="88"/>
        <v>0</v>
      </c>
      <c r="DK61" s="421">
        <f t="shared" si="88"/>
        <v>0</v>
      </c>
      <c r="DL61" s="421">
        <f t="shared" si="88"/>
        <v>0</v>
      </c>
      <c r="DM61" s="421">
        <f t="shared" si="88"/>
        <v>0</v>
      </c>
      <c r="DN61" s="422">
        <f t="shared" si="88"/>
        <v>7028443000</v>
      </c>
      <c r="DO61" s="414"/>
      <c r="DP61" s="309"/>
      <c r="DQ61" s="309"/>
      <c r="DR61" s="309"/>
      <c r="DS61" s="309"/>
      <c r="DT61" s="309"/>
      <c r="DU61" s="309"/>
      <c r="DV61" s="309"/>
      <c r="DW61" s="309"/>
      <c r="DX61" s="309"/>
      <c r="DY61" s="309"/>
      <c r="DZ61" s="309"/>
      <c r="EA61" s="309"/>
      <c r="EB61" s="309"/>
      <c r="EC61" s="309"/>
      <c r="ED61" s="309"/>
      <c r="EE61" s="309"/>
      <c r="EF61" s="309"/>
      <c r="EG61" s="309"/>
      <c r="EH61" s="309"/>
      <c r="EI61" s="309"/>
      <c r="EJ61" s="309"/>
      <c r="EK61" s="309"/>
      <c r="EL61" s="309"/>
      <c r="EM61" s="310"/>
      <c r="EN61" s="310"/>
      <c r="EO61" s="310"/>
      <c r="EP61" s="310"/>
      <c r="EQ61" s="310"/>
      <c r="ER61" s="470"/>
      <c r="ES61" s="470"/>
      <c r="ET61" s="470"/>
      <c r="EU61" s="470"/>
      <c r="EV61" s="470"/>
      <c r="EW61" s="470"/>
      <c r="EX61" s="470"/>
      <c r="EY61" s="470"/>
      <c r="EZ61" s="470"/>
      <c r="FA61" s="470"/>
    </row>
    <row r="62" spans="1:158" ht="42.75" customHeight="1" x14ac:dyDescent="0.25">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207"/>
      <c r="BD62" s="202"/>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row>
    <row r="63" spans="1:158" ht="42.75" customHeight="1" x14ac:dyDescent="0.25">
      <c r="F63" s="22" t="s">
        <v>34</v>
      </c>
      <c r="G63" s="20"/>
      <c r="H63" s="20"/>
      <c r="I63" s="21"/>
      <c r="J63" s="54"/>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30"/>
      <c r="BE63"/>
      <c r="BF63" s="46"/>
      <c r="BW63"/>
      <c r="BX63"/>
      <c r="BY63"/>
      <c r="BZ63"/>
      <c r="CA63"/>
      <c r="CB63"/>
      <c r="CC63"/>
      <c r="CD63"/>
      <c r="CE63"/>
      <c r="CF63"/>
      <c r="CG63"/>
      <c r="CH63"/>
      <c r="CI63"/>
    </row>
    <row r="64" spans="1:158" ht="42.75" customHeight="1" x14ac:dyDescent="0.25">
      <c r="F64" s="209" t="s">
        <v>35</v>
      </c>
      <c r="G64" s="518" t="s">
        <v>36</v>
      </c>
      <c r="H64" s="518"/>
      <c r="I64" s="518"/>
      <c r="J64" s="518"/>
      <c r="K64" s="518"/>
      <c r="L64" s="518"/>
      <c r="M64" s="518"/>
      <c r="N64" s="436" t="s">
        <v>37</v>
      </c>
      <c r="O64" s="437"/>
      <c r="P64" s="437"/>
      <c r="Q64" s="437"/>
      <c r="R64" s="437"/>
      <c r="S64" s="437"/>
      <c r="T64" s="438"/>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c r="AT64" s="519"/>
      <c r="AU64" s="519"/>
      <c r="AV64" s="519"/>
      <c r="AW64" s="519"/>
      <c r="AX64" s="519"/>
      <c r="AY64" s="519"/>
      <c r="AZ64" s="519"/>
      <c r="BA64" s="519"/>
      <c r="BB64" s="519"/>
      <c r="BC64" s="519"/>
      <c r="BD64" s="519"/>
      <c r="BE64" s="519"/>
    </row>
    <row r="65" spans="6:136" ht="42.75" customHeight="1" x14ac:dyDescent="0.25">
      <c r="F65" s="210">
        <v>13</v>
      </c>
      <c r="G65" s="439" t="s">
        <v>89</v>
      </c>
      <c r="H65" s="439"/>
      <c r="I65" s="439"/>
      <c r="J65" s="439"/>
      <c r="K65" s="439"/>
      <c r="L65" s="439"/>
      <c r="M65" s="439"/>
      <c r="N65" s="439" t="s">
        <v>80</v>
      </c>
      <c r="O65" s="439"/>
      <c r="P65" s="439"/>
      <c r="Q65" s="439"/>
      <c r="R65" s="439"/>
      <c r="S65" s="439"/>
      <c r="T65" s="439"/>
      <c r="U65" s="520"/>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1"/>
      <c r="AY65" s="521"/>
      <c r="AZ65" s="521"/>
      <c r="BA65" s="521"/>
      <c r="BB65" s="521"/>
      <c r="BC65" s="521"/>
      <c r="BD65" s="521"/>
      <c r="BE65" s="521"/>
    </row>
    <row r="66" spans="6:136" ht="42.75" customHeight="1" x14ac:dyDescent="0.25">
      <c r="F66" s="210">
        <v>14</v>
      </c>
      <c r="G66" s="439" t="s">
        <v>258</v>
      </c>
      <c r="H66" s="439"/>
      <c r="I66" s="439"/>
      <c r="J66" s="439"/>
      <c r="K66" s="439"/>
      <c r="L66" s="439"/>
      <c r="M66" s="439"/>
      <c r="N66" s="440" t="s">
        <v>521</v>
      </c>
      <c r="O66" s="440"/>
      <c r="P66" s="440"/>
      <c r="Q66" s="440"/>
      <c r="R66" s="440"/>
      <c r="S66" s="440"/>
      <c r="T66" s="440"/>
      <c r="AA66" s="242"/>
      <c r="BF66" s="58"/>
    </row>
    <row r="67" spans="6:136" ht="42.75" customHeight="1" x14ac:dyDescent="0.25">
      <c r="AH67" s="59"/>
      <c r="AI67" s="59"/>
      <c r="AJ67" s="59"/>
      <c r="AK67" s="59"/>
      <c r="AL67" s="59"/>
      <c r="AM67" s="59"/>
      <c r="AN67" s="59"/>
      <c r="AO67" s="59"/>
      <c r="AP67" s="59"/>
      <c r="AQ67" s="59"/>
      <c r="AR67" s="59"/>
      <c r="AS67" s="59"/>
      <c r="AT67" s="59"/>
      <c r="AU67" s="59"/>
      <c r="AV67" s="44"/>
      <c r="AW67" s="44"/>
      <c r="AX67" s="59"/>
      <c r="BF67" s="61"/>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row>
    <row r="68" spans="6:136" ht="42.75" customHeight="1" x14ac:dyDescent="0.25">
      <c r="AW68" s="44"/>
      <c r="BF68" s="63"/>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row>
    <row r="69" spans="6:136" ht="42.75" customHeight="1" x14ac:dyDescent="0.25">
      <c r="G69" s="46"/>
      <c r="AW69" s="44"/>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N69" s="62"/>
      <c r="DO69" s="62"/>
      <c r="DP69" s="62"/>
      <c r="DQ69" s="62"/>
      <c r="DR69" s="62"/>
      <c r="DS69" s="62"/>
      <c r="DT69" s="62"/>
      <c r="DU69" s="62"/>
      <c r="DV69" s="62"/>
      <c r="DW69" s="62"/>
      <c r="DX69" s="62"/>
      <c r="DY69" s="62"/>
      <c r="DZ69" s="62"/>
      <c r="EA69" s="62"/>
      <c r="EB69" s="62"/>
      <c r="EC69" s="62"/>
      <c r="ED69" s="62"/>
      <c r="EE69" s="62"/>
      <c r="EF69" s="62"/>
    </row>
    <row r="70" spans="6:136" ht="42.75" customHeight="1" x14ac:dyDescent="0.25">
      <c r="AW70" s="44"/>
      <c r="BF70" s="64"/>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row>
    <row r="71" spans="6:136" ht="42.75" customHeight="1" x14ac:dyDescent="0.25">
      <c r="G71" s="46"/>
      <c r="Q71" s="46"/>
      <c r="AW71" s="44"/>
    </row>
    <row r="72" spans="6:136" ht="42.75" customHeight="1" x14ac:dyDescent="0.25">
      <c r="AW72" s="44"/>
      <c r="BF72" s="59"/>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row>
    <row r="73" spans="6:136" ht="42.75" customHeight="1" x14ac:dyDescent="0.25">
      <c r="AW73" s="44"/>
    </row>
    <row r="74" spans="6:136" ht="42.75" customHeight="1" x14ac:dyDescent="0.25">
      <c r="AW74" s="44"/>
      <c r="BF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row>
    <row r="75" spans="6:136" ht="42.75" customHeight="1" x14ac:dyDescent="0.25">
      <c r="AW75" s="44"/>
    </row>
    <row r="76" spans="6:136" ht="42.75" customHeight="1" x14ac:dyDescent="0.25">
      <c r="AW76" s="44"/>
    </row>
    <row r="77" spans="6:136" ht="42.75" customHeight="1" x14ac:dyDescent="0.25">
      <c r="AW77" s="44"/>
    </row>
    <row r="78" spans="6:136" ht="42.75" customHeight="1" x14ac:dyDescent="0.25">
      <c r="AW78" s="44"/>
    </row>
    <row r="79" spans="6:136" ht="42.75" customHeight="1" x14ac:dyDescent="0.25">
      <c r="AW79" s="44"/>
    </row>
    <row r="80" spans="6:136" ht="42.75" customHeight="1" x14ac:dyDescent="0.25">
      <c r="AW80" s="44"/>
    </row>
  </sheetData>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printOptions horizontalCentered="1" verticalCentered="1"/>
  <pageMargins left="0" right="0" top="0.74803149606299213" bottom="0" header="0.31496062992125984" footer="0"/>
  <pageSetup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4"/>
  <sheetViews>
    <sheetView showGridLines="0" zoomScale="50" zoomScaleNormal="50" zoomScalePageLayoutView="75" workbookViewId="0">
      <selection activeCell="V15" sqref="V15:V16"/>
    </sheetView>
  </sheetViews>
  <sheetFormatPr baseColWidth="10" defaultColWidth="9.7109375" defaultRowHeight="45.75" customHeight="1" x14ac:dyDescent="0.25"/>
  <cols>
    <col min="1" max="1" width="8.28515625" style="6" customWidth="1"/>
    <col min="2" max="2" width="10.5703125" style="6" customWidth="1"/>
    <col min="3" max="3" width="31.42578125" style="12" customWidth="1"/>
    <col min="4" max="4" width="7.5703125" style="6" customWidth="1"/>
    <col min="5" max="5" width="7" style="6" customWidth="1"/>
    <col min="6" max="13" width="9.7109375" style="6"/>
    <col min="14" max="19" width="9.7109375" style="7"/>
    <col min="20" max="20" width="14" style="7" customWidth="1"/>
    <col min="21" max="21" width="13.7109375" style="7" customWidth="1"/>
    <col min="22" max="22" width="83.140625" style="48" customWidth="1"/>
    <col min="23" max="24" width="9.7109375" style="8"/>
    <col min="25" max="16384" width="9.7109375" style="6"/>
  </cols>
  <sheetData>
    <row r="1" spans="1:31" s="124" customFormat="1" ht="45.75" customHeight="1" x14ac:dyDescent="0.25">
      <c r="A1" s="548"/>
      <c r="B1" s="549"/>
      <c r="C1" s="549"/>
      <c r="D1" s="554" t="s">
        <v>38</v>
      </c>
      <c r="E1" s="493"/>
      <c r="F1" s="493"/>
      <c r="G1" s="493"/>
      <c r="H1" s="493"/>
      <c r="I1" s="493"/>
      <c r="J1" s="493"/>
      <c r="K1" s="493"/>
      <c r="L1" s="493"/>
      <c r="M1" s="493"/>
      <c r="N1" s="493"/>
      <c r="O1" s="493"/>
      <c r="P1" s="493"/>
      <c r="Q1" s="493"/>
      <c r="R1" s="493"/>
      <c r="S1" s="493"/>
      <c r="T1" s="493"/>
      <c r="U1" s="493"/>
      <c r="V1" s="494"/>
    </row>
    <row r="2" spans="1:31" s="124" customFormat="1" ht="45.75" customHeight="1" x14ac:dyDescent="0.25">
      <c r="A2" s="550"/>
      <c r="B2" s="551"/>
      <c r="C2" s="551"/>
      <c r="D2" s="555" t="s">
        <v>256</v>
      </c>
      <c r="E2" s="495"/>
      <c r="F2" s="495"/>
      <c r="G2" s="495"/>
      <c r="H2" s="495"/>
      <c r="I2" s="495"/>
      <c r="J2" s="495"/>
      <c r="K2" s="495"/>
      <c r="L2" s="495"/>
      <c r="M2" s="495"/>
      <c r="N2" s="495"/>
      <c r="O2" s="495"/>
      <c r="P2" s="495"/>
      <c r="Q2" s="495"/>
      <c r="R2" s="495"/>
      <c r="S2" s="495"/>
      <c r="T2" s="495"/>
      <c r="U2" s="495"/>
      <c r="V2" s="496"/>
    </row>
    <row r="3" spans="1:31" s="124" customFormat="1" ht="45.75" customHeight="1" thickBot="1" x14ac:dyDescent="0.3">
      <c r="A3" s="552"/>
      <c r="B3" s="553"/>
      <c r="C3" s="553"/>
      <c r="D3" s="574" t="s">
        <v>39</v>
      </c>
      <c r="E3" s="575"/>
      <c r="F3" s="575"/>
      <c r="G3" s="575"/>
      <c r="H3" s="575"/>
      <c r="I3" s="575"/>
      <c r="J3" s="575"/>
      <c r="K3" s="575"/>
      <c r="L3" s="575"/>
      <c r="M3" s="575"/>
      <c r="N3" s="575"/>
      <c r="O3" s="575"/>
      <c r="P3" s="575"/>
      <c r="Q3" s="575"/>
      <c r="R3" s="575"/>
      <c r="S3" s="575"/>
      <c r="T3" s="575"/>
      <c r="U3" s="576"/>
      <c r="V3" s="47" t="s">
        <v>238</v>
      </c>
    </row>
    <row r="4" spans="1:31" ht="45.75" customHeight="1" thickBot="1" x14ac:dyDescent="0.3">
      <c r="A4" s="569" t="s">
        <v>0</v>
      </c>
      <c r="B4" s="570"/>
      <c r="C4" s="571"/>
      <c r="D4" s="563" t="s">
        <v>315</v>
      </c>
      <c r="E4" s="564"/>
      <c r="F4" s="564"/>
      <c r="G4" s="564"/>
      <c r="H4" s="564"/>
      <c r="I4" s="564"/>
      <c r="J4" s="564"/>
      <c r="K4" s="564"/>
      <c r="L4" s="564"/>
      <c r="M4" s="564"/>
      <c r="N4" s="564"/>
      <c r="O4" s="564"/>
      <c r="P4" s="564"/>
      <c r="Q4" s="564"/>
      <c r="R4" s="564"/>
      <c r="S4" s="564"/>
      <c r="T4" s="564"/>
      <c r="U4" s="564"/>
      <c r="V4" s="565"/>
      <c r="W4" s="6"/>
      <c r="X4" s="6"/>
    </row>
    <row r="5" spans="1:31" ht="45.75" customHeight="1" thickBot="1" x14ac:dyDescent="0.3">
      <c r="A5" s="560" t="s">
        <v>2</v>
      </c>
      <c r="B5" s="561"/>
      <c r="C5" s="562"/>
      <c r="D5" s="566" t="s">
        <v>316</v>
      </c>
      <c r="E5" s="567"/>
      <c r="F5" s="567"/>
      <c r="G5" s="567"/>
      <c r="H5" s="567"/>
      <c r="I5" s="567"/>
      <c r="J5" s="567"/>
      <c r="K5" s="567"/>
      <c r="L5" s="567"/>
      <c r="M5" s="567"/>
      <c r="N5" s="567"/>
      <c r="O5" s="567"/>
      <c r="P5" s="567"/>
      <c r="Q5" s="567"/>
      <c r="R5" s="567"/>
      <c r="S5" s="567"/>
      <c r="T5" s="567"/>
      <c r="U5" s="567"/>
      <c r="V5" s="568"/>
      <c r="W5" s="6"/>
      <c r="X5" s="6"/>
    </row>
    <row r="6" spans="1:31" ht="45.75" customHeight="1" thickBot="1" x14ac:dyDescent="0.3">
      <c r="A6" s="577"/>
      <c r="B6" s="578"/>
      <c r="C6" s="578"/>
      <c r="D6" s="578"/>
      <c r="E6" s="578"/>
      <c r="F6" s="578"/>
      <c r="G6" s="578"/>
      <c r="H6" s="578"/>
      <c r="I6" s="578"/>
      <c r="J6" s="578"/>
      <c r="K6" s="578"/>
      <c r="L6" s="578"/>
      <c r="M6" s="578"/>
      <c r="N6" s="578"/>
      <c r="O6" s="578"/>
      <c r="P6" s="578"/>
      <c r="Q6" s="578"/>
      <c r="R6" s="578"/>
      <c r="S6" s="578"/>
      <c r="T6" s="578"/>
      <c r="U6" s="578"/>
      <c r="V6" s="579"/>
      <c r="W6" s="6"/>
      <c r="X6" s="6"/>
    </row>
    <row r="7" spans="1:31" s="8" customFormat="1" ht="45.75" customHeight="1" x14ac:dyDescent="0.25">
      <c r="A7" s="572" t="s">
        <v>22</v>
      </c>
      <c r="B7" s="556" t="s">
        <v>23</v>
      </c>
      <c r="C7" s="556" t="s">
        <v>68</v>
      </c>
      <c r="D7" s="558" t="s">
        <v>24</v>
      </c>
      <c r="E7" s="558"/>
      <c r="F7" s="559" t="s">
        <v>547</v>
      </c>
      <c r="G7" s="559"/>
      <c r="H7" s="559"/>
      <c r="I7" s="559"/>
      <c r="J7" s="559"/>
      <c r="K7" s="559"/>
      <c r="L7" s="559"/>
      <c r="M7" s="559"/>
      <c r="N7" s="559"/>
      <c r="O7" s="559"/>
      <c r="P7" s="559"/>
      <c r="Q7" s="559"/>
      <c r="R7" s="559"/>
      <c r="S7" s="559"/>
      <c r="T7" s="556" t="s">
        <v>28</v>
      </c>
      <c r="U7" s="556"/>
      <c r="V7" s="580" t="s">
        <v>659</v>
      </c>
    </row>
    <row r="8" spans="1:31" s="8" customFormat="1" ht="45.75" customHeight="1" thickBot="1" x14ac:dyDescent="0.3">
      <c r="A8" s="573"/>
      <c r="B8" s="557"/>
      <c r="C8" s="557"/>
      <c r="D8" s="35" t="s">
        <v>25</v>
      </c>
      <c r="E8" s="35" t="s">
        <v>26</v>
      </c>
      <c r="F8" s="35" t="s">
        <v>27</v>
      </c>
      <c r="G8" s="36" t="s">
        <v>6</v>
      </c>
      <c r="H8" s="36" t="s">
        <v>7</v>
      </c>
      <c r="I8" s="36" t="s">
        <v>8</v>
      </c>
      <c r="J8" s="36" t="s">
        <v>9</v>
      </c>
      <c r="K8" s="36" t="s">
        <v>10</v>
      </c>
      <c r="L8" s="36" t="s">
        <v>11</v>
      </c>
      <c r="M8" s="36" t="s">
        <v>12</v>
      </c>
      <c r="N8" s="36" t="s">
        <v>13</v>
      </c>
      <c r="O8" s="36" t="s">
        <v>14</v>
      </c>
      <c r="P8" s="36" t="s">
        <v>15</v>
      </c>
      <c r="Q8" s="36" t="s">
        <v>16</v>
      </c>
      <c r="R8" s="36" t="s">
        <v>17</v>
      </c>
      <c r="S8" s="233" t="s">
        <v>18</v>
      </c>
      <c r="T8" s="233" t="s">
        <v>29</v>
      </c>
      <c r="U8" s="233" t="s">
        <v>30</v>
      </c>
      <c r="V8" s="581"/>
    </row>
    <row r="9" spans="1:31" ht="45.75" customHeight="1" x14ac:dyDescent="0.25">
      <c r="A9" s="529" t="s">
        <v>304</v>
      </c>
      <c r="B9" s="547" t="s">
        <v>317</v>
      </c>
      <c r="C9" s="526" t="s">
        <v>670</v>
      </c>
      <c r="D9" s="528" t="s">
        <v>318</v>
      </c>
      <c r="E9" s="528" t="s">
        <v>318</v>
      </c>
      <c r="F9" s="125" t="s">
        <v>19</v>
      </c>
      <c r="G9" s="423">
        <v>8.3299999999999999E-2</v>
      </c>
      <c r="H9" s="423">
        <v>8.3299999999999999E-2</v>
      </c>
      <c r="I9" s="423">
        <v>8.3299999999999999E-2</v>
      </c>
      <c r="J9" s="423">
        <v>8.3299999999999999E-2</v>
      </c>
      <c r="K9" s="423">
        <v>8.3299999999999999E-2</v>
      </c>
      <c r="L9" s="423">
        <v>8.3299999999999999E-2</v>
      </c>
      <c r="M9" s="423">
        <v>8.3299999999999999E-2</v>
      </c>
      <c r="N9" s="423">
        <v>8.3299999999999999E-2</v>
      </c>
      <c r="O9" s="423">
        <v>8.3299999999999999E-2</v>
      </c>
      <c r="P9" s="423">
        <v>8.3299999999999999E-2</v>
      </c>
      <c r="Q9" s="423">
        <v>8.3299999999999999E-2</v>
      </c>
      <c r="R9" s="423">
        <v>8.3699999999999997E-2</v>
      </c>
      <c r="S9" s="126">
        <f>SUM(G9:R9)</f>
        <v>1</v>
      </c>
      <c r="T9" s="531">
        <v>0.15</v>
      </c>
      <c r="U9" s="525">
        <v>0.05</v>
      </c>
      <c r="V9" s="526" t="s">
        <v>654</v>
      </c>
    </row>
    <row r="10" spans="1:31" ht="45.75" customHeight="1" x14ac:dyDescent="0.25">
      <c r="A10" s="529"/>
      <c r="B10" s="547"/>
      <c r="C10" s="526"/>
      <c r="D10" s="528"/>
      <c r="E10" s="528"/>
      <c r="F10" s="127" t="s">
        <v>20</v>
      </c>
      <c r="G10" s="424">
        <v>0</v>
      </c>
      <c r="H10" s="424">
        <v>8.3299999999999999E-2</v>
      </c>
      <c r="I10" s="423">
        <v>8.3299999999999999E-2</v>
      </c>
      <c r="J10" s="423">
        <v>0.1666</v>
      </c>
      <c r="K10" s="423">
        <v>8.3299999999999999E-2</v>
      </c>
      <c r="L10" s="423">
        <v>8.3299999999999999E-2</v>
      </c>
      <c r="M10" s="423">
        <v>8.3299999999999999E-2</v>
      </c>
      <c r="N10" s="423">
        <v>8.3299999999999999E-2</v>
      </c>
      <c r="O10" s="423">
        <v>8.3299999999999999E-2</v>
      </c>
      <c r="P10" s="423">
        <v>8.3299999999999999E-2</v>
      </c>
      <c r="Q10" s="423">
        <v>8.3299999999999999E-2</v>
      </c>
      <c r="R10" s="423">
        <v>8.3699999999999997E-2</v>
      </c>
      <c r="S10" s="208">
        <f>SUM(G10:R10)</f>
        <v>1</v>
      </c>
      <c r="T10" s="531"/>
      <c r="U10" s="525"/>
      <c r="V10" s="526"/>
    </row>
    <row r="11" spans="1:31" ht="45.75" customHeight="1" x14ac:dyDescent="0.25">
      <c r="A11" s="529"/>
      <c r="B11" s="547"/>
      <c r="C11" s="526" t="s">
        <v>671</v>
      </c>
      <c r="D11" s="528" t="s">
        <v>318</v>
      </c>
      <c r="E11" s="528" t="s">
        <v>318</v>
      </c>
      <c r="F11" s="128" t="s">
        <v>19</v>
      </c>
      <c r="G11" s="423">
        <v>8.3299999999999999E-2</v>
      </c>
      <c r="H11" s="423">
        <v>8.3299999999999999E-2</v>
      </c>
      <c r="I11" s="423">
        <v>8.3299999999999999E-2</v>
      </c>
      <c r="J11" s="423">
        <v>8.3299999999999999E-2</v>
      </c>
      <c r="K11" s="423">
        <v>8.3299999999999999E-2</v>
      </c>
      <c r="L11" s="423">
        <v>8.3299999999999999E-2</v>
      </c>
      <c r="M11" s="423">
        <v>8.3299999999999999E-2</v>
      </c>
      <c r="N11" s="423">
        <v>8.3299999999999999E-2</v>
      </c>
      <c r="O11" s="423">
        <v>8.3299999999999999E-2</v>
      </c>
      <c r="P11" s="423">
        <v>8.3299999999999999E-2</v>
      </c>
      <c r="Q11" s="423">
        <v>8.3299999999999999E-2</v>
      </c>
      <c r="R11" s="423">
        <v>8.3699999999999997E-2</v>
      </c>
      <c r="S11" s="126">
        <f t="shared" ref="S11:S64" si="0">SUM(G11:R11)</f>
        <v>1</v>
      </c>
      <c r="T11" s="531"/>
      <c r="U11" s="525">
        <v>0.03</v>
      </c>
      <c r="V11" s="526" t="s">
        <v>655</v>
      </c>
    </row>
    <row r="12" spans="1:31" ht="45.75" customHeight="1" x14ac:dyDescent="0.25">
      <c r="A12" s="529"/>
      <c r="B12" s="547"/>
      <c r="C12" s="526"/>
      <c r="D12" s="528"/>
      <c r="E12" s="528"/>
      <c r="F12" s="129" t="s">
        <v>20</v>
      </c>
      <c r="G12" s="424">
        <v>8.3299999999999999E-2</v>
      </c>
      <c r="H12" s="424">
        <v>8.3299999999999999E-2</v>
      </c>
      <c r="I12" s="424">
        <v>8.3299999999999999E-2</v>
      </c>
      <c r="J12" s="424">
        <v>8.3299999999999999E-2</v>
      </c>
      <c r="K12" s="424">
        <v>8.3299999999999999E-2</v>
      </c>
      <c r="L12" s="424">
        <v>8.3299999999999999E-2</v>
      </c>
      <c r="M12" s="424">
        <v>8.3299999999999999E-2</v>
      </c>
      <c r="N12" s="424">
        <v>8.3299999999999999E-2</v>
      </c>
      <c r="O12" s="424">
        <v>8.3299999999999999E-2</v>
      </c>
      <c r="P12" s="424">
        <v>8.3299999999999999E-2</v>
      </c>
      <c r="Q12" s="424">
        <v>8.3299999999999999E-2</v>
      </c>
      <c r="R12" s="423">
        <v>8.3699999999999997E-2</v>
      </c>
      <c r="S12" s="213">
        <f t="shared" si="0"/>
        <v>1</v>
      </c>
      <c r="T12" s="531"/>
      <c r="U12" s="525"/>
      <c r="V12" s="526"/>
      <c r="Y12" s="8"/>
      <c r="Z12" s="8"/>
      <c r="AA12" s="8"/>
      <c r="AB12" s="8"/>
      <c r="AC12" s="8"/>
      <c r="AD12" s="8"/>
      <c r="AE12" s="8"/>
    </row>
    <row r="13" spans="1:31" ht="45.75" customHeight="1" x14ac:dyDescent="0.25">
      <c r="A13" s="529"/>
      <c r="B13" s="547"/>
      <c r="C13" s="526" t="s">
        <v>672</v>
      </c>
      <c r="D13" s="528" t="s">
        <v>318</v>
      </c>
      <c r="E13" s="528" t="s">
        <v>318</v>
      </c>
      <c r="F13" s="128" t="s">
        <v>19</v>
      </c>
      <c r="G13" s="423">
        <v>5.8799999999999998E-2</v>
      </c>
      <c r="H13" s="423">
        <v>5.8799999999999998E-2</v>
      </c>
      <c r="I13" s="423">
        <v>0.1176</v>
      </c>
      <c r="J13" s="423">
        <v>5.8799999999999998E-2</v>
      </c>
      <c r="K13" s="423">
        <v>5.8799999999999998E-2</v>
      </c>
      <c r="L13" s="423">
        <v>0.1764</v>
      </c>
      <c r="M13" s="423">
        <v>5.8799999999999998E-2</v>
      </c>
      <c r="N13" s="423">
        <v>5.8799999999999998E-2</v>
      </c>
      <c r="O13" s="423">
        <v>0.1176</v>
      </c>
      <c r="P13" s="423">
        <v>5.8799999999999998E-2</v>
      </c>
      <c r="Q13" s="423">
        <v>5.8799999999999998E-2</v>
      </c>
      <c r="R13" s="423">
        <v>0.11799999999999999</v>
      </c>
      <c r="S13" s="126">
        <f t="shared" si="0"/>
        <v>0.99999999999999989</v>
      </c>
      <c r="T13" s="531"/>
      <c r="U13" s="525">
        <v>0.03</v>
      </c>
      <c r="V13" s="526" t="s">
        <v>656</v>
      </c>
      <c r="Y13" s="8"/>
      <c r="Z13" s="8"/>
      <c r="AA13" s="8"/>
      <c r="AB13" s="8"/>
      <c r="AC13" s="8"/>
      <c r="AD13" s="8"/>
      <c r="AE13" s="8"/>
    </row>
    <row r="14" spans="1:31" ht="45.75" customHeight="1" x14ac:dyDescent="0.25">
      <c r="A14" s="529"/>
      <c r="B14" s="547"/>
      <c r="C14" s="526"/>
      <c r="D14" s="528"/>
      <c r="E14" s="528"/>
      <c r="F14" s="129" t="s">
        <v>20</v>
      </c>
      <c r="G14" s="424">
        <v>0</v>
      </c>
      <c r="H14" s="424">
        <v>0.1176</v>
      </c>
      <c r="I14" s="424">
        <v>0.1176</v>
      </c>
      <c r="J14" s="424">
        <v>5.8799999999999998E-2</v>
      </c>
      <c r="K14" s="424">
        <v>5.8799999999999998E-2</v>
      </c>
      <c r="L14" s="424">
        <v>0.1764</v>
      </c>
      <c r="M14" s="424">
        <v>5.8799999999999998E-2</v>
      </c>
      <c r="N14" s="424">
        <v>5.8799999999999998E-2</v>
      </c>
      <c r="O14" s="424">
        <v>0.1176</v>
      </c>
      <c r="P14" s="424">
        <v>5.8799999999999998E-2</v>
      </c>
      <c r="Q14" s="424">
        <v>5.8799999999999998E-2</v>
      </c>
      <c r="R14" s="423">
        <v>0.11799999999999999</v>
      </c>
      <c r="S14" s="213">
        <f t="shared" si="0"/>
        <v>0.99999999999999989</v>
      </c>
      <c r="T14" s="531"/>
      <c r="U14" s="525"/>
      <c r="V14" s="526"/>
      <c r="Y14" s="8"/>
      <c r="Z14" s="8"/>
      <c r="AA14" s="8"/>
      <c r="AB14" s="8"/>
      <c r="AC14" s="8"/>
      <c r="AD14" s="8"/>
      <c r="AE14" s="8"/>
    </row>
    <row r="15" spans="1:31" ht="45.75" customHeight="1" x14ac:dyDescent="0.25">
      <c r="A15" s="529"/>
      <c r="B15" s="547"/>
      <c r="C15" s="526" t="s">
        <v>673</v>
      </c>
      <c r="D15" s="528" t="s">
        <v>318</v>
      </c>
      <c r="E15" s="528" t="s">
        <v>318</v>
      </c>
      <c r="F15" s="128" t="s">
        <v>19</v>
      </c>
      <c r="G15" s="423">
        <v>0</v>
      </c>
      <c r="H15" s="423">
        <v>0</v>
      </c>
      <c r="I15" s="423">
        <v>0.25</v>
      </c>
      <c r="J15" s="423">
        <v>0</v>
      </c>
      <c r="K15" s="423">
        <v>0</v>
      </c>
      <c r="L15" s="423">
        <v>0.25</v>
      </c>
      <c r="M15" s="423">
        <v>0</v>
      </c>
      <c r="N15" s="423">
        <v>0</v>
      </c>
      <c r="O15" s="423">
        <v>0.25</v>
      </c>
      <c r="P15" s="423">
        <v>0</v>
      </c>
      <c r="Q15" s="423">
        <v>0</v>
      </c>
      <c r="R15" s="423">
        <v>0.25</v>
      </c>
      <c r="S15" s="126">
        <f t="shared" si="0"/>
        <v>1</v>
      </c>
      <c r="T15" s="531"/>
      <c r="U15" s="525">
        <v>0.02</v>
      </c>
      <c r="V15" s="526" t="s">
        <v>657</v>
      </c>
    </row>
    <row r="16" spans="1:31" ht="45.75" customHeight="1" x14ac:dyDescent="0.25">
      <c r="A16" s="529"/>
      <c r="B16" s="547"/>
      <c r="C16" s="526"/>
      <c r="D16" s="528"/>
      <c r="E16" s="528"/>
      <c r="F16" s="129" t="s">
        <v>20</v>
      </c>
      <c r="G16" s="424">
        <v>0</v>
      </c>
      <c r="H16" s="424">
        <v>0</v>
      </c>
      <c r="I16" s="424">
        <v>0.25</v>
      </c>
      <c r="J16" s="424">
        <v>0</v>
      </c>
      <c r="K16" s="424">
        <v>0</v>
      </c>
      <c r="L16" s="424">
        <v>0.25</v>
      </c>
      <c r="M16" s="424">
        <v>0</v>
      </c>
      <c r="N16" s="424">
        <v>0</v>
      </c>
      <c r="O16" s="424">
        <v>0.25</v>
      </c>
      <c r="P16" s="424">
        <v>0</v>
      </c>
      <c r="Q16" s="424">
        <v>0</v>
      </c>
      <c r="R16" s="424">
        <v>0.25</v>
      </c>
      <c r="S16" s="214">
        <f t="shared" si="0"/>
        <v>1</v>
      </c>
      <c r="T16" s="531"/>
      <c r="U16" s="525"/>
      <c r="V16" s="526"/>
    </row>
    <row r="17" spans="1:22" ht="45.75" customHeight="1" x14ac:dyDescent="0.25">
      <c r="A17" s="529"/>
      <c r="B17" s="547"/>
      <c r="C17" s="530" t="s">
        <v>674</v>
      </c>
      <c r="D17" s="528" t="s">
        <v>318</v>
      </c>
      <c r="E17" s="528" t="s">
        <v>318</v>
      </c>
      <c r="F17" s="128" t="s">
        <v>19</v>
      </c>
      <c r="G17" s="423">
        <v>8.3299999999999999E-2</v>
      </c>
      <c r="H17" s="423">
        <v>8.3299999999999999E-2</v>
      </c>
      <c r="I17" s="423">
        <v>8.3299999999999999E-2</v>
      </c>
      <c r="J17" s="423">
        <v>8.3299999999999999E-2</v>
      </c>
      <c r="K17" s="423">
        <v>8.3299999999999999E-2</v>
      </c>
      <c r="L17" s="423">
        <v>8.3299999999999999E-2</v>
      </c>
      <c r="M17" s="423">
        <v>8.3299999999999999E-2</v>
      </c>
      <c r="N17" s="423">
        <v>8.3299999999999999E-2</v>
      </c>
      <c r="O17" s="423">
        <v>8.3299999999999999E-2</v>
      </c>
      <c r="P17" s="423">
        <v>8.3299999999999999E-2</v>
      </c>
      <c r="Q17" s="423">
        <v>8.3299999999999999E-2</v>
      </c>
      <c r="R17" s="423">
        <v>8.3699999999999997E-2</v>
      </c>
      <c r="S17" s="126">
        <f t="shared" si="0"/>
        <v>1</v>
      </c>
      <c r="T17" s="531"/>
      <c r="U17" s="525">
        <v>0.02</v>
      </c>
      <c r="V17" s="526" t="s">
        <v>658</v>
      </c>
    </row>
    <row r="18" spans="1:22" ht="45.75" customHeight="1" x14ac:dyDescent="0.25">
      <c r="A18" s="529"/>
      <c r="B18" s="547"/>
      <c r="C18" s="530"/>
      <c r="D18" s="528"/>
      <c r="E18" s="528"/>
      <c r="F18" s="129" t="s">
        <v>20</v>
      </c>
      <c r="G18" s="424">
        <v>0</v>
      </c>
      <c r="H18" s="424">
        <v>8.3299999999999999E-2</v>
      </c>
      <c r="I18" s="424">
        <v>0.1666</v>
      </c>
      <c r="J18" s="424">
        <v>8.3299999999999999E-2</v>
      </c>
      <c r="K18" s="424">
        <v>8.3299999999999999E-2</v>
      </c>
      <c r="L18" s="424">
        <v>8.3299999999999999E-2</v>
      </c>
      <c r="M18" s="424">
        <v>8.3299999999999999E-2</v>
      </c>
      <c r="N18" s="424">
        <v>8.3299999999999999E-2</v>
      </c>
      <c r="O18" s="424">
        <v>8.3299999999999999E-2</v>
      </c>
      <c r="P18" s="424">
        <v>8.3299999999999999E-2</v>
      </c>
      <c r="Q18" s="424">
        <v>8.3299999999999999E-2</v>
      </c>
      <c r="R18" s="423">
        <v>8.3699999999999997E-2</v>
      </c>
      <c r="S18" s="214">
        <f t="shared" si="0"/>
        <v>1</v>
      </c>
      <c r="T18" s="531"/>
      <c r="U18" s="525"/>
      <c r="V18" s="526"/>
    </row>
    <row r="19" spans="1:22" ht="45.75" customHeight="1" x14ac:dyDescent="0.25">
      <c r="A19" s="542" t="s">
        <v>304</v>
      </c>
      <c r="B19" s="529" t="s">
        <v>622</v>
      </c>
      <c r="C19" s="530" t="s">
        <v>675</v>
      </c>
      <c r="D19" s="528" t="s">
        <v>318</v>
      </c>
      <c r="E19" s="528" t="s">
        <v>318</v>
      </c>
      <c r="F19" s="128" t="s">
        <v>19</v>
      </c>
      <c r="G19" s="423">
        <v>2.5000000000000001E-2</v>
      </c>
      <c r="H19" s="423">
        <v>2.5000000000000001E-2</v>
      </c>
      <c r="I19" s="423">
        <v>0.1</v>
      </c>
      <c r="J19" s="423">
        <v>0.1</v>
      </c>
      <c r="K19" s="423">
        <v>0.125</v>
      </c>
      <c r="L19" s="423">
        <v>0.125</v>
      </c>
      <c r="M19" s="423">
        <v>2.5000000000000001E-2</v>
      </c>
      <c r="N19" s="423">
        <v>2.5000000000000001E-2</v>
      </c>
      <c r="O19" s="423">
        <v>0.1</v>
      </c>
      <c r="P19" s="423">
        <v>0.1</v>
      </c>
      <c r="Q19" s="423">
        <v>0.125</v>
      </c>
      <c r="R19" s="423">
        <v>0.125</v>
      </c>
      <c r="S19" s="126">
        <f t="shared" si="0"/>
        <v>1</v>
      </c>
      <c r="T19" s="531">
        <v>0.15</v>
      </c>
      <c r="U19" s="525">
        <v>0.05</v>
      </c>
      <c r="V19" s="583" t="s">
        <v>638</v>
      </c>
    </row>
    <row r="20" spans="1:22" ht="45.75" customHeight="1" x14ac:dyDescent="0.25">
      <c r="A20" s="542"/>
      <c r="B20" s="529"/>
      <c r="C20" s="530"/>
      <c r="D20" s="528"/>
      <c r="E20" s="528"/>
      <c r="F20" s="129" t="s">
        <v>20</v>
      </c>
      <c r="G20" s="424">
        <v>0</v>
      </c>
      <c r="H20" s="424">
        <v>0.05</v>
      </c>
      <c r="I20" s="424">
        <v>0.1</v>
      </c>
      <c r="J20" s="424">
        <v>0.1</v>
      </c>
      <c r="K20" s="424">
        <v>0.125</v>
      </c>
      <c r="L20" s="424">
        <v>0.125</v>
      </c>
      <c r="M20" s="424">
        <v>2.5000000000000001E-2</v>
      </c>
      <c r="N20" s="424">
        <v>2.5000000000000001E-2</v>
      </c>
      <c r="O20" s="424">
        <v>0.1</v>
      </c>
      <c r="P20" s="424">
        <v>0.1</v>
      </c>
      <c r="Q20" s="424">
        <v>0.125</v>
      </c>
      <c r="R20" s="423">
        <v>0.125</v>
      </c>
      <c r="S20" s="214">
        <f t="shared" si="0"/>
        <v>1</v>
      </c>
      <c r="T20" s="531"/>
      <c r="U20" s="525"/>
      <c r="V20" s="545"/>
    </row>
    <row r="21" spans="1:22" ht="45.75" customHeight="1" x14ac:dyDescent="0.25">
      <c r="A21" s="542"/>
      <c r="B21" s="529"/>
      <c r="C21" s="530" t="s">
        <v>676</v>
      </c>
      <c r="D21" s="582" t="s">
        <v>318</v>
      </c>
      <c r="E21" s="528" t="s">
        <v>318</v>
      </c>
      <c r="F21" s="128" t="s">
        <v>19</v>
      </c>
      <c r="G21" s="423">
        <v>2.5000000000000001E-2</v>
      </c>
      <c r="H21" s="423">
        <v>2.5000000000000001E-2</v>
      </c>
      <c r="I21" s="423">
        <v>0.1</v>
      </c>
      <c r="J21" s="423">
        <v>0.1</v>
      </c>
      <c r="K21" s="423">
        <v>0.125</v>
      </c>
      <c r="L21" s="423">
        <v>0.125</v>
      </c>
      <c r="M21" s="423">
        <v>2.5000000000000001E-2</v>
      </c>
      <c r="N21" s="423">
        <v>2.5000000000000001E-2</v>
      </c>
      <c r="O21" s="423">
        <v>0.1</v>
      </c>
      <c r="P21" s="423">
        <v>0.1</v>
      </c>
      <c r="Q21" s="423">
        <v>0.125</v>
      </c>
      <c r="R21" s="423">
        <v>0.125</v>
      </c>
      <c r="S21" s="126">
        <f t="shared" si="0"/>
        <v>1</v>
      </c>
      <c r="T21" s="531"/>
      <c r="U21" s="525">
        <v>0.05</v>
      </c>
      <c r="V21" s="543" t="s">
        <v>639</v>
      </c>
    </row>
    <row r="22" spans="1:22" ht="45.75" customHeight="1" x14ac:dyDescent="0.25">
      <c r="A22" s="542"/>
      <c r="B22" s="529"/>
      <c r="C22" s="530"/>
      <c r="D22" s="582"/>
      <c r="E22" s="528"/>
      <c r="F22" s="129" t="s">
        <v>20</v>
      </c>
      <c r="G22" s="424">
        <v>0</v>
      </c>
      <c r="H22" s="424">
        <v>0.05</v>
      </c>
      <c r="I22" s="424">
        <v>0.1</v>
      </c>
      <c r="J22" s="424">
        <v>0.1</v>
      </c>
      <c r="K22" s="424">
        <v>0.125</v>
      </c>
      <c r="L22" s="424">
        <v>0.125</v>
      </c>
      <c r="M22" s="424">
        <v>2.5000000000000001E-2</v>
      </c>
      <c r="N22" s="424">
        <v>2.5000000000000001E-2</v>
      </c>
      <c r="O22" s="424">
        <v>0.1</v>
      </c>
      <c r="P22" s="424">
        <v>0.1</v>
      </c>
      <c r="Q22" s="424">
        <v>0.125</v>
      </c>
      <c r="R22" s="423">
        <v>0.125</v>
      </c>
      <c r="S22" s="214">
        <f t="shared" si="0"/>
        <v>1</v>
      </c>
      <c r="T22" s="531"/>
      <c r="U22" s="525"/>
      <c r="V22" s="544"/>
    </row>
    <row r="23" spans="1:22" ht="45.75" customHeight="1" x14ac:dyDescent="0.25">
      <c r="A23" s="542"/>
      <c r="B23" s="529"/>
      <c r="C23" s="530" t="s">
        <v>677</v>
      </c>
      <c r="D23" s="528" t="s">
        <v>318</v>
      </c>
      <c r="E23" s="528" t="s">
        <v>318</v>
      </c>
      <c r="F23" s="128" t="s">
        <v>19</v>
      </c>
      <c r="G23" s="423">
        <v>2.5000000000000001E-2</v>
      </c>
      <c r="H23" s="423">
        <v>2.5000000000000001E-2</v>
      </c>
      <c r="I23" s="423">
        <v>0.1</v>
      </c>
      <c r="J23" s="423">
        <v>0.1</v>
      </c>
      <c r="K23" s="423">
        <v>0.125</v>
      </c>
      <c r="L23" s="423">
        <v>0.125</v>
      </c>
      <c r="M23" s="423">
        <v>2.5000000000000001E-2</v>
      </c>
      <c r="N23" s="423">
        <v>2.5000000000000001E-2</v>
      </c>
      <c r="O23" s="423">
        <v>0.1</v>
      </c>
      <c r="P23" s="423">
        <v>0.1</v>
      </c>
      <c r="Q23" s="423">
        <v>0.125</v>
      </c>
      <c r="R23" s="423">
        <v>0.125</v>
      </c>
      <c r="S23" s="126">
        <f t="shared" si="0"/>
        <v>1</v>
      </c>
      <c r="T23" s="531"/>
      <c r="U23" s="525">
        <v>0.05</v>
      </c>
      <c r="V23" s="545" t="s">
        <v>640</v>
      </c>
    </row>
    <row r="24" spans="1:22" ht="45.75" customHeight="1" x14ac:dyDescent="0.25">
      <c r="A24" s="542"/>
      <c r="B24" s="529"/>
      <c r="C24" s="530"/>
      <c r="D24" s="528"/>
      <c r="E24" s="528"/>
      <c r="F24" s="129" t="s">
        <v>20</v>
      </c>
      <c r="G24" s="424">
        <v>0</v>
      </c>
      <c r="H24" s="424">
        <v>0.05</v>
      </c>
      <c r="I24" s="424">
        <v>0.1</v>
      </c>
      <c r="J24" s="424">
        <v>0.1</v>
      </c>
      <c r="K24" s="424">
        <v>0.125</v>
      </c>
      <c r="L24" s="424">
        <v>0.125</v>
      </c>
      <c r="M24" s="424">
        <v>2.5000000000000001E-2</v>
      </c>
      <c r="N24" s="424">
        <v>2.5000000000000001E-2</v>
      </c>
      <c r="O24" s="424">
        <v>0.1</v>
      </c>
      <c r="P24" s="424">
        <v>0.1</v>
      </c>
      <c r="Q24" s="424">
        <v>0.125</v>
      </c>
      <c r="R24" s="423">
        <v>0.125</v>
      </c>
      <c r="S24" s="214">
        <f t="shared" si="0"/>
        <v>1</v>
      </c>
      <c r="T24" s="531"/>
      <c r="U24" s="525"/>
      <c r="V24" s="546"/>
    </row>
    <row r="25" spans="1:22" ht="45.75" customHeight="1" x14ac:dyDescent="0.25">
      <c r="A25" s="529" t="s">
        <v>304</v>
      </c>
      <c r="B25" s="529" t="s">
        <v>339</v>
      </c>
      <c r="C25" s="530" t="s">
        <v>678</v>
      </c>
      <c r="D25" s="528" t="s">
        <v>318</v>
      </c>
      <c r="E25" s="528" t="s">
        <v>318</v>
      </c>
      <c r="F25" s="128" t="s">
        <v>19</v>
      </c>
      <c r="G25" s="423">
        <v>0.05</v>
      </c>
      <c r="H25" s="423">
        <v>0.1</v>
      </c>
      <c r="I25" s="423">
        <v>0.05</v>
      </c>
      <c r="J25" s="423">
        <v>0.1</v>
      </c>
      <c r="K25" s="423">
        <v>0.1</v>
      </c>
      <c r="L25" s="423">
        <v>0.05</v>
      </c>
      <c r="M25" s="423">
        <v>0.1</v>
      </c>
      <c r="N25" s="423">
        <v>0.1</v>
      </c>
      <c r="O25" s="423">
        <v>0.1</v>
      </c>
      <c r="P25" s="423">
        <v>0.1</v>
      </c>
      <c r="Q25" s="423">
        <v>0.1</v>
      </c>
      <c r="R25" s="423">
        <v>0.05</v>
      </c>
      <c r="S25" s="126">
        <f t="shared" si="0"/>
        <v>1</v>
      </c>
      <c r="T25" s="531">
        <v>0.15</v>
      </c>
      <c r="U25" s="525">
        <v>4.4999999999999998E-2</v>
      </c>
      <c r="V25" s="537" t="s">
        <v>626</v>
      </c>
    </row>
    <row r="26" spans="1:22" ht="45.75" customHeight="1" x14ac:dyDescent="0.25">
      <c r="A26" s="529"/>
      <c r="B26" s="529"/>
      <c r="C26" s="530"/>
      <c r="D26" s="528"/>
      <c r="E26" s="528"/>
      <c r="F26" s="129" t="s">
        <v>20</v>
      </c>
      <c r="G26" s="424">
        <v>0</v>
      </c>
      <c r="H26" s="424">
        <v>0.1389</v>
      </c>
      <c r="I26" s="423">
        <v>0.1028</v>
      </c>
      <c r="J26" s="423">
        <v>0.13189999999999999</v>
      </c>
      <c r="K26" s="423">
        <v>0.12709999999999999</v>
      </c>
      <c r="L26" s="423">
        <v>9.5799999999999996E-2</v>
      </c>
      <c r="M26" s="423">
        <v>0.12570000000000001</v>
      </c>
      <c r="N26" s="423">
        <v>5.1999999999999998E-2</v>
      </c>
      <c r="O26" s="423">
        <v>0.1</v>
      </c>
      <c r="P26" s="423">
        <v>0.01</v>
      </c>
      <c r="Q26" s="423">
        <v>0.1158</v>
      </c>
      <c r="R26" s="424">
        <v>0</v>
      </c>
      <c r="S26" s="214">
        <f t="shared" si="0"/>
        <v>1</v>
      </c>
      <c r="T26" s="531"/>
      <c r="U26" s="525"/>
      <c r="V26" s="538"/>
    </row>
    <row r="27" spans="1:22" ht="45.75" customHeight="1" x14ac:dyDescent="0.25">
      <c r="A27" s="529"/>
      <c r="B27" s="529"/>
      <c r="C27" s="530" t="s">
        <v>679</v>
      </c>
      <c r="D27" s="528" t="s">
        <v>318</v>
      </c>
      <c r="E27" s="528" t="s">
        <v>318</v>
      </c>
      <c r="F27" s="128" t="s">
        <v>19</v>
      </c>
      <c r="G27" s="423">
        <v>8.3299999999999999E-2</v>
      </c>
      <c r="H27" s="423">
        <v>8.3299999999999999E-2</v>
      </c>
      <c r="I27" s="423">
        <v>8.3299999999999999E-2</v>
      </c>
      <c r="J27" s="423">
        <v>8.3299999999999999E-2</v>
      </c>
      <c r="K27" s="423">
        <v>8.3299999999999999E-2</v>
      </c>
      <c r="L27" s="423">
        <v>8.3299999999999999E-2</v>
      </c>
      <c r="M27" s="423">
        <v>8.3299999999999999E-2</v>
      </c>
      <c r="N27" s="423">
        <v>8.3299999999999999E-2</v>
      </c>
      <c r="O27" s="423">
        <v>8.3299999999999999E-2</v>
      </c>
      <c r="P27" s="423">
        <v>8.3299999999999999E-2</v>
      </c>
      <c r="Q27" s="423">
        <v>8.3299999999999999E-2</v>
      </c>
      <c r="R27" s="423">
        <v>8.3699999999999997E-2</v>
      </c>
      <c r="S27" s="126">
        <f t="shared" si="0"/>
        <v>1</v>
      </c>
      <c r="T27" s="531"/>
      <c r="U27" s="525">
        <v>0.03</v>
      </c>
      <c r="V27" s="526" t="s">
        <v>627</v>
      </c>
    </row>
    <row r="28" spans="1:22" ht="45.75" customHeight="1" x14ac:dyDescent="0.25">
      <c r="A28" s="529"/>
      <c r="B28" s="529"/>
      <c r="C28" s="530"/>
      <c r="D28" s="528"/>
      <c r="E28" s="528"/>
      <c r="F28" s="129" t="s">
        <v>20</v>
      </c>
      <c r="G28" s="424">
        <v>0</v>
      </c>
      <c r="H28" s="424">
        <v>8.3299999999999999E-2</v>
      </c>
      <c r="I28" s="424">
        <v>8.3299999999999999E-2</v>
      </c>
      <c r="J28" s="424">
        <v>0.1666</v>
      </c>
      <c r="K28" s="424">
        <v>8.3299999999999999E-2</v>
      </c>
      <c r="L28" s="424">
        <v>8.3299999999999999E-2</v>
      </c>
      <c r="M28" s="424">
        <v>8.3299999999999999E-2</v>
      </c>
      <c r="N28" s="424">
        <v>8.3299999999999999E-2</v>
      </c>
      <c r="O28" s="424">
        <v>8.3299999999999999E-2</v>
      </c>
      <c r="P28" s="424">
        <v>8.3299999999999999E-2</v>
      </c>
      <c r="Q28" s="424">
        <v>8.3299999999999999E-2</v>
      </c>
      <c r="R28" s="423">
        <v>8.3699999999999997E-2</v>
      </c>
      <c r="S28" s="213">
        <f t="shared" si="0"/>
        <v>1</v>
      </c>
      <c r="T28" s="531"/>
      <c r="U28" s="525"/>
      <c r="V28" s="526"/>
    </row>
    <row r="29" spans="1:22" ht="45.75" customHeight="1" x14ac:dyDescent="0.25">
      <c r="A29" s="529"/>
      <c r="B29" s="529"/>
      <c r="C29" s="530" t="s">
        <v>680</v>
      </c>
      <c r="D29" s="528" t="s">
        <v>318</v>
      </c>
      <c r="E29" s="528" t="s">
        <v>318</v>
      </c>
      <c r="F29" s="128" t="s">
        <v>19</v>
      </c>
      <c r="G29" s="425">
        <v>8.3333333333333329E-2</v>
      </c>
      <c r="H29" s="425">
        <v>8.3333333333333329E-2</v>
      </c>
      <c r="I29" s="425">
        <v>8.3333333333333329E-2</v>
      </c>
      <c r="J29" s="425">
        <v>8.3333333333333329E-2</v>
      </c>
      <c r="K29" s="425">
        <v>8.3333333333333329E-2</v>
      </c>
      <c r="L29" s="425">
        <v>8.3333333333333329E-2</v>
      </c>
      <c r="M29" s="425">
        <v>8.3333333333333329E-2</v>
      </c>
      <c r="N29" s="425">
        <v>8.3333333333333329E-2</v>
      </c>
      <c r="O29" s="425">
        <v>8.3333333333333329E-2</v>
      </c>
      <c r="P29" s="425">
        <v>8.3333333333333329E-2</v>
      </c>
      <c r="Q29" s="425">
        <v>8.3333333333333329E-2</v>
      </c>
      <c r="R29" s="425">
        <v>8.3699999999999997E-2</v>
      </c>
      <c r="S29" s="126">
        <f t="shared" si="0"/>
        <v>1.0003666666666668</v>
      </c>
      <c r="T29" s="531"/>
      <c r="U29" s="525">
        <v>4.4999999999999998E-2</v>
      </c>
      <c r="V29" s="541" t="s">
        <v>641</v>
      </c>
    </row>
    <row r="30" spans="1:22" ht="45.75" customHeight="1" x14ac:dyDescent="0.25">
      <c r="A30" s="529"/>
      <c r="B30" s="529"/>
      <c r="C30" s="530"/>
      <c r="D30" s="528"/>
      <c r="E30" s="528"/>
      <c r="F30" s="129" t="s">
        <v>20</v>
      </c>
      <c r="G30" s="426">
        <v>0</v>
      </c>
      <c r="H30" s="426">
        <v>3.4799999999999998E-2</v>
      </c>
      <c r="I30" s="425">
        <v>8.4099999999999994E-2</v>
      </c>
      <c r="J30" s="425">
        <v>0.1057</v>
      </c>
      <c r="K30" s="425">
        <v>9.0800000000000006E-2</v>
      </c>
      <c r="L30" s="425">
        <v>0.1182</v>
      </c>
      <c r="M30" s="425">
        <v>9.1499999999999998E-2</v>
      </c>
      <c r="N30" s="425">
        <v>9.8599999999999993E-2</v>
      </c>
      <c r="O30" s="425">
        <v>8.3299999999999999E-2</v>
      </c>
      <c r="P30" s="425">
        <v>0.1711</v>
      </c>
      <c r="Q30" s="425">
        <v>0.11890000000000001</v>
      </c>
      <c r="R30" s="425">
        <v>3.0000000000000001E-3</v>
      </c>
      <c r="S30" s="208">
        <f t="shared" si="0"/>
        <v>1</v>
      </c>
      <c r="T30" s="531"/>
      <c r="U30" s="525"/>
      <c r="V30" s="541"/>
    </row>
    <row r="31" spans="1:22" ht="45.75" customHeight="1" x14ac:dyDescent="0.25">
      <c r="A31" s="529"/>
      <c r="B31" s="529"/>
      <c r="C31" s="530" t="s">
        <v>681</v>
      </c>
      <c r="D31" s="528" t="s">
        <v>318</v>
      </c>
      <c r="E31" s="528" t="s">
        <v>318</v>
      </c>
      <c r="F31" s="128" t="s">
        <v>19</v>
      </c>
      <c r="G31" s="423">
        <v>4.2857142857142858E-2</v>
      </c>
      <c r="H31" s="423">
        <v>4.2857142857142858E-2</v>
      </c>
      <c r="I31" s="423">
        <v>5.7142857142857141E-2</v>
      </c>
      <c r="J31" s="423">
        <v>7.1428571428571425E-2</v>
      </c>
      <c r="K31" s="423">
        <v>0.1</v>
      </c>
      <c r="L31" s="423">
        <v>0.1</v>
      </c>
      <c r="M31" s="423">
        <v>0.1</v>
      </c>
      <c r="N31" s="423">
        <v>0.1</v>
      </c>
      <c r="O31" s="423">
        <v>0.1</v>
      </c>
      <c r="P31" s="423">
        <v>0.1</v>
      </c>
      <c r="Q31" s="423">
        <v>0.1</v>
      </c>
      <c r="R31" s="423">
        <v>8.5714285714285715E-2</v>
      </c>
      <c r="S31" s="126">
        <f t="shared" si="0"/>
        <v>0.99999999999999989</v>
      </c>
      <c r="T31" s="531"/>
      <c r="U31" s="525">
        <v>1.4999999999999999E-2</v>
      </c>
      <c r="V31" s="539" t="s">
        <v>642</v>
      </c>
    </row>
    <row r="32" spans="1:22" ht="45.75" customHeight="1" x14ac:dyDescent="0.25">
      <c r="A32" s="529"/>
      <c r="B32" s="529"/>
      <c r="C32" s="530"/>
      <c r="D32" s="528"/>
      <c r="E32" s="528"/>
      <c r="F32" s="129" t="s">
        <v>20</v>
      </c>
      <c r="G32" s="424">
        <v>0</v>
      </c>
      <c r="H32" s="424">
        <v>4.6199999999999998E-2</v>
      </c>
      <c r="I32" s="424">
        <v>9.2299999999999993E-2</v>
      </c>
      <c r="J32" s="424">
        <v>9.2299999999999993E-2</v>
      </c>
      <c r="K32" s="424">
        <v>0.1</v>
      </c>
      <c r="L32" s="424">
        <v>8.3299999999999999E-2</v>
      </c>
      <c r="M32" s="424">
        <v>0.1245</v>
      </c>
      <c r="N32" s="424">
        <v>0.1</v>
      </c>
      <c r="O32" s="424">
        <v>0.1</v>
      </c>
      <c r="P32" s="424">
        <v>7.5700000000000003E-2</v>
      </c>
      <c r="Q32" s="424">
        <v>0.1</v>
      </c>
      <c r="R32" s="424">
        <v>8.5699999999999998E-2</v>
      </c>
      <c r="S32" s="213">
        <f t="shared" si="0"/>
        <v>0.99999999999999989</v>
      </c>
      <c r="T32" s="531"/>
      <c r="U32" s="525"/>
      <c r="V32" s="540"/>
    </row>
    <row r="33" spans="1:22" ht="45.75" customHeight="1" x14ac:dyDescent="0.25">
      <c r="A33" s="529"/>
      <c r="B33" s="529"/>
      <c r="C33" s="530" t="s">
        <v>682</v>
      </c>
      <c r="D33" s="528" t="s">
        <v>318</v>
      </c>
      <c r="E33" s="528" t="s">
        <v>318</v>
      </c>
      <c r="F33" s="128" t="s">
        <v>19</v>
      </c>
      <c r="G33" s="423">
        <v>8.3299999999999999E-2</v>
      </c>
      <c r="H33" s="423">
        <v>8.3299999999999999E-2</v>
      </c>
      <c r="I33" s="423">
        <v>8.3299999999999999E-2</v>
      </c>
      <c r="J33" s="423">
        <v>8.3299999999999999E-2</v>
      </c>
      <c r="K33" s="423">
        <v>8.3299999999999999E-2</v>
      </c>
      <c r="L33" s="423">
        <v>8.3299999999999999E-2</v>
      </c>
      <c r="M33" s="423">
        <v>8.3299999999999999E-2</v>
      </c>
      <c r="N33" s="423">
        <v>8.3299999999999999E-2</v>
      </c>
      <c r="O33" s="423">
        <v>8.3299999999999999E-2</v>
      </c>
      <c r="P33" s="423">
        <v>8.3299999999999999E-2</v>
      </c>
      <c r="Q33" s="423">
        <v>8.3299999999999999E-2</v>
      </c>
      <c r="R33" s="423">
        <v>8.3699999999999997E-2</v>
      </c>
      <c r="S33" s="126">
        <f t="shared" si="0"/>
        <v>1</v>
      </c>
      <c r="T33" s="531"/>
      <c r="U33" s="525">
        <v>1.4999999999999999E-2</v>
      </c>
      <c r="V33" s="541" t="s">
        <v>643</v>
      </c>
    </row>
    <row r="34" spans="1:22" ht="45.75" customHeight="1" x14ac:dyDescent="0.25">
      <c r="A34" s="529"/>
      <c r="B34" s="529"/>
      <c r="C34" s="530"/>
      <c r="D34" s="528"/>
      <c r="E34" s="528"/>
      <c r="F34" s="129" t="s">
        <v>20</v>
      </c>
      <c r="G34" s="424">
        <v>0</v>
      </c>
      <c r="H34" s="424">
        <v>0</v>
      </c>
      <c r="I34" s="424">
        <v>8.3299999999999999E-2</v>
      </c>
      <c r="J34" s="424">
        <v>0.1666</v>
      </c>
      <c r="K34" s="424">
        <v>8.3299999999999999E-2</v>
      </c>
      <c r="L34" s="424">
        <v>0.1666</v>
      </c>
      <c r="M34" s="424">
        <v>8.3299999999999999E-2</v>
      </c>
      <c r="N34" s="424">
        <v>8.3299999999999999E-2</v>
      </c>
      <c r="O34" s="424">
        <v>8.3299999999999999E-2</v>
      </c>
      <c r="P34" s="424">
        <v>8.3299999999999999E-2</v>
      </c>
      <c r="Q34" s="424">
        <v>8.3299999999999999E-2</v>
      </c>
      <c r="R34" s="423">
        <v>8.3699999999999997E-2</v>
      </c>
      <c r="S34" s="213">
        <f t="shared" si="0"/>
        <v>1.0000000000000002</v>
      </c>
      <c r="T34" s="531"/>
      <c r="U34" s="525"/>
      <c r="V34" s="541"/>
    </row>
    <row r="35" spans="1:22" ht="45.75" customHeight="1" x14ac:dyDescent="0.25">
      <c r="A35" s="529" t="s">
        <v>319</v>
      </c>
      <c r="B35" s="529" t="s">
        <v>329</v>
      </c>
      <c r="C35" s="530" t="s">
        <v>683</v>
      </c>
      <c r="D35" s="528" t="s">
        <v>318</v>
      </c>
      <c r="E35" s="528" t="s">
        <v>318</v>
      </c>
      <c r="F35" s="128" t="s">
        <v>19</v>
      </c>
      <c r="G35" s="423">
        <v>0</v>
      </c>
      <c r="H35" s="427">
        <v>7.3134328358208961E-2</v>
      </c>
      <c r="I35" s="423">
        <v>0.10298507462686568</v>
      </c>
      <c r="J35" s="423">
        <v>0.10298507462686568</v>
      </c>
      <c r="K35" s="423">
        <v>0.10298507462686568</v>
      </c>
      <c r="L35" s="423">
        <v>0.10298507462686568</v>
      </c>
      <c r="M35" s="423">
        <v>0.10298507462686568</v>
      </c>
      <c r="N35" s="423">
        <v>0.10298507462686568</v>
      </c>
      <c r="O35" s="423">
        <v>0.10298507462686568</v>
      </c>
      <c r="P35" s="423">
        <v>0.10298507462686568</v>
      </c>
      <c r="Q35" s="423">
        <v>0.10298507462686568</v>
      </c>
      <c r="R35" s="423">
        <v>0</v>
      </c>
      <c r="S35" s="130">
        <f t="shared" si="0"/>
        <v>1</v>
      </c>
      <c r="T35" s="531">
        <v>0.15</v>
      </c>
      <c r="U35" s="525">
        <v>0.1275</v>
      </c>
      <c r="V35" s="530" t="s">
        <v>628</v>
      </c>
    </row>
    <row r="36" spans="1:22" ht="45.75" customHeight="1" x14ac:dyDescent="0.25">
      <c r="A36" s="529"/>
      <c r="B36" s="529"/>
      <c r="C36" s="530"/>
      <c r="D36" s="528"/>
      <c r="E36" s="528"/>
      <c r="F36" s="129" t="s">
        <v>20</v>
      </c>
      <c r="G36" s="424">
        <v>3.7313432835820895E-3</v>
      </c>
      <c r="H36" s="424">
        <v>9.8900000000000002E-2</v>
      </c>
      <c r="I36" s="424">
        <v>8.0199999999999994E-2</v>
      </c>
      <c r="J36" s="424">
        <v>8.8599999999999998E-2</v>
      </c>
      <c r="K36" s="424">
        <v>0.16320000000000001</v>
      </c>
      <c r="L36" s="424">
        <v>0.10539999999999999</v>
      </c>
      <c r="M36" s="424">
        <v>0.1119</v>
      </c>
      <c r="N36" s="424">
        <v>9.3299999999999994E-2</v>
      </c>
      <c r="O36" s="424">
        <v>0.1138</v>
      </c>
      <c r="P36" s="424">
        <v>0.1022</v>
      </c>
      <c r="Q36" s="428">
        <v>3.8800000000000001E-2</v>
      </c>
      <c r="R36" s="428">
        <v>0</v>
      </c>
      <c r="S36" s="213">
        <f t="shared" si="0"/>
        <v>1.0000313432835821</v>
      </c>
      <c r="T36" s="531"/>
      <c r="U36" s="525"/>
      <c r="V36" s="533"/>
    </row>
    <row r="37" spans="1:22" ht="45.75" customHeight="1" x14ac:dyDescent="0.25">
      <c r="A37" s="529"/>
      <c r="B37" s="529"/>
      <c r="C37" s="530" t="s">
        <v>684</v>
      </c>
      <c r="D37" s="528" t="s">
        <v>318</v>
      </c>
      <c r="E37" s="528" t="s">
        <v>318</v>
      </c>
      <c r="F37" s="128" t="s">
        <v>19</v>
      </c>
      <c r="G37" s="423">
        <v>0</v>
      </c>
      <c r="H37" s="423">
        <v>0.1</v>
      </c>
      <c r="I37" s="423">
        <v>0.1</v>
      </c>
      <c r="J37" s="423">
        <v>0.1</v>
      </c>
      <c r="K37" s="423">
        <v>0.1</v>
      </c>
      <c r="L37" s="423">
        <v>0.1</v>
      </c>
      <c r="M37" s="423">
        <v>0.1</v>
      </c>
      <c r="N37" s="423">
        <v>0.1</v>
      </c>
      <c r="O37" s="423">
        <v>0.1</v>
      </c>
      <c r="P37" s="423">
        <v>0.1</v>
      </c>
      <c r="Q37" s="423">
        <v>0.1</v>
      </c>
      <c r="R37" s="423">
        <v>0</v>
      </c>
      <c r="S37" s="131">
        <f t="shared" si="0"/>
        <v>0.99999999999999989</v>
      </c>
      <c r="T37" s="531"/>
      <c r="U37" s="525">
        <v>2.2499999999999999E-2</v>
      </c>
      <c r="V37" s="534" t="s">
        <v>629</v>
      </c>
    </row>
    <row r="38" spans="1:22" ht="45.75" customHeight="1" x14ac:dyDescent="0.25">
      <c r="A38" s="529"/>
      <c r="B38" s="529"/>
      <c r="C38" s="530"/>
      <c r="D38" s="528"/>
      <c r="E38" s="528"/>
      <c r="F38" s="129" t="s">
        <v>20</v>
      </c>
      <c r="G38" s="424">
        <v>3.5000000000000003E-2</v>
      </c>
      <c r="H38" s="424">
        <v>0.115</v>
      </c>
      <c r="I38" s="424">
        <v>0.115</v>
      </c>
      <c r="J38" s="424">
        <v>0.1</v>
      </c>
      <c r="K38" s="424">
        <v>9.5000000000000001E-2</v>
      </c>
      <c r="L38" s="424">
        <v>7.0000000000000007E-2</v>
      </c>
      <c r="M38" s="424">
        <v>0.09</v>
      </c>
      <c r="N38" s="424">
        <v>8.5000000000000006E-2</v>
      </c>
      <c r="O38" s="424">
        <v>0.1</v>
      </c>
      <c r="P38" s="428">
        <v>9.5000000000000001E-2</v>
      </c>
      <c r="Q38" s="424">
        <v>0.1</v>
      </c>
      <c r="R38" s="424">
        <v>0</v>
      </c>
      <c r="S38" s="213">
        <f t="shared" si="0"/>
        <v>0.99999999999999989</v>
      </c>
      <c r="T38" s="531"/>
      <c r="U38" s="525"/>
      <c r="V38" s="535"/>
    </row>
    <row r="39" spans="1:22" ht="45.75" customHeight="1" x14ac:dyDescent="0.25">
      <c r="A39" s="529" t="s">
        <v>320</v>
      </c>
      <c r="B39" s="529" t="s">
        <v>321</v>
      </c>
      <c r="C39" s="530" t="s">
        <v>685</v>
      </c>
      <c r="D39" s="528" t="s">
        <v>318</v>
      </c>
      <c r="E39" s="528" t="s">
        <v>318</v>
      </c>
      <c r="F39" s="128" t="s">
        <v>19</v>
      </c>
      <c r="G39" s="423">
        <v>8.3299999999999999E-2</v>
      </c>
      <c r="H39" s="423">
        <v>8.3299999999999999E-2</v>
      </c>
      <c r="I39" s="423">
        <v>8.3299999999999999E-2</v>
      </c>
      <c r="J39" s="423">
        <v>8.3299999999999999E-2</v>
      </c>
      <c r="K39" s="423">
        <v>8.3299999999999999E-2</v>
      </c>
      <c r="L39" s="423">
        <v>8.3299999999999999E-2</v>
      </c>
      <c r="M39" s="423">
        <v>8.3299999999999999E-2</v>
      </c>
      <c r="N39" s="423">
        <v>8.3299999999999999E-2</v>
      </c>
      <c r="O39" s="423">
        <v>8.3299999999999999E-2</v>
      </c>
      <c r="P39" s="423">
        <v>8.3299999999999999E-2</v>
      </c>
      <c r="Q39" s="423">
        <v>8.3299999999999999E-2</v>
      </c>
      <c r="R39" s="423">
        <v>8.3699999999999997E-2</v>
      </c>
      <c r="S39" s="126">
        <f t="shared" si="0"/>
        <v>1</v>
      </c>
      <c r="T39" s="531">
        <v>0.15</v>
      </c>
      <c r="U39" s="525">
        <v>0.04</v>
      </c>
      <c r="V39" s="526" t="s">
        <v>644</v>
      </c>
    </row>
    <row r="40" spans="1:22" ht="45.75" customHeight="1" x14ac:dyDescent="0.25">
      <c r="A40" s="529"/>
      <c r="B40" s="529"/>
      <c r="C40" s="530"/>
      <c r="D40" s="528"/>
      <c r="E40" s="528"/>
      <c r="F40" s="129" t="s">
        <v>20</v>
      </c>
      <c r="G40" s="424">
        <v>8.3299999999999999E-2</v>
      </c>
      <c r="H40" s="424">
        <v>8.3299999999999999E-2</v>
      </c>
      <c r="I40" s="424">
        <v>8.3299999999999999E-2</v>
      </c>
      <c r="J40" s="424">
        <v>8.3299999999999999E-2</v>
      </c>
      <c r="K40" s="424">
        <v>8.3299999999999999E-2</v>
      </c>
      <c r="L40" s="424">
        <v>8.3299999999999999E-2</v>
      </c>
      <c r="M40" s="424">
        <v>8.3299999999999999E-2</v>
      </c>
      <c r="N40" s="424">
        <v>8.3299999999999999E-2</v>
      </c>
      <c r="O40" s="424">
        <v>8.3299999999999999E-2</v>
      </c>
      <c r="P40" s="424">
        <v>8.3299999999999999E-2</v>
      </c>
      <c r="Q40" s="424">
        <v>8.3299999999999999E-2</v>
      </c>
      <c r="R40" s="423">
        <v>8.3699999999999997E-2</v>
      </c>
      <c r="S40" s="213">
        <f t="shared" si="0"/>
        <v>1</v>
      </c>
      <c r="T40" s="531"/>
      <c r="U40" s="525"/>
      <c r="V40" s="536"/>
    </row>
    <row r="41" spans="1:22" ht="45.75" customHeight="1" x14ac:dyDescent="0.25">
      <c r="A41" s="529"/>
      <c r="B41" s="529"/>
      <c r="C41" s="530" t="s">
        <v>686</v>
      </c>
      <c r="D41" s="528" t="s">
        <v>318</v>
      </c>
      <c r="E41" s="528" t="s">
        <v>318</v>
      </c>
      <c r="F41" s="128" t="s">
        <v>19</v>
      </c>
      <c r="G41" s="423">
        <v>8.3299999999999999E-2</v>
      </c>
      <c r="H41" s="423">
        <v>8.3299999999999999E-2</v>
      </c>
      <c r="I41" s="423">
        <v>8.3299999999999999E-2</v>
      </c>
      <c r="J41" s="423">
        <v>8.3299999999999999E-2</v>
      </c>
      <c r="K41" s="423">
        <v>8.3299999999999999E-2</v>
      </c>
      <c r="L41" s="423">
        <v>8.3299999999999999E-2</v>
      </c>
      <c r="M41" s="423">
        <v>8.3299999999999999E-2</v>
      </c>
      <c r="N41" s="423">
        <v>8.3299999999999999E-2</v>
      </c>
      <c r="O41" s="423">
        <v>8.3299999999999999E-2</v>
      </c>
      <c r="P41" s="423">
        <v>8.3299999999999999E-2</v>
      </c>
      <c r="Q41" s="423">
        <v>8.3299999999999999E-2</v>
      </c>
      <c r="R41" s="423">
        <v>8.3699999999999997E-2</v>
      </c>
      <c r="S41" s="126">
        <f t="shared" si="0"/>
        <v>1</v>
      </c>
      <c r="T41" s="531"/>
      <c r="U41" s="525">
        <v>0.03</v>
      </c>
      <c r="V41" s="526" t="s">
        <v>645</v>
      </c>
    </row>
    <row r="42" spans="1:22" ht="45.75" customHeight="1" x14ac:dyDescent="0.25">
      <c r="A42" s="529"/>
      <c r="B42" s="529"/>
      <c r="C42" s="530"/>
      <c r="D42" s="528"/>
      <c r="E42" s="528"/>
      <c r="F42" s="129" t="s">
        <v>20</v>
      </c>
      <c r="G42" s="424">
        <v>0</v>
      </c>
      <c r="H42" s="424">
        <v>8.3299999999999999E-2</v>
      </c>
      <c r="I42" s="424">
        <v>8.3299999999999999E-2</v>
      </c>
      <c r="J42" s="424">
        <v>0.1666</v>
      </c>
      <c r="K42" s="424">
        <v>8.3299999999999999E-2</v>
      </c>
      <c r="L42" s="424">
        <v>8.3299999999999999E-2</v>
      </c>
      <c r="M42" s="424">
        <v>8.3299999999999999E-2</v>
      </c>
      <c r="N42" s="424">
        <v>8.3299999999999999E-2</v>
      </c>
      <c r="O42" s="424">
        <v>8.3299999999999999E-2</v>
      </c>
      <c r="P42" s="424">
        <v>8.3299999999999999E-2</v>
      </c>
      <c r="Q42" s="424">
        <v>8.3299999999999999E-2</v>
      </c>
      <c r="R42" s="423">
        <v>8.3699999999999997E-2</v>
      </c>
      <c r="S42" s="213">
        <f t="shared" si="0"/>
        <v>1</v>
      </c>
      <c r="T42" s="531"/>
      <c r="U42" s="525"/>
      <c r="V42" s="526"/>
    </row>
    <row r="43" spans="1:22" ht="45.75" customHeight="1" x14ac:dyDescent="0.25">
      <c r="A43" s="529"/>
      <c r="B43" s="529"/>
      <c r="C43" s="530" t="s">
        <v>687</v>
      </c>
      <c r="D43" s="528" t="s">
        <v>318</v>
      </c>
      <c r="E43" s="528" t="s">
        <v>318</v>
      </c>
      <c r="F43" s="128" t="s">
        <v>19</v>
      </c>
      <c r="G43" s="423">
        <v>0</v>
      </c>
      <c r="H43" s="423">
        <v>0</v>
      </c>
      <c r="I43" s="423">
        <v>0.25</v>
      </c>
      <c r="J43" s="423">
        <v>0</v>
      </c>
      <c r="K43" s="423">
        <v>0</v>
      </c>
      <c r="L43" s="423">
        <v>0.25</v>
      </c>
      <c r="M43" s="423">
        <v>0</v>
      </c>
      <c r="N43" s="423">
        <v>0</v>
      </c>
      <c r="O43" s="423">
        <v>0.25</v>
      </c>
      <c r="P43" s="423">
        <v>0</v>
      </c>
      <c r="Q43" s="423">
        <v>0</v>
      </c>
      <c r="R43" s="423">
        <v>0.25</v>
      </c>
      <c r="S43" s="126">
        <f t="shared" si="0"/>
        <v>1</v>
      </c>
      <c r="T43" s="531"/>
      <c r="U43" s="525">
        <v>0.05</v>
      </c>
      <c r="V43" s="526" t="s">
        <v>646</v>
      </c>
    </row>
    <row r="44" spans="1:22" ht="45.75" customHeight="1" x14ac:dyDescent="0.25">
      <c r="A44" s="529"/>
      <c r="B44" s="529"/>
      <c r="C44" s="530"/>
      <c r="D44" s="528"/>
      <c r="E44" s="528"/>
      <c r="F44" s="129" t="s">
        <v>20</v>
      </c>
      <c r="G44" s="424">
        <v>0</v>
      </c>
      <c r="H44" s="424">
        <v>0</v>
      </c>
      <c r="I44" s="424">
        <v>0.25</v>
      </c>
      <c r="J44" s="424">
        <v>0</v>
      </c>
      <c r="K44" s="424">
        <v>0</v>
      </c>
      <c r="L44" s="424">
        <v>0.25</v>
      </c>
      <c r="M44" s="424">
        <v>0</v>
      </c>
      <c r="N44" s="424">
        <v>0</v>
      </c>
      <c r="O44" s="424">
        <v>0.25</v>
      </c>
      <c r="P44" s="424">
        <v>0</v>
      </c>
      <c r="Q44" s="424">
        <v>0</v>
      </c>
      <c r="R44" s="424">
        <v>0.25</v>
      </c>
      <c r="S44" s="213">
        <f t="shared" si="0"/>
        <v>1</v>
      </c>
      <c r="T44" s="531"/>
      <c r="U44" s="525"/>
      <c r="V44" s="526"/>
    </row>
    <row r="45" spans="1:22" ht="45.75" customHeight="1" x14ac:dyDescent="0.25">
      <c r="A45" s="529"/>
      <c r="B45" s="529"/>
      <c r="C45" s="530" t="s">
        <v>688</v>
      </c>
      <c r="D45" s="528" t="s">
        <v>318</v>
      </c>
      <c r="E45" s="528" t="s">
        <v>318</v>
      </c>
      <c r="F45" s="128" t="s">
        <v>19</v>
      </c>
      <c r="G45" s="423">
        <v>8.3299999999999999E-2</v>
      </c>
      <c r="H45" s="423">
        <v>8.3299999999999999E-2</v>
      </c>
      <c r="I45" s="423">
        <v>8.3299999999999999E-2</v>
      </c>
      <c r="J45" s="423">
        <v>8.3299999999999999E-2</v>
      </c>
      <c r="K45" s="423">
        <v>8.3299999999999999E-2</v>
      </c>
      <c r="L45" s="423">
        <v>8.3299999999999999E-2</v>
      </c>
      <c r="M45" s="423">
        <v>8.3299999999999999E-2</v>
      </c>
      <c r="N45" s="423">
        <v>8.3299999999999999E-2</v>
      </c>
      <c r="O45" s="423">
        <v>8.3299999999999999E-2</v>
      </c>
      <c r="P45" s="423">
        <v>8.3299999999999999E-2</v>
      </c>
      <c r="Q45" s="423">
        <v>8.3299999999999999E-2</v>
      </c>
      <c r="R45" s="423">
        <v>8.3699999999999997E-2</v>
      </c>
      <c r="S45" s="126">
        <f t="shared" si="0"/>
        <v>1</v>
      </c>
      <c r="T45" s="531"/>
      <c r="U45" s="525">
        <v>0.03</v>
      </c>
      <c r="V45" s="526" t="s">
        <v>647</v>
      </c>
    </row>
    <row r="46" spans="1:22" ht="45.75" customHeight="1" x14ac:dyDescent="0.25">
      <c r="A46" s="529"/>
      <c r="B46" s="529"/>
      <c r="C46" s="530"/>
      <c r="D46" s="528"/>
      <c r="E46" s="528"/>
      <c r="F46" s="129" t="s">
        <v>20</v>
      </c>
      <c r="G46" s="424">
        <v>0</v>
      </c>
      <c r="H46" s="424">
        <v>8.3299999999999999E-2</v>
      </c>
      <c r="I46" s="424">
        <v>8.3299999999999999E-2</v>
      </c>
      <c r="J46" s="424">
        <v>0.1666</v>
      </c>
      <c r="K46" s="424">
        <v>8.3299999999999999E-2</v>
      </c>
      <c r="L46" s="424">
        <v>8.3299999999999999E-2</v>
      </c>
      <c r="M46" s="424">
        <v>8.3299999999999999E-2</v>
      </c>
      <c r="N46" s="424">
        <v>8.3299999999999999E-2</v>
      </c>
      <c r="O46" s="424">
        <v>8.3299999999999999E-2</v>
      </c>
      <c r="P46" s="424">
        <v>8.3299999999999999E-2</v>
      </c>
      <c r="Q46" s="424">
        <v>8.3299999999999999E-2</v>
      </c>
      <c r="R46" s="423">
        <v>8.3699999999999997E-2</v>
      </c>
      <c r="S46" s="213">
        <f t="shared" si="0"/>
        <v>1</v>
      </c>
      <c r="T46" s="531"/>
      <c r="U46" s="525"/>
      <c r="V46" s="526"/>
    </row>
    <row r="47" spans="1:22" ht="45.75" customHeight="1" x14ac:dyDescent="0.25">
      <c r="A47" s="529" t="s">
        <v>307</v>
      </c>
      <c r="B47" s="529" t="s">
        <v>322</v>
      </c>
      <c r="C47" s="530" t="s">
        <v>689</v>
      </c>
      <c r="D47" s="528" t="s">
        <v>318</v>
      </c>
      <c r="E47" s="528" t="s">
        <v>318</v>
      </c>
      <c r="F47" s="128" t="s">
        <v>19</v>
      </c>
      <c r="G47" s="423">
        <v>8.3299999999999999E-2</v>
      </c>
      <c r="H47" s="423">
        <v>8.3299999999999999E-2</v>
      </c>
      <c r="I47" s="423">
        <v>8.3299999999999999E-2</v>
      </c>
      <c r="J47" s="423">
        <v>8.3299999999999999E-2</v>
      </c>
      <c r="K47" s="423">
        <v>8.3299999999999999E-2</v>
      </c>
      <c r="L47" s="423">
        <v>8.3299999999999999E-2</v>
      </c>
      <c r="M47" s="423">
        <v>8.3299999999999999E-2</v>
      </c>
      <c r="N47" s="423">
        <v>8.3299999999999999E-2</v>
      </c>
      <c r="O47" s="423">
        <v>8.3299999999999999E-2</v>
      </c>
      <c r="P47" s="423">
        <v>8.3299999999999999E-2</v>
      </c>
      <c r="Q47" s="423">
        <v>8.3299999999999999E-2</v>
      </c>
      <c r="R47" s="423">
        <v>8.3699999999999997E-2</v>
      </c>
      <c r="S47" s="126">
        <f t="shared" si="0"/>
        <v>1</v>
      </c>
      <c r="T47" s="531">
        <v>0.15</v>
      </c>
      <c r="U47" s="525">
        <v>4.4999999999999998E-2</v>
      </c>
      <c r="V47" s="526" t="s">
        <v>632</v>
      </c>
    </row>
    <row r="48" spans="1:22" ht="45.75" customHeight="1" x14ac:dyDescent="0.25">
      <c r="A48" s="529"/>
      <c r="B48" s="529"/>
      <c r="C48" s="530"/>
      <c r="D48" s="528"/>
      <c r="E48" s="528"/>
      <c r="F48" s="129" t="s">
        <v>20</v>
      </c>
      <c r="G48" s="424">
        <v>0</v>
      </c>
      <c r="H48" s="424">
        <v>0</v>
      </c>
      <c r="I48" s="424">
        <v>8.3299999999999999E-2</v>
      </c>
      <c r="J48" s="424">
        <v>8.3299999999999999E-2</v>
      </c>
      <c r="K48" s="424">
        <v>8.3299999999999999E-2</v>
      </c>
      <c r="L48" s="424">
        <v>0.24990000000000001</v>
      </c>
      <c r="M48" s="424">
        <v>8.3299999999999999E-2</v>
      </c>
      <c r="N48" s="424">
        <v>8.3299999999999999E-2</v>
      </c>
      <c r="O48" s="424">
        <v>8.3299999999999999E-2</v>
      </c>
      <c r="P48" s="424">
        <v>8.3299999999999999E-2</v>
      </c>
      <c r="Q48" s="424">
        <v>8.3299999999999999E-2</v>
      </c>
      <c r="R48" s="423">
        <v>8.3699999999999997E-2</v>
      </c>
      <c r="S48" s="213">
        <f t="shared" si="0"/>
        <v>1.0000000000000002</v>
      </c>
      <c r="T48" s="531"/>
      <c r="U48" s="525"/>
      <c r="V48" s="526"/>
    </row>
    <row r="49" spans="1:22" ht="45.75" customHeight="1" x14ac:dyDescent="0.25">
      <c r="A49" s="529"/>
      <c r="B49" s="529"/>
      <c r="C49" s="530" t="s">
        <v>690</v>
      </c>
      <c r="D49" s="528" t="s">
        <v>318</v>
      </c>
      <c r="E49" s="528" t="s">
        <v>318</v>
      </c>
      <c r="F49" s="128" t="s">
        <v>19</v>
      </c>
      <c r="G49" s="423">
        <v>8.3299999999999999E-2</v>
      </c>
      <c r="H49" s="423">
        <v>8.3299999999999999E-2</v>
      </c>
      <c r="I49" s="423">
        <v>8.3299999999999999E-2</v>
      </c>
      <c r="J49" s="423">
        <v>8.3299999999999999E-2</v>
      </c>
      <c r="K49" s="423">
        <v>8.3299999999999999E-2</v>
      </c>
      <c r="L49" s="423">
        <v>8.3299999999999999E-2</v>
      </c>
      <c r="M49" s="423">
        <v>8.3299999999999999E-2</v>
      </c>
      <c r="N49" s="423">
        <v>8.3299999999999999E-2</v>
      </c>
      <c r="O49" s="423">
        <v>8.3299999999999999E-2</v>
      </c>
      <c r="P49" s="423">
        <v>8.3299999999999999E-2</v>
      </c>
      <c r="Q49" s="423">
        <v>8.3299999999999999E-2</v>
      </c>
      <c r="R49" s="423">
        <v>8.3699999999999997E-2</v>
      </c>
      <c r="S49" s="126">
        <f t="shared" si="0"/>
        <v>1</v>
      </c>
      <c r="T49" s="531"/>
      <c r="U49" s="525">
        <v>0.03</v>
      </c>
      <c r="V49" s="526" t="s">
        <v>633</v>
      </c>
    </row>
    <row r="50" spans="1:22" ht="45.75" customHeight="1" x14ac:dyDescent="0.25">
      <c r="A50" s="529"/>
      <c r="B50" s="529"/>
      <c r="C50" s="530"/>
      <c r="D50" s="528"/>
      <c r="E50" s="528"/>
      <c r="F50" s="129" t="s">
        <v>20</v>
      </c>
      <c r="G50" s="424">
        <v>0</v>
      </c>
      <c r="H50" s="424">
        <v>7.9200000000000007E-2</v>
      </c>
      <c r="I50" s="424">
        <v>3.3300000000000003E-2</v>
      </c>
      <c r="J50" s="424">
        <v>9.5799999999999996E-2</v>
      </c>
      <c r="K50" s="424">
        <v>8.3299999999999999E-2</v>
      </c>
      <c r="L50" s="424">
        <v>0.12089999999999999</v>
      </c>
      <c r="M50" s="424">
        <v>8.3299999999999999E-2</v>
      </c>
      <c r="N50" s="424">
        <v>0.12089999999999999</v>
      </c>
      <c r="O50" s="424">
        <v>7.9200000000000007E-2</v>
      </c>
      <c r="P50" s="424">
        <v>4.58E-2</v>
      </c>
      <c r="Q50" s="424">
        <v>5.4199999999999998E-2</v>
      </c>
      <c r="R50" s="423">
        <v>0.2041</v>
      </c>
      <c r="S50" s="208">
        <f t="shared" si="0"/>
        <v>1</v>
      </c>
      <c r="T50" s="531"/>
      <c r="U50" s="525"/>
      <c r="V50" s="526"/>
    </row>
    <row r="51" spans="1:22" ht="45.75" customHeight="1" x14ac:dyDescent="0.25">
      <c r="A51" s="529"/>
      <c r="B51" s="529"/>
      <c r="C51" s="530" t="s">
        <v>691</v>
      </c>
      <c r="D51" s="528" t="s">
        <v>318</v>
      </c>
      <c r="E51" s="528" t="s">
        <v>318</v>
      </c>
      <c r="F51" s="128" t="s">
        <v>19</v>
      </c>
      <c r="G51" s="423">
        <v>8.3299999999999999E-2</v>
      </c>
      <c r="H51" s="423">
        <v>8.3299999999999999E-2</v>
      </c>
      <c r="I51" s="423">
        <v>8.3299999999999999E-2</v>
      </c>
      <c r="J51" s="423">
        <v>8.3299999999999999E-2</v>
      </c>
      <c r="K51" s="423">
        <v>8.3299999999999999E-2</v>
      </c>
      <c r="L51" s="423">
        <v>8.3299999999999999E-2</v>
      </c>
      <c r="M51" s="423">
        <v>8.3299999999999999E-2</v>
      </c>
      <c r="N51" s="423">
        <v>8.3299999999999999E-2</v>
      </c>
      <c r="O51" s="423">
        <v>8.3299999999999999E-2</v>
      </c>
      <c r="P51" s="423">
        <v>8.3299999999999999E-2</v>
      </c>
      <c r="Q51" s="423">
        <v>8.3299999999999999E-2</v>
      </c>
      <c r="R51" s="423">
        <v>8.3699999999999997E-2</v>
      </c>
      <c r="S51" s="126">
        <f t="shared" si="0"/>
        <v>1</v>
      </c>
      <c r="T51" s="531"/>
      <c r="U51" s="525">
        <v>0.03</v>
      </c>
      <c r="V51" s="532" t="s">
        <v>692</v>
      </c>
    </row>
    <row r="52" spans="1:22" ht="45.75" customHeight="1" x14ac:dyDescent="0.25">
      <c r="A52" s="529"/>
      <c r="B52" s="529"/>
      <c r="C52" s="530"/>
      <c r="D52" s="528"/>
      <c r="E52" s="528"/>
      <c r="F52" s="129" t="s">
        <v>20</v>
      </c>
      <c r="G52" s="424">
        <v>0</v>
      </c>
      <c r="H52" s="424">
        <v>0</v>
      </c>
      <c r="I52" s="424">
        <v>0</v>
      </c>
      <c r="J52" s="424">
        <v>0</v>
      </c>
      <c r="K52" s="424">
        <v>8.3299999999999999E-2</v>
      </c>
      <c r="L52" s="424">
        <v>8.3299999999999999E-2</v>
      </c>
      <c r="M52" s="424">
        <v>8.3299999999999999E-2</v>
      </c>
      <c r="N52" s="424">
        <v>8.3299999999999999E-2</v>
      </c>
      <c r="O52" s="424">
        <v>8.3299999999999999E-2</v>
      </c>
      <c r="P52" s="424">
        <v>0.1943</v>
      </c>
      <c r="Q52" s="424">
        <v>0.1943</v>
      </c>
      <c r="R52" s="423">
        <v>0.19489999999999999</v>
      </c>
      <c r="S52" s="208">
        <f t="shared" si="0"/>
        <v>1</v>
      </c>
      <c r="T52" s="531"/>
      <c r="U52" s="525"/>
      <c r="V52" s="532"/>
    </row>
    <row r="53" spans="1:22" ht="45.75" customHeight="1" x14ac:dyDescent="0.25">
      <c r="A53" s="529"/>
      <c r="B53" s="529"/>
      <c r="C53" s="530" t="s">
        <v>693</v>
      </c>
      <c r="D53" s="528" t="s">
        <v>318</v>
      </c>
      <c r="E53" s="528" t="s">
        <v>318</v>
      </c>
      <c r="F53" s="128" t="s">
        <v>19</v>
      </c>
      <c r="G53" s="423">
        <v>8.3299999999999999E-2</v>
      </c>
      <c r="H53" s="423">
        <v>8.3299999999999999E-2</v>
      </c>
      <c r="I53" s="423">
        <v>8.3299999999999999E-2</v>
      </c>
      <c r="J53" s="423">
        <v>8.3299999999999999E-2</v>
      </c>
      <c r="K53" s="423">
        <v>8.3299999999999999E-2</v>
      </c>
      <c r="L53" s="423">
        <v>8.3299999999999999E-2</v>
      </c>
      <c r="M53" s="423">
        <v>8.3299999999999999E-2</v>
      </c>
      <c r="N53" s="423">
        <v>8.3299999999999999E-2</v>
      </c>
      <c r="O53" s="423">
        <v>8.3299999999999999E-2</v>
      </c>
      <c r="P53" s="423">
        <v>8.3299999999999999E-2</v>
      </c>
      <c r="Q53" s="423">
        <v>8.3299999999999999E-2</v>
      </c>
      <c r="R53" s="423">
        <v>8.3699999999999997E-2</v>
      </c>
      <c r="S53" s="126">
        <f t="shared" si="0"/>
        <v>1</v>
      </c>
      <c r="T53" s="531"/>
      <c r="U53" s="525">
        <v>1.4999999999999999E-2</v>
      </c>
      <c r="V53" s="526" t="s">
        <v>634</v>
      </c>
    </row>
    <row r="54" spans="1:22" ht="45.75" customHeight="1" x14ac:dyDescent="0.25">
      <c r="A54" s="529"/>
      <c r="B54" s="529"/>
      <c r="C54" s="530"/>
      <c r="D54" s="528"/>
      <c r="E54" s="528"/>
      <c r="F54" s="129" t="s">
        <v>20</v>
      </c>
      <c r="G54" s="424">
        <v>0</v>
      </c>
      <c r="H54" s="424">
        <v>8.3299999999999999E-2</v>
      </c>
      <c r="I54" s="424">
        <v>8.3299999999999999E-2</v>
      </c>
      <c r="J54" s="424">
        <v>8.3299999999999999E-2</v>
      </c>
      <c r="K54" s="424">
        <v>8.3299999999999999E-2</v>
      </c>
      <c r="L54" s="424">
        <v>8.3299999999999999E-2</v>
      </c>
      <c r="M54" s="424">
        <v>8.3299999999999999E-2</v>
      </c>
      <c r="N54" s="424">
        <v>8.3299999999999999E-2</v>
      </c>
      <c r="O54" s="424">
        <v>8.3299999999999999E-2</v>
      </c>
      <c r="P54" s="424">
        <v>8.3299999999999999E-2</v>
      </c>
      <c r="Q54" s="424">
        <v>8.3299999999999999E-2</v>
      </c>
      <c r="R54" s="423">
        <v>0.16700000000000001</v>
      </c>
      <c r="S54" s="208">
        <f t="shared" si="0"/>
        <v>1</v>
      </c>
      <c r="T54" s="531"/>
      <c r="U54" s="525"/>
      <c r="V54" s="526"/>
    </row>
    <row r="55" spans="1:22" ht="45.75" customHeight="1" x14ac:dyDescent="0.25">
      <c r="A55" s="529"/>
      <c r="B55" s="529"/>
      <c r="C55" s="530" t="s">
        <v>694</v>
      </c>
      <c r="D55" s="528" t="s">
        <v>318</v>
      </c>
      <c r="E55" s="528" t="s">
        <v>318</v>
      </c>
      <c r="F55" s="128" t="s">
        <v>19</v>
      </c>
      <c r="G55" s="423">
        <v>7.5739644970414202E-2</v>
      </c>
      <c r="H55" s="423">
        <v>8.4023668639053251E-2</v>
      </c>
      <c r="I55" s="423">
        <v>8.4023668639053251E-2</v>
      </c>
      <c r="J55" s="423">
        <v>8.4023668639053251E-2</v>
      </c>
      <c r="K55" s="423">
        <v>8.4023668639053251E-2</v>
      </c>
      <c r="L55" s="423">
        <v>9.2307692307692313E-2</v>
      </c>
      <c r="M55" s="423">
        <v>8.4023668639053251E-2</v>
      </c>
      <c r="N55" s="423">
        <v>8.4023668639053251E-2</v>
      </c>
      <c r="O55" s="423">
        <v>8.4023668639053251E-2</v>
      </c>
      <c r="P55" s="423">
        <v>8.4023668639053251E-2</v>
      </c>
      <c r="Q55" s="423">
        <v>8.4023668639053251E-2</v>
      </c>
      <c r="R55" s="423">
        <v>7.5999999999999998E-2</v>
      </c>
      <c r="S55" s="126">
        <f t="shared" si="0"/>
        <v>1.0002603550295857</v>
      </c>
      <c r="T55" s="531"/>
      <c r="U55" s="525">
        <v>0.03</v>
      </c>
      <c r="V55" s="526" t="s">
        <v>635</v>
      </c>
    </row>
    <row r="56" spans="1:22" ht="45.75" customHeight="1" x14ac:dyDescent="0.25">
      <c r="A56" s="529"/>
      <c r="B56" s="529"/>
      <c r="C56" s="530"/>
      <c r="D56" s="528"/>
      <c r="E56" s="528"/>
      <c r="F56" s="129" t="s">
        <v>20</v>
      </c>
      <c r="G56" s="424">
        <v>0</v>
      </c>
      <c r="H56" s="424">
        <v>1.4200000000000001E-2</v>
      </c>
      <c r="I56" s="424">
        <v>5.33E-2</v>
      </c>
      <c r="J56" s="424">
        <v>9.5899999999999999E-2</v>
      </c>
      <c r="K56" s="424">
        <v>0.25209999999999999</v>
      </c>
      <c r="L56" s="424">
        <v>5.21E-2</v>
      </c>
      <c r="M56" s="424">
        <v>8.4000000000000005E-2</v>
      </c>
      <c r="N56" s="424">
        <v>1.1599999999999999E-2</v>
      </c>
      <c r="O56" s="424">
        <v>0.14319999999999999</v>
      </c>
      <c r="P56" s="424">
        <v>8.8800000000000004E-2</v>
      </c>
      <c r="Q56" s="424">
        <v>7.6899999999999996E-2</v>
      </c>
      <c r="R56" s="423">
        <v>0.12790000000000001</v>
      </c>
      <c r="S56" s="208">
        <f t="shared" si="0"/>
        <v>0.99999999999999989</v>
      </c>
      <c r="T56" s="531"/>
      <c r="U56" s="525"/>
      <c r="V56" s="526"/>
    </row>
    <row r="57" spans="1:22" ht="45.75" customHeight="1" x14ac:dyDescent="0.25">
      <c r="A57" s="529" t="s">
        <v>307</v>
      </c>
      <c r="B57" s="529" t="s">
        <v>323</v>
      </c>
      <c r="C57" s="530" t="s">
        <v>695</v>
      </c>
      <c r="D57" s="528" t="s">
        <v>318</v>
      </c>
      <c r="E57" s="528" t="s">
        <v>318</v>
      </c>
      <c r="F57" s="128" t="s">
        <v>19</v>
      </c>
      <c r="G57" s="423">
        <v>0.02</v>
      </c>
      <c r="H57" s="423">
        <v>0.09</v>
      </c>
      <c r="I57" s="423">
        <v>0.09</v>
      </c>
      <c r="J57" s="423">
        <v>0.09</v>
      </c>
      <c r="K57" s="423">
        <v>0.09</v>
      </c>
      <c r="L57" s="423">
        <v>0.09</v>
      </c>
      <c r="M57" s="423">
        <v>0.09</v>
      </c>
      <c r="N57" s="423">
        <v>0.09</v>
      </c>
      <c r="O57" s="423">
        <v>0.09</v>
      </c>
      <c r="P57" s="423">
        <v>0.09</v>
      </c>
      <c r="Q57" s="423">
        <v>0.09</v>
      </c>
      <c r="R57" s="423">
        <v>0.08</v>
      </c>
      <c r="S57" s="126">
        <f t="shared" si="0"/>
        <v>0.99999999999999978</v>
      </c>
      <c r="T57" s="531">
        <v>0.1</v>
      </c>
      <c r="U57" s="525">
        <v>3.7499999999999999E-2</v>
      </c>
      <c r="V57" s="526" t="s">
        <v>649</v>
      </c>
    </row>
    <row r="58" spans="1:22" ht="45.75" customHeight="1" x14ac:dyDescent="0.25">
      <c r="A58" s="529"/>
      <c r="B58" s="529"/>
      <c r="C58" s="530"/>
      <c r="D58" s="528"/>
      <c r="E58" s="528"/>
      <c r="F58" s="129" t="s">
        <v>20</v>
      </c>
      <c r="G58" s="424">
        <v>0.02</v>
      </c>
      <c r="H58" s="424">
        <v>0.09</v>
      </c>
      <c r="I58" s="424">
        <v>0.09</v>
      </c>
      <c r="J58" s="424">
        <v>0.09</v>
      </c>
      <c r="K58" s="424">
        <v>0.09</v>
      </c>
      <c r="L58" s="424">
        <v>0.09</v>
      </c>
      <c r="M58" s="424">
        <v>0.09</v>
      </c>
      <c r="N58" s="424">
        <v>0.09</v>
      </c>
      <c r="O58" s="424">
        <v>7.0499999999999993E-2</v>
      </c>
      <c r="P58" s="424">
        <v>5.0200000000000002E-2</v>
      </c>
      <c r="Q58" s="424">
        <v>0.15</v>
      </c>
      <c r="R58" s="424">
        <v>7.9299999999999995E-2</v>
      </c>
      <c r="S58" s="208">
        <f t="shared" si="0"/>
        <v>1</v>
      </c>
      <c r="T58" s="531"/>
      <c r="U58" s="525"/>
      <c r="V58" s="526"/>
    </row>
    <row r="59" spans="1:22" ht="45.75" customHeight="1" x14ac:dyDescent="0.25">
      <c r="A59" s="529"/>
      <c r="B59" s="529"/>
      <c r="C59" s="530" t="s">
        <v>696</v>
      </c>
      <c r="D59" s="528" t="s">
        <v>318</v>
      </c>
      <c r="E59" s="528" t="s">
        <v>318</v>
      </c>
      <c r="F59" s="128" t="s">
        <v>19</v>
      </c>
      <c r="G59" s="423">
        <v>0</v>
      </c>
      <c r="H59" s="423">
        <v>0.09</v>
      </c>
      <c r="I59" s="423">
        <v>0.09</v>
      </c>
      <c r="J59" s="423">
        <v>0.09</v>
      </c>
      <c r="K59" s="423">
        <v>0.09</v>
      </c>
      <c r="L59" s="423">
        <v>0.09</v>
      </c>
      <c r="M59" s="423">
        <v>0.09</v>
      </c>
      <c r="N59" s="423">
        <v>0.09</v>
      </c>
      <c r="O59" s="423">
        <v>0.09</v>
      </c>
      <c r="P59" s="423">
        <v>0.09</v>
      </c>
      <c r="Q59" s="423">
        <v>0.09</v>
      </c>
      <c r="R59" s="423">
        <v>0.1</v>
      </c>
      <c r="S59" s="126">
        <f t="shared" si="0"/>
        <v>0.99999999999999978</v>
      </c>
      <c r="T59" s="531"/>
      <c r="U59" s="525">
        <v>1.2500000000000001E-2</v>
      </c>
      <c r="V59" s="526" t="s">
        <v>650</v>
      </c>
    </row>
    <row r="60" spans="1:22" ht="45.75" customHeight="1" x14ac:dyDescent="0.25">
      <c r="A60" s="529"/>
      <c r="B60" s="529"/>
      <c r="C60" s="530"/>
      <c r="D60" s="528"/>
      <c r="E60" s="528"/>
      <c r="F60" s="129" t="s">
        <v>20</v>
      </c>
      <c r="G60" s="424">
        <v>0</v>
      </c>
      <c r="H60" s="424">
        <v>0.09</v>
      </c>
      <c r="I60" s="424">
        <v>0.09</v>
      </c>
      <c r="J60" s="424">
        <v>0.09</v>
      </c>
      <c r="K60" s="424">
        <v>0.09</v>
      </c>
      <c r="L60" s="424">
        <v>0.09</v>
      </c>
      <c r="M60" s="424">
        <v>0.09</v>
      </c>
      <c r="N60" s="424">
        <v>0.09</v>
      </c>
      <c r="O60" s="424">
        <v>0.09</v>
      </c>
      <c r="P60" s="424">
        <v>0.09</v>
      </c>
      <c r="Q60" s="424">
        <v>0.09</v>
      </c>
      <c r="R60" s="423">
        <v>0.1</v>
      </c>
      <c r="S60" s="208">
        <f t="shared" si="0"/>
        <v>0.99999999999999978</v>
      </c>
      <c r="T60" s="531"/>
      <c r="U60" s="525"/>
      <c r="V60" s="526"/>
    </row>
    <row r="61" spans="1:22" ht="45.75" customHeight="1" x14ac:dyDescent="0.25">
      <c r="A61" s="529"/>
      <c r="B61" s="529"/>
      <c r="C61" s="530" t="s">
        <v>697</v>
      </c>
      <c r="D61" s="528" t="s">
        <v>318</v>
      </c>
      <c r="E61" s="528" t="s">
        <v>318</v>
      </c>
      <c r="F61" s="128" t="s">
        <v>19</v>
      </c>
      <c r="G61" s="423">
        <v>0</v>
      </c>
      <c r="H61" s="423">
        <v>0.09</v>
      </c>
      <c r="I61" s="423">
        <v>0.09</v>
      </c>
      <c r="J61" s="423">
        <v>0.09</v>
      </c>
      <c r="K61" s="423">
        <v>0.09</v>
      </c>
      <c r="L61" s="423">
        <v>0.09</v>
      </c>
      <c r="M61" s="423">
        <v>0.09</v>
      </c>
      <c r="N61" s="423">
        <v>0.09</v>
      </c>
      <c r="O61" s="423">
        <v>0.09</v>
      </c>
      <c r="P61" s="423">
        <v>0.09</v>
      </c>
      <c r="Q61" s="423">
        <v>0.09</v>
      </c>
      <c r="R61" s="423">
        <v>0.1</v>
      </c>
      <c r="S61" s="126">
        <f t="shared" si="0"/>
        <v>0.99999999999999978</v>
      </c>
      <c r="T61" s="531"/>
      <c r="U61" s="525">
        <v>3.7499999999999999E-2</v>
      </c>
      <c r="V61" s="526" t="s">
        <v>651</v>
      </c>
    </row>
    <row r="62" spans="1:22" ht="45.75" customHeight="1" x14ac:dyDescent="0.25">
      <c r="A62" s="529"/>
      <c r="B62" s="529"/>
      <c r="C62" s="530"/>
      <c r="D62" s="528"/>
      <c r="E62" s="528"/>
      <c r="F62" s="129" t="s">
        <v>20</v>
      </c>
      <c r="G62" s="424">
        <v>0</v>
      </c>
      <c r="H62" s="424">
        <v>0.09</v>
      </c>
      <c r="I62" s="424">
        <v>0.09</v>
      </c>
      <c r="J62" s="424">
        <v>0.09</v>
      </c>
      <c r="K62" s="424">
        <v>0.09</v>
      </c>
      <c r="L62" s="424">
        <v>0.09</v>
      </c>
      <c r="M62" s="424">
        <v>0.09</v>
      </c>
      <c r="N62" s="424">
        <v>0.09</v>
      </c>
      <c r="O62" s="424">
        <v>0.09</v>
      </c>
      <c r="P62" s="424">
        <v>0.09</v>
      </c>
      <c r="Q62" s="424">
        <v>0.09</v>
      </c>
      <c r="R62" s="423">
        <v>0.1</v>
      </c>
      <c r="S62" s="208">
        <f t="shared" si="0"/>
        <v>0.99999999999999978</v>
      </c>
      <c r="T62" s="531"/>
      <c r="U62" s="525"/>
      <c r="V62" s="526"/>
    </row>
    <row r="63" spans="1:22" ht="45.75" customHeight="1" x14ac:dyDescent="0.25">
      <c r="A63" s="529"/>
      <c r="B63" s="529"/>
      <c r="C63" s="530" t="s">
        <v>698</v>
      </c>
      <c r="D63" s="528" t="s">
        <v>318</v>
      </c>
      <c r="E63" s="528" t="s">
        <v>318</v>
      </c>
      <c r="F63" s="128" t="s">
        <v>19</v>
      </c>
      <c r="G63" s="423">
        <v>0</v>
      </c>
      <c r="H63" s="423">
        <v>0.09</v>
      </c>
      <c r="I63" s="423">
        <v>0.09</v>
      </c>
      <c r="J63" s="423">
        <v>0.09</v>
      </c>
      <c r="K63" s="423">
        <v>0.09</v>
      </c>
      <c r="L63" s="423">
        <v>0.09</v>
      </c>
      <c r="M63" s="423">
        <v>0.09</v>
      </c>
      <c r="N63" s="423">
        <v>0.09</v>
      </c>
      <c r="O63" s="423">
        <v>0.09</v>
      </c>
      <c r="P63" s="423">
        <v>0.09</v>
      </c>
      <c r="Q63" s="423">
        <v>0.09</v>
      </c>
      <c r="R63" s="423">
        <v>0.1</v>
      </c>
      <c r="S63" s="126">
        <f t="shared" si="0"/>
        <v>0.99999999999999978</v>
      </c>
      <c r="T63" s="531"/>
      <c r="U63" s="525">
        <v>1.2500000000000001E-2</v>
      </c>
      <c r="V63" s="526" t="s">
        <v>652</v>
      </c>
    </row>
    <row r="64" spans="1:22" ht="45.75" customHeight="1" x14ac:dyDescent="0.25">
      <c r="A64" s="529"/>
      <c r="B64" s="529"/>
      <c r="C64" s="530"/>
      <c r="D64" s="528"/>
      <c r="E64" s="528"/>
      <c r="F64" s="129" t="s">
        <v>20</v>
      </c>
      <c r="G64" s="424">
        <v>0</v>
      </c>
      <c r="H64" s="424">
        <v>0.09</v>
      </c>
      <c r="I64" s="424">
        <v>0.09</v>
      </c>
      <c r="J64" s="424">
        <v>0.09</v>
      </c>
      <c r="K64" s="424">
        <v>0.09</v>
      </c>
      <c r="L64" s="424">
        <v>0.09</v>
      </c>
      <c r="M64" s="424">
        <v>0.09</v>
      </c>
      <c r="N64" s="424">
        <v>0.09</v>
      </c>
      <c r="O64" s="424">
        <v>0.09</v>
      </c>
      <c r="P64" s="424">
        <v>0.09</v>
      </c>
      <c r="Q64" s="424">
        <v>0.09</v>
      </c>
      <c r="R64" s="423">
        <v>0.1</v>
      </c>
      <c r="S64" s="208">
        <f t="shared" si="0"/>
        <v>0.99999999999999978</v>
      </c>
      <c r="T64" s="531"/>
      <c r="U64" s="525"/>
      <c r="V64" s="526"/>
    </row>
    <row r="65" spans="1:22" ht="45.75" customHeight="1" x14ac:dyDescent="0.25">
      <c r="A65" s="527" t="s">
        <v>700</v>
      </c>
      <c r="B65" s="527"/>
      <c r="C65" s="527"/>
      <c r="D65" s="527"/>
      <c r="E65" s="527"/>
      <c r="F65" s="527"/>
      <c r="G65" s="527"/>
      <c r="H65" s="527"/>
      <c r="I65" s="527"/>
      <c r="J65" s="527"/>
      <c r="K65" s="527"/>
      <c r="L65" s="527"/>
      <c r="M65" s="527"/>
      <c r="N65" s="527"/>
      <c r="O65" s="527"/>
      <c r="P65" s="527"/>
      <c r="Q65" s="527"/>
      <c r="R65" s="527"/>
      <c r="S65" s="527"/>
      <c r="T65" s="132">
        <f>SUM(T9:T64)</f>
        <v>1</v>
      </c>
      <c r="U65" s="132">
        <f>SUM(U9:U64)</f>
        <v>1.0000000000000002</v>
      </c>
      <c r="V65" s="133"/>
    </row>
    <row r="66" spans="1:22" ht="45.75" customHeight="1" x14ac:dyDescent="0.25">
      <c r="A66" s="8"/>
      <c r="B66" s="8"/>
      <c r="C66" s="11"/>
      <c r="D66" s="8"/>
      <c r="E66" s="8"/>
      <c r="F66" s="8"/>
      <c r="G66" s="8"/>
      <c r="H66" s="8"/>
      <c r="I66" s="8"/>
      <c r="J66" s="8"/>
      <c r="K66" s="8"/>
      <c r="L66" s="8"/>
      <c r="M66" s="8"/>
      <c r="N66" s="9"/>
      <c r="O66" s="9"/>
      <c r="P66" s="9"/>
      <c r="Q66" s="9"/>
      <c r="R66" s="9"/>
      <c r="S66" s="9"/>
      <c r="T66" s="9"/>
      <c r="U66" s="28"/>
    </row>
    <row r="67" spans="1:22" ht="45.75" customHeight="1" x14ac:dyDescent="0.25">
      <c r="A67" s="8"/>
      <c r="B67" s="8"/>
      <c r="C67" s="11"/>
      <c r="D67" s="8"/>
      <c r="E67" s="8"/>
      <c r="F67" s="8"/>
      <c r="G67" s="8"/>
      <c r="H67" s="8"/>
      <c r="I67" s="8"/>
      <c r="J67" s="8"/>
      <c r="K67" s="8"/>
      <c r="L67" s="8"/>
      <c r="M67" s="8"/>
      <c r="N67" s="9"/>
      <c r="O67" s="9"/>
      <c r="P67" s="9"/>
      <c r="Q67" s="9"/>
      <c r="R67" s="9"/>
      <c r="S67" s="9"/>
      <c r="T67" s="9"/>
      <c r="U67" s="9"/>
    </row>
    <row r="68" spans="1:22" ht="45.75" customHeight="1" x14ac:dyDescent="0.25">
      <c r="A68" s="8"/>
      <c r="B68" s="22" t="s">
        <v>34</v>
      </c>
      <c r="C68" s="20"/>
      <c r="D68" s="20"/>
      <c r="E68" s="21"/>
      <c r="F68" s="54"/>
      <c r="G68" s="21"/>
      <c r="H68" s="21"/>
      <c r="I68" s="21"/>
      <c r="J68" s="21"/>
      <c r="K68" s="21"/>
      <c r="L68" s="21"/>
      <c r="M68" s="21"/>
      <c r="N68" s="21"/>
      <c r="O68" s="21"/>
      <c r="P68" s="21"/>
      <c r="Q68" s="9"/>
      <c r="R68" s="9"/>
      <c r="S68" s="9"/>
      <c r="T68" s="9"/>
      <c r="U68" s="9"/>
    </row>
    <row r="69" spans="1:22" ht="45.75" customHeight="1" x14ac:dyDescent="0.25">
      <c r="B69" s="209" t="s">
        <v>35</v>
      </c>
      <c r="C69" s="433" t="s">
        <v>36</v>
      </c>
      <c r="D69" s="434"/>
      <c r="E69" s="434"/>
      <c r="F69" s="434"/>
      <c r="G69" s="434"/>
      <c r="H69" s="434"/>
      <c r="I69" s="435"/>
      <c r="J69" s="436" t="s">
        <v>37</v>
      </c>
      <c r="K69" s="437"/>
      <c r="L69" s="437"/>
      <c r="M69" s="437"/>
      <c r="N69" s="437"/>
      <c r="O69" s="437"/>
      <c r="P69" s="438"/>
      <c r="Q69" s="9"/>
      <c r="R69" s="9"/>
      <c r="S69" s="9"/>
      <c r="T69" s="9"/>
      <c r="U69" s="9"/>
    </row>
    <row r="70" spans="1:22" ht="45.75" customHeight="1" x14ac:dyDescent="0.25">
      <c r="A70" s="8"/>
      <c r="B70" s="210">
        <v>13</v>
      </c>
      <c r="C70" s="439" t="s">
        <v>89</v>
      </c>
      <c r="D70" s="439"/>
      <c r="E70" s="439"/>
      <c r="F70" s="439"/>
      <c r="G70" s="439"/>
      <c r="H70" s="439"/>
      <c r="I70" s="439"/>
      <c r="J70" s="439" t="s">
        <v>80</v>
      </c>
      <c r="K70" s="439"/>
      <c r="L70" s="439"/>
      <c r="M70" s="439"/>
      <c r="N70" s="439"/>
      <c r="O70" s="439"/>
      <c r="P70" s="439"/>
      <c r="Q70" s="9"/>
      <c r="R70" s="9"/>
      <c r="S70" s="9"/>
      <c r="T70" s="9"/>
      <c r="U70" s="9"/>
    </row>
    <row r="71" spans="1:22" ht="45.75" customHeight="1" x14ac:dyDescent="0.25">
      <c r="A71" s="8"/>
      <c r="B71" s="210">
        <v>14</v>
      </c>
      <c r="C71" s="439" t="s">
        <v>258</v>
      </c>
      <c r="D71" s="439"/>
      <c r="E71" s="439"/>
      <c r="F71" s="439"/>
      <c r="G71" s="439"/>
      <c r="H71" s="439"/>
      <c r="I71" s="439"/>
      <c r="J71" s="440" t="s">
        <v>521</v>
      </c>
      <c r="K71" s="440"/>
      <c r="L71" s="440"/>
      <c r="M71" s="440"/>
      <c r="N71" s="440"/>
      <c r="O71" s="440"/>
      <c r="P71" s="440"/>
      <c r="Q71" s="9"/>
      <c r="R71" s="9"/>
      <c r="S71" s="9"/>
      <c r="T71" s="9"/>
      <c r="U71" s="9"/>
    </row>
    <row r="72" spans="1:22" ht="45.75" customHeight="1" x14ac:dyDescent="0.25">
      <c r="A72" s="8"/>
      <c r="B72" s="8"/>
      <c r="C72" s="11"/>
      <c r="D72" s="8"/>
      <c r="E72" s="8"/>
      <c r="F72" s="8"/>
      <c r="G72" s="8"/>
      <c r="H72" s="8"/>
      <c r="I72" s="8"/>
      <c r="J72" s="8"/>
      <c r="K72" s="8"/>
      <c r="L72" s="8"/>
      <c r="M72" s="8"/>
      <c r="N72" s="9"/>
      <c r="O72" s="9"/>
      <c r="P72" s="9"/>
      <c r="Q72" s="9"/>
      <c r="R72" s="9"/>
      <c r="S72" s="9"/>
      <c r="T72" s="9"/>
      <c r="U72" s="9"/>
    </row>
    <row r="73" spans="1:22" ht="45.75" customHeight="1" x14ac:dyDescent="0.25">
      <c r="A73" s="8"/>
      <c r="B73" s="8"/>
      <c r="C73" s="11"/>
      <c r="D73" s="8"/>
      <c r="E73" s="8"/>
      <c r="F73" s="8"/>
      <c r="G73" s="8"/>
      <c r="H73" s="8"/>
      <c r="I73" s="8"/>
      <c r="J73" s="8"/>
      <c r="K73" s="8"/>
      <c r="L73" s="8"/>
      <c r="M73" s="8"/>
      <c r="N73" s="9"/>
      <c r="O73" s="9"/>
      <c r="P73" s="9"/>
      <c r="Q73" s="9"/>
      <c r="R73" s="9"/>
      <c r="S73" s="9"/>
      <c r="T73" s="9"/>
      <c r="U73" s="9"/>
    </row>
    <row r="74" spans="1:22" ht="45.75" customHeight="1" x14ac:dyDescent="0.25">
      <c r="A74" s="8"/>
      <c r="B74" s="8"/>
      <c r="C74" s="11"/>
      <c r="D74" s="8"/>
      <c r="E74" s="8"/>
      <c r="F74" s="8"/>
      <c r="G74" s="8"/>
      <c r="H74" s="8"/>
      <c r="I74" s="8"/>
      <c r="J74" s="8"/>
      <c r="K74" s="8"/>
      <c r="L74" s="8"/>
      <c r="M74" s="8"/>
      <c r="N74" s="9"/>
      <c r="O74" s="9"/>
      <c r="P74" s="9"/>
      <c r="Q74" s="9"/>
      <c r="R74" s="9"/>
      <c r="S74" s="9"/>
      <c r="T74" s="9"/>
      <c r="U74" s="9"/>
    </row>
    <row r="75" spans="1:22" ht="45.75" customHeight="1" x14ac:dyDescent="0.25">
      <c r="A75" s="8"/>
      <c r="B75" s="8"/>
      <c r="C75" s="11"/>
      <c r="D75" s="8"/>
      <c r="E75" s="8"/>
      <c r="F75" s="8"/>
      <c r="G75" s="8"/>
      <c r="H75" s="8"/>
      <c r="I75" s="8"/>
      <c r="J75" s="8"/>
      <c r="K75" s="8"/>
      <c r="L75" s="8"/>
      <c r="M75" s="8"/>
      <c r="N75" s="9"/>
      <c r="O75" s="9"/>
      <c r="P75" s="9"/>
      <c r="Q75" s="9"/>
      <c r="R75" s="9"/>
      <c r="S75" s="9"/>
      <c r="T75" s="9"/>
      <c r="U75" s="9"/>
    </row>
    <row r="76" spans="1:22" ht="45.75" customHeight="1" x14ac:dyDescent="0.25">
      <c r="A76" s="8"/>
      <c r="B76" s="8"/>
      <c r="C76" s="11"/>
      <c r="D76" s="8"/>
      <c r="E76" s="8"/>
      <c r="F76" s="8"/>
      <c r="G76" s="8"/>
      <c r="H76" s="8"/>
      <c r="I76" s="8"/>
      <c r="J76" s="8"/>
      <c r="K76" s="8"/>
      <c r="L76" s="8"/>
      <c r="M76" s="8"/>
      <c r="N76" s="9"/>
      <c r="O76" s="9"/>
      <c r="P76" s="9"/>
      <c r="Q76" s="9"/>
      <c r="R76" s="9"/>
      <c r="S76" s="9"/>
      <c r="T76" s="9"/>
      <c r="U76" s="9"/>
    </row>
    <row r="77" spans="1:22" ht="45.75" customHeight="1" x14ac:dyDescent="0.25">
      <c r="A77" s="8"/>
      <c r="B77" s="8"/>
      <c r="C77" s="11"/>
      <c r="D77" s="8"/>
      <c r="E77" s="8"/>
      <c r="F77" s="8"/>
      <c r="G77" s="8"/>
      <c r="H77" s="8"/>
      <c r="I77" s="8"/>
      <c r="J77" s="8"/>
      <c r="K77" s="8"/>
      <c r="L77" s="8"/>
      <c r="M77" s="8"/>
      <c r="N77" s="9"/>
      <c r="O77" s="9"/>
      <c r="P77" s="9"/>
      <c r="Q77" s="9"/>
      <c r="R77" s="9"/>
      <c r="S77" s="9"/>
      <c r="T77" s="9"/>
      <c r="U77" s="9"/>
    </row>
    <row r="78" spans="1:22" ht="45.75" customHeight="1" x14ac:dyDescent="0.25">
      <c r="A78" s="8"/>
      <c r="B78" s="8"/>
      <c r="C78" s="11"/>
      <c r="D78" s="8"/>
      <c r="E78" s="8"/>
      <c r="F78" s="8"/>
      <c r="G78" s="8"/>
      <c r="H78" s="8"/>
      <c r="I78" s="8"/>
      <c r="J78" s="8"/>
      <c r="K78" s="8"/>
      <c r="L78" s="8"/>
      <c r="M78" s="8"/>
      <c r="N78" s="9"/>
      <c r="O78" s="9"/>
      <c r="P78" s="9"/>
      <c r="Q78" s="9"/>
      <c r="R78" s="9"/>
      <c r="S78" s="9"/>
      <c r="T78" s="9"/>
      <c r="U78" s="9"/>
    </row>
    <row r="79" spans="1:22" ht="45.75" customHeight="1" x14ac:dyDescent="0.25">
      <c r="A79" s="8"/>
      <c r="B79" s="8"/>
      <c r="C79" s="11"/>
      <c r="D79" s="8"/>
      <c r="E79" s="8"/>
      <c r="F79" s="8"/>
      <c r="G79" s="8"/>
      <c r="H79" s="8"/>
      <c r="I79" s="8"/>
      <c r="J79" s="8"/>
      <c r="K79" s="8"/>
      <c r="L79" s="8"/>
      <c r="M79" s="8"/>
      <c r="N79" s="9"/>
      <c r="O79" s="9"/>
      <c r="P79" s="9"/>
      <c r="Q79" s="9"/>
      <c r="R79" s="9"/>
      <c r="S79" s="9"/>
      <c r="T79" s="9"/>
      <c r="U79" s="9"/>
    </row>
    <row r="80" spans="1:22" ht="45.75" customHeight="1" x14ac:dyDescent="0.25">
      <c r="A80" s="8"/>
      <c r="B80" s="8"/>
      <c r="C80" s="11"/>
      <c r="D80" s="8"/>
      <c r="E80" s="8"/>
      <c r="F80" s="8"/>
      <c r="G80" s="8"/>
      <c r="H80" s="8"/>
      <c r="I80" s="8"/>
      <c r="J80" s="8"/>
      <c r="K80" s="8"/>
      <c r="L80" s="8"/>
      <c r="M80" s="8"/>
      <c r="N80" s="9"/>
      <c r="O80" s="9"/>
      <c r="P80" s="9"/>
      <c r="Q80" s="9"/>
      <c r="R80" s="9"/>
      <c r="S80" s="9"/>
      <c r="T80" s="9"/>
      <c r="U80" s="9"/>
    </row>
    <row r="81" spans="1:21" ht="45.75" customHeight="1" x14ac:dyDescent="0.25">
      <c r="A81" s="8"/>
      <c r="B81" s="8"/>
      <c r="C81" s="11"/>
      <c r="D81" s="8"/>
      <c r="E81" s="8"/>
      <c r="F81" s="8"/>
      <c r="G81" s="8"/>
      <c r="H81" s="8"/>
      <c r="I81" s="8"/>
      <c r="J81" s="8"/>
      <c r="K81" s="8"/>
      <c r="L81" s="8"/>
      <c r="M81" s="8"/>
      <c r="N81" s="9"/>
      <c r="O81" s="9"/>
      <c r="P81" s="9"/>
      <c r="Q81" s="9"/>
      <c r="R81" s="9"/>
      <c r="S81" s="9"/>
      <c r="T81" s="9"/>
      <c r="U81" s="9"/>
    </row>
    <row r="82" spans="1:21" ht="45.75" customHeight="1" x14ac:dyDescent="0.25">
      <c r="A82" s="8"/>
      <c r="B82" s="8"/>
      <c r="C82" s="11"/>
      <c r="D82" s="8"/>
      <c r="E82" s="8"/>
      <c r="F82" s="8"/>
      <c r="G82" s="8"/>
      <c r="H82" s="8"/>
      <c r="I82" s="8"/>
      <c r="J82" s="8"/>
      <c r="K82" s="8"/>
      <c r="L82" s="8"/>
      <c r="M82" s="8"/>
      <c r="N82" s="9"/>
      <c r="O82" s="9"/>
      <c r="P82" s="9"/>
      <c r="Q82" s="9"/>
      <c r="R82" s="9"/>
      <c r="S82" s="9"/>
      <c r="T82" s="9"/>
      <c r="U82" s="9"/>
    </row>
    <row r="83" spans="1:21" ht="45.75" customHeight="1" x14ac:dyDescent="0.25">
      <c r="A83" s="8"/>
      <c r="B83" s="8"/>
      <c r="C83" s="11"/>
      <c r="D83" s="8"/>
      <c r="E83" s="8"/>
      <c r="F83" s="8"/>
      <c r="G83" s="8"/>
      <c r="H83" s="8"/>
      <c r="I83" s="8"/>
      <c r="J83" s="8"/>
      <c r="K83" s="8"/>
      <c r="L83" s="8"/>
      <c r="M83" s="8"/>
      <c r="N83" s="9"/>
      <c r="O83" s="9"/>
      <c r="P83" s="9"/>
      <c r="Q83" s="9"/>
      <c r="R83" s="9"/>
      <c r="S83" s="9"/>
      <c r="T83" s="9"/>
      <c r="U83" s="9"/>
    </row>
    <row r="84" spans="1:21" ht="45.75" customHeight="1" x14ac:dyDescent="0.25">
      <c r="A84" s="8"/>
      <c r="B84" s="8"/>
      <c r="C84" s="11"/>
      <c r="D84" s="8"/>
      <c r="E84" s="8"/>
      <c r="F84" s="8"/>
      <c r="G84" s="8"/>
      <c r="H84" s="8"/>
      <c r="I84" s="8"/>
      <c r="J84" s="8"/>
      <c r="K84" s="8"/>
      <c r="L84" s="8"/>
      <c r="M84" s="8"/>
      <c r="N84" s="9"/>
      <c r="O84" s="9"/>
      <c r="P84" s="9"/>
      <c r="Q84" s="9"/>
      <c r="R84" s="9"/>
      <c r="S84" s="9"/>
      <c r="T84" s="9"/>
      <c r="U84" s="9"/>
    </row>
    <row r="85" spans="1:21" ht="45.75" customHeight="1" x14ac:dyDescent="0.25">
      <c r="A85" s="8"/>
      <c r="B85" s="8"/>
      <c r="C85" s="11"/>
      <c r="D85" s="8"/>
      <c r="E85" s="8"/>
      <c r="F85" s="8"/>
      <c r="G85" s="8"/>
      <c r="H85" s="8"/>
      <c r="I85" s="8"/>
      <c r="J85" s="8"/>
      <c r="K85" s="8"/>
      <c r="L85" s="8"/>
      <c r="M85" s="8"/>
      <c r="N85" s="9"/>
      <c r="O85" s="9"/>
      <c r="P85" s="9"/>
      <c r="Q85" s="9"/>
      <c r="R85" s="9"/>
      <c r="S85" s="9"/>
      <c r="T85" s="9"/>
      <c r="U85" s="9"/>
    </row>
    <row r="86" spans="1:21" ht="45.75" customHeight="1" x14ac:dyDescent="0.25">
      <c r="A86" s="8"/>
      <c r="B86" s="8"/>
      <c r="C86" s="11"/>
      <c r="D86" s="8"/>
      <c r="E86" s="8"/>
      <c r="F86" s="8"/>
      <c r="G86" s="8"/>
      <c r="H86" s="8"/>
      <c r="I86" s="8"/>
      <c r="J86" s="8"/>
      <c r="K86" s="8"/>
      <c r="L86" s="8"/>
      <c r="M86" s="8"/>
      <c r="N86" s="9"/>
      <c r="O86" s="9"/>
      <c r="P86" s="9"/>
      <c r="Q86" s="9"/>
      <c r="R86" s="9"/>
      <c r="S86" s="9"/>
      <c r="T86" s="9"/>
      <c r="U86" s="9"/>
    </row>
    <row r="87" spans="1:21" ht="45.75" customHeight="1" x14ac:dyDescent="0.25">
      <c r="A87" s="8"/>
      <c r="B87" s="8"/>
      <c r="C87" s="11"/>
      <c r="D87" s="8"/>
      <c r="E87" s="8"/>
      <c r="F87" s="8"/>
      <c r="G87" s="8"/>
      <c r="H87" s="8"/>
      <c r="I87" s="8"/>
      <c r="J87" s="8"/>
      <c r="K87" s="8"/>
      <c r="L87" s="8"/>
      <c r="M87" s="8"/>
      <c r="N87" s="9"/>
      <c r="O87" s="9"/>
      <c r="P87" s="9"/>
      <c r="Q87" s="9"/>
      <c r="R87" s="9"/>
      <c r="S87" s="9"/>
      <c r="T87" s="9"/>
      <c r="U87" s="9"/>
    </row>
    <row r="88" spans="1:21" ht="45.75" customHeight="1" x14ac:dyDescent="0.25">
      <c r="A88" s="8"/>
      <c r="B88" s="8"/>
      <c r="C88" s="11"/>
      <c r="D88" s="8"/>
      <c r="E88" s="8"/>
      <c r="F88" s="8"/>
      <c r="G88" s="8"/>
      <c r="H88" s="8"/>
      <c r="I88" s="8"/>
      <c r="J88" s="8"/>
      <c r="K88" s="8"/>
      <c r="L88" s="8"/>
      <c r="M88" s="8"/>
      <c r="N88" s="9"/>
      <c r="O88" s="9"/>
      <c r="P88" s="9"/>
      <c r="Q88" s="9"/>
      <c r="R88" s="9"/>
      <c r="S88" s="9"/>
      <c r="T88" s="9"/>
      <c r="U88" s="9"/>
    </row>
    <row r="89" spans="1:21" ht="45.75" customHeight="1" x14ac:dyDescent="0.25">
      <c r="A89" s="8"/>
      <c r="B89" s="8"/>
      <c r="C89" s="11"/>
      <c r="D89" s="8"/>
      <c r="E89" s="8"/>
      <c r="F89" s="8"/>
      <c r="G89" s="8"/>
      <c r="H89" s="8"/>
      <c r="I89" s="8"/>
      <c r="J89" s="8"/>
      <c r="K89" s="8"/>
      <c r="L89" s="8"/>
      <c r="M89" s="8"/>
      <c r="N89" s="9"/>
      <c r="O89" s="9"/>
      <c r="P89" s="9"/>
      <c r="Q89" s="9"/>
      <c r="R89" s="9"/>
      <c r="S89" s="9"/>
      <c r="T89" s="9"/>
      <c r="U89" s="9"/>
    </row>
    <row r="90" spans="1:21" ht="45.75" customHeight="1" x14ac:dyDescent="0.25">
      <c r="A90" s="8"/>
      <c r="B90" s="8"/>
      <c r="C90" s="11"/>
      <c r="D90" s="8"/>
      <c r="E90" s="8"/>
      <c r="F90" s="8"/>
      <c r="G90" s="8"/>
      <c r="H90" s="8"/>
      <c r="I90" s="8"/>
      <c r="J90" s="8"/>
      <c r="K90" s="8"/>
      <c r="L90" s="8"/>
      <c r="M90" s="8"/>
      <c r="N90" s="9"/>
      <c r="O90" s="9"/>
      <c r="P90" s="9"/>
      <c r="Q90" s="9"/>
      <c r="R90" s="9"/>
      <c r="S90" s="9"/>
      <c r="T90" s="9"/>
      <c r="U90" s="9"/>
    </row>
    <row r="91" spans="1:21" ht="45.75" customHeight="1" x14ac:dyDescent="0.25">
      <c r="A91" s="8"/>
      <c r="B91" s="8"/>
      <c r="C91" s="11"/>
      <c r="D91" s="8"/>
      <c r="E91" s="8"/>
      <c r="F91" s="8"/>
      <c r="G91" s="8"/>
      <c r="H91" s="8"/>
      <c r="I91" s="8"/>
      <c r="J91" s="8"/>
      <c r="K91" s="8"/>
      <c r="L91" s="8"/>
      <c r="M91" s="8"/>
      <c r="N91" s="9"/>
      <c r="O91" s="9"/>
      <c r="P91" s="9"/>
      <c r="Q91" s="9"/>
      <c r="R91" s="9"/>
      <c r="S91" s="9"/>
      <c r="T91" s="9"/>
      <c r="U91" s="9"/>
    </row>
    <row r="92" spans="1:21" ht="45.75" customHeight="1" x14ac:dyDescent="0.25">
      <c r="A92" s="8"/>
      <c r="B92" s="8"/>
      <c r="C92" s="11"/>
      <c r="D92" s="8"/>
      <c r="E92" s="8"/>
      <c r="F92" s="8"/>
      <c r="G92" s="8"/>
      <c r="H92" s="8"/>
      <c r="I92" s="8"/>
      <c r="J92" s="8"/>
      <c r="K92" s="8"/>
      <c r="L92" s="8"/>
      <c r="M92" s="8"/>
      <c r="N92" s="9"/>
      <c r="O92" s="9"/>
      <c r="P92" s="9"/>
      <c r="Q92" s="9"/>
      <c r="R92" s="9"/>
      <c r="S92" s="9"/>
      <c r="T92" s="9"/>
      <c r="U92" s="9"/>
    </row>
    <row r="93" spans="1:21" ht="45.75" customHeight="1" x14ac:dyDescent="0.25">
      <c r="A93" s="8"/>
      <c r="B93" s="8"/>
      <c r="C93" s="11"/>
      <c r="D93" s="8"/>
      <c r="E93" s="8"/>
      <c r="F93" s="8"/>
      <c r="G93" s="8"/>
      <c r="H93" s="8"/>
      <c r="I93" s="8"/>
      <c r="J93" s="8"/>
      <c r="K93" s="8"/>
      <c r="L93" s="8"/>
      <c r="M93" s="8"/>
      <c r="N93" s="9"/>
      <c r="O93" s="9"/>
      <c r="P93" s="9"/>
      <c r="Q93" s="9"/>
      <c r="R93" s="9"/>
      <c r="S93" s="9"/>
      <c r="T93" s="9"/>
      <c r="U93" s="9"/>
    </row>
    <row r="94" spans="1:21" ht="45.75" customHeight="1" x14ac:dyDescent="0.25">
      <c r="A94" s="8"/>
      <c r="B94" s="8"/>
      <c r="C94" s="11"/>
      <c r="D94" s="8"/>
      <c r="E94" s="8"/>
      <c r="F94" s="8"/>
      <c r="G94" s="8"/>
      <c r="H94" s="8"/>
      <c r="I94" s="8"/>
      <c r="J94" s="8"/>
      <c r="K94" s="8"/>
      <c r="L94" s="8"/>
      <c r="M94" s="8"/>
      <c r="N94" s="9"/>
      <c r="O94" s="9"/>
      <c r="P94" s="9"/>
      <c r="Q94" s="9"/>
      <c r="R94" s="9"/>
      <c r="S94" s="9"/>
      <c r="T94" s="9"/>
      <c r="U94" s="9"/>
    </row>
    <row r="95" spans="1:21" ht="45.75" customHeight="1" x14ac:dyDescent="0.25">
      <c r="A95" s="8"/>
      <c r="B95" s="8"/>
      <c r="C95" s="11"/>
      <c r="D95" s="8"/>
      <c r="E95" s="8"/>
      <c r="F95" s="8"/>
      <c r="G95" s="8"/>
      <c r="H95" s="8"/>
      <c r="I95" s="8"/>
      <c r="J95" s="8"/>
      <c r="K95" s="8"/>
      <c r="L95" s="8"/>
      <c r="M95" s="8"/>
      <c r="N95" s="9"/>
      <c r="O95" s="9"/>
      <c r="P95" s="9"/>
      <c r="Q95" s="9"/>
      <c r="R95" s="9"/>
      <c r="S95" s="9"/>
      <c r="T95" s="9"/>
      <c r="U95" s="9"/>
    </row>
    <row r="96" spans="1:21" ht="45.75" customHeight="1" x14ac:dyDescent="0.25">
      <c r="A96" s="8"/>
      <c r="B96" s="8"/>
      <c r="C96" s="11"/>
      <c r="D96" s="8"/>
      <c r="E96" s="8"/>
      <c r="F96" s="8"/>
      <c r="G96" s="8"/>
      <c r="H96" s="8"/>
      <c r="I96" s="8"/>
      <c r="J96" s="8"/>
      <c r="K96" s="8"/>
      <c r="L96" s="8"/>
      <c r="M96" s="8"/>
      <c r="N96" s="9"/>
      <c r="O96" s="9"/>
      <c r="P96" s="9"/>
      <c r="Q96" s="9"/>
      <c r="R96" s="9"/>
      <c r="S96" s="9"/>
      <c r="T96" s="9"/>
      <c r="U96" s="9"/>
    </row>
    <row r="97" spans="1:21" ht="45.75" customHeight="1" x14ac:dyDescent="0.25">
      <c r="A97" s="8"/>
      <c r="B97" s="8"/>
      <c r="C97" s="11"/>
      <c r="D97" s="8"/>
      <c r="E97" s="8"/>
      <c r="F97" s="8"/>
      <c r="G97" s="8"/>
      <c r="H97" s="8"/>
      <c r="I97" s="8"/>
      <c r="J97" s="8"/>
      <c r="K97" s="8"/>
      <c r="L97" s="8"/>
      <c r="M97" s="8"/>
      <c r="N97" s="9"/>
      <c r="O97" s="9"/>
      <c r="P97" s="9"/>
      <c r="Q97" s="9"/>
      <c r="R97" s="9"/>
      <c r="S97" s="9"/>
      <c r="T97" s="9"/>
      <c r="U97" s="9"/>
    </row>
    <row r="98" spans="1:21" ht="45.75" customHeight="1" x14ac:dyDescent="0.25">
      <c r="A98" s="8"/>
      <c r="B98" s="8"/>
      <c r="C98" s="11"/>
      <c r="D98" s="8"/>
      <c r="E98" s="8"/>
      <c r="F98" s="8"/>
      <c r="G98" s="8"/>
      <c r="H98" s="8"/>
      <c r="I98" s="8"/>
      <c r="J98" s="8"/>
      <c r="K98" s="8"/>
      <c r="L98" s="8"/>
      <c r="M98" s="8"/>
      <c r="N98" s="9"/>
      <c r="O98" s="9"/>
      <c r="P98" s="9"/>
      <c r="Q98" s="9"/>
      <c r="R98" s="9"/>
      <c r="S98" s="9"/>
      <c r="T98" s="9"/>
      <c r="U98" s="9"/>
    </row>
    <row r="99" spans="1:21" ht="45.75" customHeight="1" x14ac:dyDescent="0.25">
      <c r="A99" s="8"/>
      <c r="B99" s="8"/>
      <c r="C99" s="11"/>
      <c r="D99" s="8"/>
      <c r="E99" s="8"/>
      <c r="F99" s="8"/>
      <c r="G99" s="8"/>
      <c r="H99" s="8"/>
      <c r="I99" s="8"/>
      <c r="J99" s="8"/>
      <c r="K99" s="8"/>
      <c r="L99" s="8"/>
      <c r="M99" s="8"/>
      <c r="N99" s="9"/>
      <c r="O99" s="9"/>
      <c r="P99" s="9"/>
      <c r="Q99" s="9"/>
      <c r="R99" s="9"/>
      <c r="S99" s="9"/>
      <c r="T99" s="9"/>
      <c r="U99" s="9"/>
    </row>
    <row r="100" spans="1:21" ht="45.75" customHeight="1" x14ac:dyDescent="0.25">
      <c r="A100" s="8"/>
      <c r="B100" s="8"/>
      <c r="C100" s="11"/>
      <c r="D100" s="8"/>
      <c r="E100" s="8"/>
      <c r="F100" s="8"/>
      <c r="G100" s="8"/>
      <c r="H100" s="8"/>
      <c r="I100" s="8"/>
      <c r="J100" s="8"/>
      <c r="K100" s="8"/>
      <c r="L100" s="8"/>
      <c r="M100" s="8"/>
      <c r="N100" s="9"/>
      <c r="O100" s="9"/>
      <c r="P100" s="9"/>
      <c r="Q100" s="9"/>
      <c r="R100" s="9"/>
      <c r="S100" s="9"/>
      <c r="T100" s="9"/>
      <c r="U100" s="9"/>
    </row>
    <row r="101" spans="1:21" ht="45.75" customHeight="1" x14ac:dyDescent="0.25">
      <c r="A101" s="8"/>
      <c r="B101" s="8"/>
      <c r="C101" s="11"/>
      <c r="D101" s="8"/>
      <c r="E101" s="8"/>
      <c r="F101" s="8"/>
      <c r="G101" s="8"/>
      <c r="H101" s="8"/>
      <c r="I101" s="8"/>
      <c r="J101" s="8"/>
      <c r="K101" s="8"/>
      <c r="L101" s="8"/>
      <c r="M101" s="8"/>
      <c r="N101" s="9"/>
      <c r="O101" s="9"/>
      <c r="P101" s="9"/>
      <c r="Q101" s="9"/>
      <c r="R101" s="9"/>
      <c r="S101" s="9"/>
      <c r="T101" s="9"/>
      <c r="U101" s="9"/>
    </row>
    <row r="102" spans="1:21" ht="45.75" customHeight="1" x14ac:dyDescent="0.25">
      <c r="A102" s="8"/>
      <c r="B102" s="8"/>
      <c r="C102" s="11"/>
      <c r="D102" s="8"/>
      <c r="E102" s="8"/>
      <c r="F102" s="8"/>
      <c r="G102" s="8"/>
      <c r="H102" s="8"/>
      <c r="I102" s="8"/>
      <c r="J102" s="8"/>
      <c r="K102" s="8"/>
      <c r="L102" s="8"/>
      <c r="M102" s="8"/>
      <c r="N102" s="9"/>
      <c r="O102" s="9"/>
      <c r="P102" s="9"/>
      <c r="Q102" s="9"/>
      <c r="R102" s="9"/>
      <c r="S102" s="9"/>
      <c r="T102" s="9"/>
      <c r="U102" s="9"/>
    </row>
    <row r="103" spans="1:21" ht="45.75" customHeight="1" x14ac:dyDescent="0.25">
      <c r="A103" s="8"/>
      <c r="B103" s="8"/>
      <c r="C103" s="11"/>
      <c r="D103" s="8"/>
      <c r="E103" s="8"/>
      <c r="F103" s="8"/>
      <c r="G103" s="8"/>
      <c r="H103" s="8"/>
      <c r="I103" s="8"/>
      <c r="J103" s="8"/>
      <c r="K103" s="8"/>
      <c r="L103" s="8"/>
      <c r="M103" s="8"/>
      <c r="N103" s="9"/>
      <c r="O103" s="9"/>
      <c r="P103" s="9"/>
      <c r="Q103" s="9"/>
      <c r="R103" s="9"/>
      <c r="S103" s="9"/>
      <c r="T103" s="9"/>
      <c r="U103" s="9"/>
    </row>
    <row r="104" spans="1:21" ht="45.75" customHeight="1" x14ac:dyDescent="0.25">
      <c r="A104" s="8"/>
      <c r="B104" s="8"/>
      <c r="C104" s="11"/>
      <c r="D104" s="8"/>
      <c r="E104" s="8"/>
      <c r="F104" s="8"/>
      <c r="G104" s="8"/>
      <c r="H104" s="8"/>
      <c r="I104" s="8"/>
      <c r="J104" s="8"/>
      <c r="K104" s="8"/>
      <c r="L104" s="8"/>
      <c r="M104" s="8"/>
      <c r="N104" s="9"/>
      <c r="O104" s="9"/>
      <c r="P104" s="9"/>
      <c r="Q104" s="9"/>
      <c r="R104" s="9"/>
      <c r="S104" s="9"/>
      <c r="T104" s="9"/>
      <c r="U104" s="9"/>
    </row>
    <row r="105" spans="1:21" ht="45.75" customHeight="1" x14ac:dyDescent="0.25">
      <c r="A105" s="8"/>
      <c r="B105" s="8"/>
      <c r="C105" s="11"/>
      <c r="D105" s="8"/>
      <c r="E105" s="8"/>
      <c r="F105" s="8"/>
      <c r="G105" s="8"/>
      <c r="H105" s="8"/>
      <c r="I105" s="8"/>
      <c r="J105" s="8"/>
      <c r="K105" s="8"/>
      <c r="L105" s="8"/>
      <c r="M105" s="8"/>
      <c r="N105" s="9"/>
      <c r="O105" s="9"/>
      <c r="P105" s="9"/>
      <c r="Q105" s="9"/>
      <c r="R105" s="9"/>
      <c r="S105" s="9"/>
      <c r="T105" s="9"/>
      <c r="U105" s="9"/>
    </row>
    <row r="106" spans="1:21" ht="45.75" customHeight="1" x14ac:dyDescent="0.25">
      <c r="A106" s="8"/>
      <c r="B106" s="8"/>
      <c r="C106" s="11"/>
      <c r="D106" s="8"/>
      <c r="E106" s="8"/>
      <c r="F106" s="8"/>
      <c r="G106" s="8"/>
      <c r="H106" s="8"/>
      <c r="I106" s="8"/>
      <c r="J106" s="8"/>
      <c r="K106" s="8"/>
      <c r="L106" s="8"/>
      <c r="M106" s="8"/>
      <c r="N106" s="9"/>
      <c r="O106" s="9"/>
      <c r="P106" s="9"/>
      <c r="Q106" s="9"/>
      <c r="R106" s="9"/>
      <c r="S106" s="9"/>
      <c r="T106" s="9"/>
      <c r="U106" s="9"/>
    </row>
    <row r="107" spans="1:21" ht="45.75" customHeight="1" x14ac:dyDescent="0.25">
      <c r="A107" s="8"/>
      <c r="B107" s="8"/>
      <c r="C107" s="11"/>
      <c r="D107" s="8"/>
      <c r="E107" s="8"/>
      <c r="F107" s="8"/>
      <c r="G107" s="8"/>
      <c r="H107" s="8"/>
      <c r="I107" s="8"/>
      <c r="J107" s="8"/>
      <c r="K107" s="8"/>
      <c r="L107" s="8"/>
      <c r="M107" s="8"/>
      <c r="N107" s="9"/>
      <c r="O107" s="9"/>
      <c r="P107" s="9"/>
      <c r="Q107" s="9"/>
      <c r="R107" s="9"/>
      <c r="S107" s="9"/>
      <c r="T107" s="9"/>
      <c r="U107" s="9"/>
    </row>
    <row r="108" spans="1:21" ht="45.75" customHeight="1" x14ac:dyDescent="0.25">
      <c r="A108" s="8"/>
      <c r="B108" s="8"/>
      <c r="C108" s="11"/>
      <c r="D108" s="8"/>
      <c r="E108" s="8"/>
      <c r="F108" s="8"/>
      <c r="G108" s="8"/>
      <c r="H108" s="8"/>
      <c r="I108" s="8"/>
      <c r="J108" s="8"/>
      <c r="K108" s="8"/>
      <c r="L108" s="8"/>
      <c r="M108" s="8"/>
      <c r="N108" s="9"/>
      <c r="O108" s="9"/>
      <c r="P108" s="9"/>
      <c r="Q108" s="9"/>
      <c r="R108" s="9"/>
      <c r="S108" s="9"/>
      <c r="T108" s="9"/>
      <c r="U108" s="9"/>
    </row>
    <row r="109" spans="1:21" ht="45.75" customHeight="1" x14ac:dyDescent="0.25">
      <c r="A109" s="8"/>
      <c r="B109" s="8"/>
      <c r="C109" s="11"/>
      <c r="D109" s="8"/>
      <c r="E109" s="8"/>
      <c r="F109" s="8"/>
      <c r="G109" s="8"/>
      <c r="H109" s="8"/>
      <c r="I109" s="8"/>
      <c r="J109" s="8"/>
      <c r="K109" s="8"/>
      <c r="L109" s="8"/>
      <c r="M109" s="8"/>
      <c r="N109" s="9"/>
      <c r="O109" s="9"/>
      <c r="P109" s="9"/>
      <c r="Q109" s="9"/>
      <c r="R109" s="9"/>
      <c r="S109" s="9"/>
      <c r="T109" s="9"/>
      <c r="U109" s="9"/>
    </row>
    <row r="110" spans="1:21" ht="45.75" customHeight="1" x14ac:dyDescent="0.25">
      <c r="A110" s="8"/>
      <c r="B110" s="8"/>
      <c r="C110" s="11"/>
      <c r="D110" s="8"/>
      <c r="E110" s="8"/>
      <c r="F110" s="8"/>
      <c r="G110" s="8"/>
      <c r="H110" s="8"/>
      <c r="I110" s="8"/>
      <c r="J110" s="8"/>
      <c r="K110" s="8"/>
      <c r="L110" s="8"/>
      <c r="M110" s="8"/>
      <c r="N110" s="9"/>
      <c r="O110" s="9"/>
      <c r="P110" s="9"/>
      <c r="Q110" s="9"/>
      <c r="R110" s="9"/>
      <c r="S110" s="9"/>
      <c r="T110" s="9"/>
      <c r="U110" s="9"/>
    </row>
    <row r="111" spans="1:21" ht="45.75" customHeight="1" x14ac:dyDescent="0.25">
      <c r="A111" s="8"/>
      <c r="B111" s="8"/>
      <c r="C111" s="11"/>
      <c r="D111" s="8"/>
      <c r="E111" s="8"/>
      <c r="F111" s="8"/>
      <c r="G111" s="8"/>
      <c r="H111" s="8"/>
      <c r="I111" s="8"/>
      <c r="J111" s="8"/>
      <c r="K111" s="8"/>
      <c r="L111" s="8"/>
      <c r="M111" s="8"/>
      <c r="N111" s="9"/>
      <c r="O111" s="9"/>
      <c r="P111" s="9"/>
      <c r="Q111" s="9"/>
      <c r="R111" s="9"/>
      <c r="S111" s="9"/>
      <c r="T111" s="9"/>
      <c r="U111" s="9"/>
    </row>
    <row r="112" spans="1:21" ht="45.75" customHeight="1" x14ac:dyDescent="0.25">
      <c r="A112" s="8"/>
      <c r="B112" s="8"/>
      <c r="C112" s="11"/>
      <c r="D112" s="8"/>
      <c r="E112" s="8"/>
      <c r="F112" s="8"/>
      <c r="G112" s="8"/>
      <c r="H112" s="8"/>
      <c r="I112" s="8"/>
      <c r="J112" s="8"/>
      <c r="K112" s="8"/>
      <c r="L112" s="8"/>
      <c r="M112" s="8"/>
      <c r="N112" s="9"/>
      <c r="O112" s="9"/>
      <c r="P112" s="9"/>
      <c r="Q112" s="9"/>
      <c r="R112" s="9"/>
      <c r="S112" s="9"/>
      <c r="T112" s="9"/>
      <c r="U112" s="9"/>
    </row>
    <row r="113" spans="1:21" ht="45.75" customHeight="1" x14ac:dyDescent="0.25">
      <c r="A113" s="8"/>
      <c r="B113" s="8"/>
      <c r="C113" s="11"/>
      <c r="D113" s="8"/>
      <c r="E113" s="8"/>
      <c r="F113" s="8"/>
      <c r="G113" s="8"/>
      <c r="H113" s="8"/>
      <c r="I113" s="8"/>
      <c r="J113" s="8"/>
      <c r="K113" s="8"/>
      <c r="L113" s="8"/>
      <c r="M113" s="8"/>
      <c r="N113" s="9"/>
      <c r="O113" s="9"/>
      <c r="P113" s="9"/>
      <c r="Q113" s="9"/>
      <c r="R113" s="9"/>
      <c r="S113" s="9"/>
      <c r="T113" s="9"/>
      <c r="U113" s="9"/>
    </row>
    <row r="114" spans="1:21" ht="45.75" customHeight="1" x14ac:dyDescent="0.25">
      <c r="A114" s="8"/>
      <c r="B114" s="8"/>
      <c r="C114" s="11"/>
      <c r="D114" s="8"/>
      <c r="E114" s="8"/>
      <c r="F114" s="8"/>
      <c r="G114" s="8"/>
      <c r="H114" s="8"/>
      <c r="I114" s="8"/>
      <c r="J114" s="8"/>
      <c r="K114" s="8"/>
      <c r="L114" s="8"/>
      <c r="M114" s="8"/>
      <c r="N114" s="9"/>
      <c r="O114" s="9"/>
      <c r="P114" s="9"/>
      <c r="Q114" s="9"/>
      <c r="R114" s="9"/>
      <c r="S114" s="9"/>
      <c r="T114" s="9"/>
      <c r="U114" s="9"/>
    </row>
    <row r="115" spans="1:21" ht="45.75" customHeight="1" x14ac:dyDescent="0.25">
      <c r="A115" s="8"/>
      <c r="B115" s="8"/>
      <c r="C115" s="11"/>
      <c r="D115" s="8"/>
      <c r="E115" s="8"/>
      <c r="F115" s="8"/>
      <c r="G115" s="8"/>
      <c r="H115" s="8"/>
      <c r="I115" s="8"/>
      <c r="J115" s="8"/>
      <c r="K115" s="8"/>
      <c r="L115" s="8"/>
      <c r="M115" s="8"/>
      <c r="N115" s="9"/>
      <c r="O115" s="9"/>
      <c r="P115" s="9"/>
      <c r="Q115" s="9"/>
      <c r="R115" s="9"/>
      <c r="S115" s="9"/>
      <c r="T115" s="9"/>
      <c r="U115" s="9"/>
    </row>
    <row r="116" spans="1:21" ht="45.75" customHeight="1" x14ac:dyDescent="0.25">
      <c r="A116" s="8"/>
      <c r="B116" s="8"/>
      <c r="C116" s="11"/>
      <c r="D116" s="8"/>
      <c r="E116" s="8"/>
      <c r="F116" s="8"/>
      <c r="G116" s="8"/>
      <c r="H116" s="8"/>
      <c r="I116" s="8"/>
      <c r="J116" s="8"/>
      <c r="K116" s="8"/>
      <c r="L116" s="8"/>
      <c r="M116" s="8"/>
      <c r="N116" s="9"/>
      <c r="O116" s="9"/>
      <c r="P116" s="9"/>
      <c r="Q116" s="9"/>
      <c r="R116" s="9"/>
      <c r="S116" s="9"/>
      <c r="T116" s="9"/>
      <c r="U116" s="9"/>
    </row>
    <row r="117" spans="1:21" ht="45.75" customHeight="1" x14ac:dyDescent="0.25">
      <c r="A117" s="8"/>
      <c r="B117" s="8"/>
      <c r="C117" s="11"/>
      <c r="D117" s="8"/>
      <c r="E117" s="8"/>
      <c r="F117" s="8"/>
      <c r="G117" s="8"/>
      <c r="H117" s="8"/>
      <c r="I117" s="8"/>
      <c r="J117" s="8"/>
      <c r="K117" s="8"/>
      <c r="L117" s="8"/>
      <c r="M117" s="8"/>
      <c r="N117" s="9"/>
      <c r="O117" s="9"/>
      <c r="P117" s="9"/>
      <c r="Q117" s="9"/>
      <c r="R117" s="9"/>
      <c r="S117" s="9"/>
      <c r="T117" s="9"/>
      <c r="U117" s="9"/>
    </row>
    <row r="118" spans="1:21" ht="45.75" customHeight="1" x14ac:dyDescent="0.25">
      <c r="A118" s="8"/>
      <c r="B118" s="8"/>
      <c r="C118" s="11"/>
      <c r="D118" s="8"/>
      <c r="E118" s="8"/>
      <c r="F118" s="8"/>
      <c r="G118" s="8"/>
      <c r="H118" s="8"/>
      <c r="I118" s="8"/>
      <c r="J118" s="8"/>
      <c r="K118" s="8"/>
      <c r="L118" s="8"/>
      <c r="M118" s="8"/>
      <c r="N118" s="9"/>
      <c r="O118" s="9"/>
      <c r="P118" s="9"/>
      <c r="Q118" s="9"/>
      <c r="R118" s="9"/>
      <c r="S118" s="9"/>
      <c r="T118" s="9"/>
      <c r="U118" s="9"/>
    </row>
    <row r="119" spans="1:21" ht="45.75" customHeight="1" x14ac:dyDescent="0.25">
      <c r="A119" s="8"/>
      <c r="B119" s="8"/>
      <c r="C119" s="11"/>
      <c r="D119" s="8"/>
      <c r="E119" s="8"/>
      <c r="F119" s="8"/>
      <c r="G119" s="8"/>
      <c r="H119" s="8"/>
      <c r="I119" s="8"/>
      <c r="J119" s="8"/>
      <c r="K119" s="8"/>
      <c r="L119" s="8"/>
      <c r="M119" s="8"/>
      <c r="N119" s="9"/>
      <c r="O119" s="9"/>
      <c r="P119" s="9"/>
      <c r="Q119" s="9"/>
      <c r="R119" s="9"/>
      <c r="S119" s="9"/>
      <c r="T119" s="9"/>
      <c r="U119" s="9"/>
    </row>
    <row r="120" spans="1:21" ht="45.75" customHeight="1" x14ac:dyDescent="0.25">
      <c r="A120" s="8"/>
      <c r="B120" s="8"/>
      <c r="C120" s="11"/>
      <c r="D120" s="8"/>
      <c r="E120" s="8"/>
      <c r="F120" s="8"/>
      <c r="G120" s="8"/>
      <c r="H120" s="8"/>
      <c r="I120" s="8"/>
      <c r="J120" s="8"/>
      <c r="K120" s="8"/>
      <c r="L120" s="8"/>
      <c r="M120" s="8"/>
      <c r="N120" s="9"/>
      <c r="O120" s="9"/>
      <c r="P120" s="9"/>
      <c r="Q120" s="9"/>
      <c r="R120" s="9"/>
      <c r="S120" s="9"/>
      <c r="T120" s="9"/>
      <c r="U120" s="9"/>
    </row>
    <row r="121" spans="1:21" ht="45.75" customHeight="1" x14ac:dyDescent="0.25">
      <c r="C121" s="11"/>
      <c r="D121" s="8"/>
      <c r="E121" s="8"/>
      <c r="F121" s="8"/>
      <c r="G121" s="8"/>
      <c r="H121" s="8"/>
      <c r="I121" s="8"/>
      <c r="J121" s="8"/>
      <c r="K121" s="8"/>
      <c r="L121" s="8"/>
      <c r="M121" s="8"/>
      <c r="N121" s="9"/>
    </row>
    <row r="122" spans="1:21" ht="45.75" customHeight="1" x14ac:dyDescent="0.25">
      <c r="C122" s="11"/>
      <c r="D122" s="8"/>
      <c r="E122" s="8"/>
      <c r="F122" s="8"/>
      <c r="G122" s="8"/>
      <c r="H122" s="8"/>
      <c r="I122" s="8"/>
      <c r="J122" s="8"/>
      <c r="K122" s="8"/>
      <c r="L122" s="8"/>
      <c r="M122" s="8"/>
      <c r="N122" s="9"/>
    </row>
    <row r="123" spans="1:21" ht="45.75" customHeight="1" x14ac:dyDescent="0.25">
      <c r="C123" s="11"/>
      <c r="D123" s="8"/>
      <c r="E123" s="8"/>
      <c r="F123" s="8"/>
      <c r="G123" s="8"/>
      <c r="H123" s="8"/>
      <c r="I123" s="8"/>
      <c r="J123" s="8"/>
      <c r="K123" s="8"/>
      <c r="L123" s="8"/>
      <c r="M123" s="8"/>
      <c r="N123" s="9"/>
    </row>
    <row r="124" spans="1:21" ht="45.75" customHeight="1" x14ac:dyDescent="0.25">
      <c r="C124" s="11"/>
      <c r="D124" s="8"/>
      <c r="E124" s="8"/>
      <c r="F124" s="8"/>
      <c r="G124" s="8"/>
      <c r="H124" s="8"/>
      <c r="I124" s="8"/>
      <c r="J124" s="8"/>
      <c r="K124" s="8"/>
      <c r="L124" s="8"/>
      <c r="M124" s="8"/>
      <c r="N124" s="9"/>
    </row>
  </sheetData>
  <mergeCells count="184">
    <mergeCell ref="V17:V18"/>
    <mergeCell ref="T19:T24"/>
    <mergeCell ref="D29:D30"/>
    <mergeCell ref="D31:D32"/>
    <mergeCell ref="U25:U26"/>
    <mergeCell ref="V19:V20"/>
    <mergeCell ref="U31:U32"/>
    <mergeCell ref="U33:U34"/>
    <mergeCell ref="V27:V28"/>
    <mergeCell ref="V29:V30"/>
    <mergeCell ref="C23:C24"/>
    <mergeCell ref="D11:D12"/>
    <mergeCell ref="D15:D16"/>
    <mergeCell ref="C70:I70"/>
    <mergeCell ref="J70:P70"/>
    <mergeCell ref="C71:I71"/>
    <mergeCell ref="J71:P71"/>
    <mergeCell ref="E11:E12"/>
    <mergeCell ref="E13:E14"/>
    <mergeCell ref="E15:E16"/>
    <mergeCell ref="E17:E18"/>
    <mergeCell ref="C69:I69"/>
    <mergeCell ref="J69:P69"/>
    <mergeCell ref="C29:C30"/>
    <mergeCell ref="D35:D36"/>
    <mergeCell ref="C13:C14"/>
    <mergeCell ref="D13:D14"/>
    <mergeCell ref="E53:E54"/>
    <mergeCell ref="E63:E64"/>
    <mergeCell ref="D21:D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9:C10"/>
    <mergeCell ref="U9:U10"/>
    <mergeCell ref="U17:U18"/>
    <mergeCell ref="T9:T18"/>
    <mergeCell ref="U15:U16"/>
    <mergeCell ref="U11:U12"/>
    <mergeCell ref="U13:U14"/>
    <mergeCell ref="C17:C18"/>
    <mergeCell ref="D17:D18"/>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E9:E10"/>
    <mergeCell ref="C21:C22"/>
    <mergeCell ref="B9:B18"/>
    <mergeCell ref="E19:E20"/>
    <mergeCell ref="A25:A34"/>
    <mergeCell ref="B25:B34"/>
    <mergeCell ref="T25:T34"/>
    <mergeCell ref="V25:V26"/>
    <mergeCell ref="U27:U28"/>
    <mergeCell ref="E31:E32"/>
    <mergeCell ref="V31:V32"/>
    <mergeCell ref="E33:E34"/>
    <mergeCell ref="V33:V34"/>
    <mergeCell ref="U29:U30"/>
    <mergeCell ref="C25:C26"/>
    <mergeCell ref="C27:C28"/>
    <mergeCell ref="E25:E26"/>
    <mergeCell ref="E27:E28"/>
    <mergeCell ref="D33:D34"/>
    <mergeCell ref="C31:C32"/>
    <mergeCell ref="C33:C34"/>
    <mergeCell ref="E29:E30"/>
    <mergeCell ref="D25:D26"/>
    <mergeCell ref="D27:D28"/>
    <mergeCell ref="A35:A38"/>
    <mergeCell ref="B35:B38"/>
    <mergeCell ref="E35:E36"/>
    <mergeCell ref="T35:T38"/>
    <mergeCell ref="V35:V36"/>
    <mergeCell ref="E37:E38"/>
    <mergeCell ref="V37:V38"/>
    <mergeCell ref="A39:A46"/>
    <mergeCell ref="B39:B46"/>
    <mergeCell ref="C39:C40"/>
    <mergeCell ref="D39:D40"/>
    <mergeCell ref="E39:E40"/>
    <mergeCell ref="T39:T46"/>
    <mergeCell ref="U39:U40"/>
    <mergeCell ref="V39:V40"/>
    <mergeCell ref="C41:C42"/>
    <mergeCell ref="D41:D42"/>
    <mergeCell ref="E41:E42"/>
    <mergeCell ref="U41:U42"/>
    <mergeCell ref="U37:U38"/>
    <mergeCell ref="D37:D38"/>
    <mergeCell ref="C35:C36"/>
    <mergeCell ref="C37:C38"/>
    <mergeCell ref="U35:U36"/>
    <mergeCell ref="V53:V54"/>
    <mergeCell ref="C55:C56"/>
    <mergeCell ref="V41:V42"/>
    <mergeCell ref="C43:C44"/>
    <mergeCell ref="D43:D44"/>
    <mergeCell ref="E43:E44"/>
    <mergeCell ref="U43:U44"/>
    <mergeCell ref="V43:V44"/>
    <mergeCell ref="C45:C46"/>
    <mergeCell ref="D45:D46"/>
    <mergeCell ref="E45:E46"/>
    <mergeCell ref="U45:U46"/>
    <mergeCell ref="V45:V46"/>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U51:U52"/>
    <mergeCell ref="V51:V52"/>
    <mergeCell ref="C53:C54"/>
    <mergeCell ref="D53:D54"/>
    <mergeCell ref="U53:U54"/>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 ref="V59:V60"/>
    <mergeCell ref="C61:C62"/>
    <mergeCell ref="D61:D62"/>
    <mergeCell ref="E61:E62"/>
    <mergeCell ref="U61:U62"/>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BC34-FE9C-4509-BCD8-0867637B8D5E}">
  <dimension ref="A1:BC1622"/>
  <sheetViews>
    <sheetView zoomScale="64" zoomScaleNormal="64" workbookViewId="0">
      <selection activeCell="I23" sqref="I23"/>
    </sheetView>
  </sheetViews>
  <sheetFormatPr baseColWidth="10" defaultRowHeight="15" x14ac:dyDescent="0.25"/>
  <cols>
    <col min="2" max="2" width="20.42578125" customWidth="1"/>
    <col min="3" max="3" width="20.7109375" customWidth="1"/>
    <col min="5" max="5" width="23.7109375" bestFit="1" customWidth="1"/>
    <col min="6" max="18" width="23.42578125" bestFit="1" customWidth="1"/>
    <col min="20" max="20" width="23.42578125" bestFit="1" customWidth="1"/>
    <col min="21" max="21" width="23" bestFit="1" customWidth="1"/>
    <col min="22" max="25" width="22.7109375" bestFit="1" customWidth="1"/>
    <col min="26" max="26" width="23.7109375" bestFit="1" customWidth="1"/>
    <col min="27" max="27" width="23.140625" bestFit="1" customWidth="1"/>
    <col min="28" max="28" width="23" bestFit="1" customWidth="1"/>
    <col min="29" max="29" width="23.7109375" bestFit="1" customWidth="1"/>
    <col min="30" max="30" width="23" bestFit="1" customWidth="1"/>
    <col min="31" max="31" width="23.7109375" bestFit="1" customWidth="1"/>
    <col min="32" max="32" width="15.140625" bestFit="1" customWidth="1"/>
  </cols>
  <sheetData>
    <row r="1" spans="1:55" ht="29.25" thickBot="1" x14ac:dyDescent="0.45">
      <c r="A1" s="607"/>
      <c r="B1" s="608"/>
      <c r="C1" s="608"/>
      <c r="D1" s="608"/>
      <c r="E1" s="661" t="s">
        <v>38</v>
      </c>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c r="AW1" s="662"/>
      <c r="AX1" s="662"/>
      <c r="AY1" s="663"/>
      <c r="AZ1" s="14"/>
      <c r="BA1" s="14"/>
      <c r="BB1" s="14"/>
      <c r="BC1" s="14"/>
    </row>
    <row r="2" spans="1:55" ht="28.5" thickBot="1" x14ac:dyDescent="0.45">
      <c r="A2" s="609"/>
      <c r="B2" s="610"/>
      <c r="C2" s="610"/>
      <c r="D2" s="610"/>
      <c r="E2" s="664" t="s">
        <v>709</v>
      </c>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c r="AW2" s="665"/>
      <c r="AX2" s="665"/>
      <c r="AY2" s="666"/>
      <c r="AZ2" s="14"/>
      <c r="BA2" s="14"/>
      <c r="BB2" s="14"/>
      <c r="BC2" s="14"/>
    </row>
    <row r="3" spans="1:55" ht="16.5" thickBot="1" x14ac:dyDescent="0.3">
      <c r="A3" s="609"/>
      <c r="B3" s="610"/>
      <c r="C3" s="610"/>
      <c r="D3" s="610"/>
      <c r="E3" s="667" t="s">
        <v>39</v>
      </c>
      <c r="F3" s="668"/>
      <c r="G3" s="668"/>
      <c r="H3" s="668"/>
      <c r="I3" s="668"/>
      <c r="J3" s="668"/>
      <c r="K3" s="668"/>
      <c r="L3" s="668"/>
      <c r="M3" s="668"/>
      <c r="N3" s="668"/>
      <c r="O3" s="668"/>
      <c r="P3" s="668"/>
      <c r="Q3" s="668"/>
      <c r="R3" s="668"/>
      <c r="S3" s="668"/>
      <c r="T3" s="668"/>
      <c r="U3" s="668"/>
      <c r="V3" s="668"/>
      <c r="W3" s="668"/>
      <c r="X3" s="668"/>
      <c r="Y3" s="668"/>
      <c r="Z3" s="668"/>
      <c r="AA3" s="668"/>
      <c r="AB3" s="668"/>
      <c r="AC3" s="668"/>
      <c r="AD3" s="669"/>
      <c r="AE3" s="670" t="s">
        <v>257</v>
      </c>
      <c r="AF3" s="671"/>
      <c r="AG3" s="671"/>
      <c r="AH3" s="671"/>
      <c r="AI3" s="671"/>
      <c r="AJ3" s="671"/>
      <c r="AK3" s="671"/>
      <c r="AL3" s="671"/>
      <c r="AM3" s="671"/>
      <c r="AN3" s="671"/>
      <c r="AO3" s="671"/>
      <c r="AP3" s="671"/>
      <c r="AQ3" s="671"/>
      <c r="AR3" s="671"/>
      <c r="AS3" s="671"/>
      <c r="AT3" s="671"/>
      <c r="AU3" s="671"/>
      <c r="AV3" s="671"/>
      <c r="AW3" s="671"/>
      <c r="AX3" s="671"/>
      <c r="AY3" s="672"/>
    </row>
    <row r="4" spans="1:55" ht="18.75" thickBot="1" x14ac:dyDescent="0.3">
      <c r="A4" s="611" t="s">
        <v>0</v>
      </c>
      <c r="B4" s="612"/>
      <c r="C4" s="612"/>
      <c r="D4" s="613"/>
      <c r="E4" s="673" t="s">
        <v>315</v>
      </c>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5"/>
    </row>
    <row r="5" spans="1:55" ht="18.75" thickBot="1" x14ac:dyDescent="0.3">
      <c r="A5" s="614" t="s">
        <v>2</v>
      </c>
      <c r="B5" s="615"/>
      <c r="C5" s="615"/>
      <c r="D5" s="616"/>
      <c r="E5" s="566" t="s">
        <v>316</v>
      </c>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8"/>
    </row>
    <row r="6" spans="1:55" ht="18.75" thickBot="1" x14ac:dyDescent="0.3">
      <c r="A6" s="600" t="s">
        <v>710</v>
      </c>
      <c r="B6" s="601"/>
      <c r="C6" s="601"/>
      <c r="D6" s="602"/>
      <c r="E6" s="676" t="s">
        <v>711</v>
      </c>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8"/>
    </row>
    <row r="7" spans="1:55" ht="18" x14ac:dyDescent="0.25">
      <c r="A7" s="603"/>
      <c r="B7" s="604"/>
      <c r="C7" s="604"/>
      <c r="D7" s="604"/>
      <c r="E7" s="604"/>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604"/>
      <c r="AN7" s="604"/>
      <c r="AO7" s="604"/>
      <c r="AP7" s="604"/>
      <c r="AQ7" s="604"/>
      <c r="AR7" s="604"/>
      <c r="AS7" s="604"/>
      <c r="AT7" s="604"/>
      <c r="AU7" s="604"/>
      <c r="AV7" s="604"/>
      <c r="AW7" s="604"/>
      <c r="AX7" s="604"/>
      <c r="AY7" s="605"/>
    </row>
    <row r="8" spans="1:55" ht="52.5" customHeight="1" x14ac:dyDescent="0.25">
      <c r="A8" s="486" t="s">
        <v>90</v>
      </c>
      <c r="B8" s="486"/>
      <c r="C8" s="486"/>
      <c r="D8" s="486"/>
      <c r="E8" s="486"/>
      <c r="F8" s="486"/>
      <c r="G8" s="606" t="s">
        <v>96</v>
      </c>
      <c r="H8" s="606"/>
      <c r="I8" s="606"/>
      <c r="J8" s="606"/>
      <c r="K8" s="606"/>
      <c r="L8" s="606"/>
      <c r="M8" s="606"/>
      <c r="N8" s="606"/>
      <c r="O8" s="606"/>
      <c r="P8" s="606"/>
      <c r="Q8" s="606"/>
      <c r="R8" s="606"/>
      <c r="S8" s="606"/>
      <c r="T8" s="606" t="s">
        <v>97</v>
      </c>
      <c r="U8" s="606"/>
      <c r="V8" s="606"/>
      <c r="W8" s="606"/>
      <c r="X8" s="606"/>
      <c r="Y8" s="606"/>
      <c r="Z8" s="606"/>
      <c r="AA8" s="606"/>
      <c r="AB8" s="606"/>
      <c r="AC8" s="606"/>
      <c r="AD8" s="606"/>
      <c r="AE8" s="606"/>
      <c r="AF8" s="606"/>
      <c r="AG8" s="486" t="s">
        <v>98</v>
      </c>
      <c r="AH8" s="486"/>
      <c r="AI8" s="486"/>
      <c r="AJ8" s="486"/>
      <c r="AK8" s="486"/>
      <c r="AL8" s="486" t="s">
        <v>104</v>
      </c>
      <c r="AM8" s="486"/>
      <c r="AN8" s="257"/>
      <c r="AO8" s="486" t="s">
        <v>67</v>
      </c>
      <c r="AP8" s="486"/>
      <c r="AQ8" s="486"/>
      <c r="AR8" s="486"/>
      <c r="AS8" s="486"/>
      <c r="AT8" s="486"/>
      <c r="AU8" s="486"/>
      <c r="AV8" s="486"/>
      <c r="AW8" s="486"/>
      <c r="AX8" s="486"/>
      <c r="AY8" s="486" t="s">
        <v>118</v>
      </c>
      <c r="AZ8" s="255"/>
      <c r="BA8" s="255"/>
      <c r="BB8" s="255"/>
      <c r="BC8" s="255"/>
    </row>
    <row r="9" spans="1:55" ht="102" x14ac:dyDescent="0.25">
      <c r="A9" s="257" t="s">
        <v>91</v>
      </c>
      <c r="B9" s="257" t="s">
        <v>92</v>
      </c>
      <c r="C9" s="227" t="s">
        <v>93</v>
      </c>
      <c r="D9" s="257" t="s">
        <v>94</v>
      </c>
      <c r="E9" s="257" t="s">
        <v>540</v>
      </c>
      <c r="F9" s="257" t="s">
        <v>95</v>
      </c>
      <c r="G9" s="228" t="s">
        <v>6</v>
      </c>
      <c r="H9" s="228" t="s">
        <v>7</v>
      </c>
      <c r="I9" s="228" t="s">
        <v>8</v>
      </c>
      <c r="J9" s="228" t="s">
        <v>9</v>
      </c>
      <c r="K9" s="228" t="s">
        <v>10</v>
      </c>
      <c r="L9" s="228" t="s">
        <v>11</v>
      </c>
      <c r="M9" s="228" t="s">
        <v>12</v>
      </c>
      <c r="N9" s="228" t="s">
        <v>13</v>
      </c>
      <c r="O9" s="228" t="s">
        <v>14</v>
      </c>
      <c r="P9" s="228" t="s">
        <v>15</v>
      </c>
      <c r="Q9" s="228" t="s">
        <v>16</v>
      </c>
      <c r="R9" s="228" t="s">
        <v>17</v>
      </c>
      <c r="S9" s="257" t="s">
        <v>65</v>
      </c>
      <c r="T9" s="228" t="s">
        <v>6</v>
      </c>
      <c r="U9" s="228" t="s">
        <v>7</v>
      </c>
      <c r="V9" s="228" t="s">
        <v>8</v>
      </c>
      <c r="W9" s="228" t="s">
        <v>9</v>
      </c>
      <c r="X9" s="228" t="s">
        <v>10</v>
      </c>
      <c r="Y9" s="228" t="s">
        <v>11</v>
      </c>
      <c r="Z9" s="228" t="s">
        <v>12</v>
      </c>
      <c r="AA9" s="228" t="s">
        <v>13</v>
      </c>
      <c r="AB9" s="228" t="s">
        <v>14</v>
      </c>
      <c r="AC9" s="228" t="s">
        <v>15</v>
      </c>
      <c r="AD9" s="229" t="s">
        <v>16</v>
      </c>
      <c r="AE9" s="257" t="s">
        <v>17</v>
      </c>
      <c r="AF9" s="257" t="s">
        <v>66</v>
      </c>
      <c r="AG9" s="257" t="s">
        <v>99</v>
      </c>
      <c r="AH9" s="257" t="s">
        <v>100</v>
      </c>
      <c r="AI9" s="257" t="s">
        <v>101</v>
      </c>
      <c r="AJ9" s="257" t="s">
        <v>102</v>
      </c>
      <c r="AK9" s="257" t="s">
        <v>103</v>
      </c>
      <c r="AL9" s="257" t="s">
        <v>105</v>
      </c>
      <c r="AM9" s="257" t="s">
        <v>106</v>
      </c>
      <c r="AN9" s="257" t="s">
        <v>107</v>
      </c>
      <c r="AO9" s="257" t="s">
        <v>108</v>
      </c>
      <c r="AP9" s="257" t="s">
        <v>109</v>
      </c>
      <c r="AQ9" s="257" t="s">
        <v>110</v>
      </c>
      <c r="AR9" s="257" t="s">
        <v>111</v>
      </c>
      <c r="AS9" s="257" t="s">
        <v>112</v>
      </c>
      <c r="AT9" s="257" t="s">
        <v>113</v>
      </c>
      <c r="AU9" s="257" t="s">
        <v>114</v>
      </c>
      <c r="AV9" s="257" t="s">
        <v>115</v>
      </c>
      <c r="AW9" s="257" t="s">
        <v>116</v>
      </c>
      <c r="AX9" s="257" t="s">
        <v>117</v>
      </c>
      <c r="AY9" s="486"/>
      <c r="AZ9" s="255"/>
      <c r="BA9" s="255"/>
      <c r="BB9" s="255"/>
      <c r="BC9" s="255"/>
    </row>
    <row r="10" spans="1:55" ht="25.5" x14ac:dyDescent="0.25">
      <c r="A10" s="596">
        <v>1</v>
      </c>
      <c r="B10" s="593" t="s">
        <v>317</v>
      </c>
      <c r="C10" s="599" t="s">
        <v>701</v>
      </c>
      <c r="D10" s="224" t="s">
        <v>40</v>
      </c>
      <c r="E10" s="225">
        <v>1</v>
      </c>
      <c r="F10" s="225">
        <v>1</v>
      </c>
      <c r="G10" s="225">
        <v>1</v>
      </c>
      <c r="H10" s="225">
        <v>1</v>
      </c>
      <c r="I10" s="225">
        <v>1</v>
      </c>
      <c r="J10" s="225">
        <v>1</v>
      </c>
      <c r="K10" s="225">
        <v>1</v>
      </c>
      <c r="L10" s="225">
        <v>1</v>
      </c>
      <c r="M10" s="225">
        <v>1</v>
      </c>
      <c r="N10" s="225">
        <v>1</v>
      </c>
      <c r="O10" s="225">
        <v>1</v>
      </c>
      <c r="P10" s="225">
        <v>1</v>
      </c>
      <c r="Q10" s="225">
        <v>1</v>
      </c>
      <c r="R10" s="225">
        <v>1</v>
      </c>
      <c r="S10" s="226"/>
      <c r="T10" s="225">
        <v>1</v>
      </c>
      <c r="U10" s="225">
        <v>1</v>
      </c>
      <c r="V10" s="225">
        <v>1</v>
      </c>
      <c r="W10" s="225">
        <v>1</v>
      </c>
      <c r="X10" s="225">
        <v>1</v>
      </c>
      <c r="Y10" s="225">
        <v>1</v>
      </c>
      <c r="Z10" s="225">
        <v>1</v>
      </c>
      <c r="AA10" s="225">
        <v>1</v>
      </c>
      <c r="AB10" s="225">
        <v>1</v>
      </c>
      <c r="AC10" s="225">
        <v>1</v>
      </c>
      <c r="AD10" s="225">
        <v>1</v>
      </c>
      <c r="AE10" s="225">
        <v>1</v>
      </c>
      <c r="AF10" s="226"/>
      <c r="AG10" s="679" t="s">
        <v>324</v>
      </c>
      <c r="AH10" s="679" t="s">
        <v>325</v>
      </c>
      <c r="AI10" s="679" t="s">
        <v>325</v>
      </c>
      <c r="AJ10" s="679" t="s">
        <v>702</v>
      </c>
      <c r="AK10" s="679" t="s">
        <v>326</v>
      </c>
      <c r="AL10" s="679" t="s">
        <v>325</v>
      </c>
      <c r="AM10" s="679" t="s">
        <v>325</v>
      </c>
      <c r="AN10" s="679" t="s">
        <v>325</v>
      </c>
      <c r="AO10" s="680">
        <v>3751549</v>
      </c>
      <c r="AP10" s="681">
        <v>4082618</v>
      </c>
      <c r="AQ10" s="679" t="s">
        <v>325</v>
      </c>
      <c r="AR10" s="679" t="s">
        <v>325</v>
      </c>
      <c r="AS10" s="679" t="s">
        <v>325</v>
      </c>
      <c r="AT10" s="679" t="s">
        <v>325</v>
      </c>
      <c r="AU10" s="679" t="s">
        <v>325</v>
      </c>
      <c r="AV10" s="679" t="s">
        <v>325</v>
      </c>
      <c r="AW10" s="679" t="s">
        <v>325</v>
      </c>
      <c r="AX10" s="682">
        <v>7834167</v>
      </c>
      <c r="AY10" s="597"/>
    </row>
    <row r="11" spans="1:55" ht="51" x14ac:dyDescent="0.25">
      <c r="A11" s="586"/>
      <c r="B11" s="515"/>
      <c r="C11" s="587"/>
      <c r="D11" s="135" t="s">
        <v>3</v>
      </c>
      <c r="E11" s="117">
        <v>2219609000</v>
      </c>
      <c r="F11" s="117">
        <v>2140738600</v>
      </c>
      <c r="G11" s="117">
        <v>2140738600</v>
      </c>
      <c r="H11" s="117">
        <v>2140738600</v>
      </c>
      <c r="I11" s="117">
        <v>2140738600</v>
      </c>
      <c r="J11" s="117">
        <v>2140738600</v>
      </c>
      <c r="K11" s="117">
        <v>2140738600</v>
      </c>
      <c r="L11" s="117">
        <v>2140738600</v>
      </c>
      <c r="M11" s="117">
        <v>2140738600</v>
      </c>
      <c r="N11" s="117">
        <v>2140738600</v>
      </c>
      <c r="O11" s="117">
        <v>2140738600</v>
      </c>
      <c r="P11" s="117">
        <v>2140738600</v>
      </c>
      <c r="Q11" s="117">
        <v>2140738600</v>
      </c>
      <c r="R11" s="117">
        <v>2140738600</v>
      </c>
      <c r="S11" s="117"/>
      <c r="T11" s="117">
        <v>665963000</v>
      </c>
      <c r="U11" s="117">
        <v>665963000</v>
      </c>
      <c r="V11" s="117">
        <v>665963000</v>
      </c>
      <c r="W11" s="117">
        <v>665963000</v>
      </c>
      <c r="X11" s="117">
        <v>777963000</v>
      </c>
      <c r="Y11" s="117">
        <v>815963000</v>
      </c>
      <c r="Z11" s="117">
        <v>815963000</v>
      </c>
      <c r="AA11" s="117">
        <v>815963000</v>
      </c>
      <c r="AB11" s="117">
        <v>836275000</v>
      </c>
      <c r="AC11" s="117">
        <v>940253600</v>
      </c>
      <c r="AD11" s="117">
        <v>1062739500</v>
      </c>
      <c r="AE11" s="117">
        <v>1914251950</v>
      </c>
      <c r="AF11" s="117"/>
      <c r="AG11" s="475"/>
      <c r="AH11" s="475"/>
      <c r="AI11" s="475"/>
      <c r="AJ11" s="475"/>
      <c r="AK11" s="475"/>
      <c r="AL11" s="475"/>
      <c r="AM11" s="475"/>
      <c r="AN11" s="475"/>
      <c r="AO11" s="683"/>
      <c r="AP11" s="684"/>
      <c r="AQ11" s="475"/>
      <c r="AR11" s="475"/>
      <c r="AS11" s="475"/>
      <c r="AT11" s="475"/>
      <c r="AU11" s="475"/>
      <c r="AV11" s="475"/>
      <c r="AW11" s="475"/>
      <c r="AX11" s="685"/>
      <c r="AY11" s="585"/>
      <c r="AZ11" s="53"/>
      <c r="BA11" s="53"/>
      <c r="BB11" s="53"/>
      <c r="BC11" s="53"/>
    </row>
    <row r="12" spans="1:55" ht="38.25" x14ac:dyDescent="0.25">
      <c r="A12" s="586"/>
      <c r="B12" s="515"/>
      <c r="C12" s="587"/>
      <c r="D12" s="134" t="s">
        <v>41</v>
      </c>
      <c r="E12" s="92">
        <v>0</v>
      </c>
      <c r="F12" s="92">
        <v>0</v>
      </c>
      <c r="G12" s="92">
        <v>0</v>
      </c>
      <c r="H12" s="92">
        <v>0</v>
      </c>
      <c r="I12" s="92">
        <v>0</v>
      </c>
      <c r="J12" s="92">
        <v>0</v>
      </c>
      <c r="K12" s="92">
        <v>0</v>
      </c>
      <c r="L12" s="92">
        <v>0</v>
      </c>
      <c r="M12" s="92">
        <v>0</v>
      </c>
      <c r="N12" s="92">
        <v>0</v>
      </c>
      <c r="O12" s="92">
        <v>0</v>
      </c>
      <c r="P12" s="92">
        <v>0</v>
      </c>
      <c r="Q12" s="92">
        <v>0</v>
      </c>
      <c r="R12" s="92">
        <v>0</v>
      </c>
      <c r="S12" s="92"/>
      <c r="T12" s="92">
        <v>0</v>
      </c>
      <c r="U12" s="92">
        <v>0</v>
      </c>
      <c r="V12" s="92">
        <v>0</v>
      </c>
      <c r="W12" s="92">
        <v>0</v>
      </c>
      <c r="X12" s="92">
        <v>0</v>
      </c>
      <c r="Y12" s="92">
        <v>0</v>
      </c>
      <c r="Z12" s="92">
        <v>0</v>
      </c>
      <c r="AA12" s="92">
        <v>0</v>
      </c>
      <c r="AB12" s="92">
        <v>0</v>
      </c>
      <c r="AC12" s="92">
        <v>0</v>
      </c>
      <c r="AD12" s="92">
        <v>0</v>
      </c>
      <c r="AE12" s="92">
        <v>0</v>
      </c>
      <c r="AF12" s="92"/>
      <c r="AG12" s="475"/>
      <c r="AH12" s="475"/>
      <c r="AI12" s="475"/>
      <c r="AJ12" s="475"/>
      <c r="AK12" s="475"/>
      <c r="AL12" s="475"/>
      <c r="AM12" s="475"/>
      <c r="AN12" s="475"/>
      <c r="AO12" s="683"/>
      <c r="AP12" s="684"/>
      <c r="AQ12" s="475"/>
      <c r="AR12" s="475"/>
      <c r="AS12" s="475"/>
      <c r="AT12" s="475"/>
      <c r="AU12" s="475"/>
      <c r="AV12" s="475"/>
      <c r="AW12" s="475"/>
      <c r="AX12" s="685"/>
      <c r="AY12" s="585"/>
    </row>
    <row r="13" spans="1:55" ht="38.25" x14ac:dyDescent="0.25">
      <c r="A13" s="586"/>
      <c r="B13" s="515"/>
      <c r="C13" s="587"/>
      <c r="D13" s="135" t="s">
        <v>4</v>
      </c>
      <c r="E13" s="117">
        <v>557602926</v>
      </c>
      <c r="F13" s="117">
        <v>550084435</v>
      </c>
      <c r="G13" s="117">
        <v>550084435</v>
      </c>
      <c r="H13" s="117">
        <v>550084435</v>
      </c>
      <c r="I13" s="117">
        <v>550084435</v>
      </c>
      <c r="J13" s="117">
        <v>550084435</v>
      </c>
      <c r="K13" s="117">
        <v>550084435</v>
      </c>
      <c r="L13" s="117">
        <v>550084435</v>
      </c>
      <c r="M13" s="117">
        <v>550084435</v>
      </c>
      <c r="N13" s="117">
        <v>550084435</v>
      </c>
      <c r="O13" s="117">
        <v>550084435</v>
      </c>
      <c r="P13" s="117">
        <v>550084435</v>
      </c>
      <c r="Q13" s="117">
        <v>550084435</v>
      </c>
      <c r="R13" s="117">
        <v>550084435</v>
      </c>
      <c r="S13" s="117"/>
      <c r="T13" s="117">
        <v>0</v>
      </c>
      <c r="U13" s="117">
        <v>42955919</v>
      </c>
      <c r="V13" s="117">
        <v>42955919</v>
      </c>
      <c r="W13" s="117">
        <v>42955919</v>
      </c>
      <c r="X13" s="117">
        <v>42955919</v>
      </c>
      <c r="Y13" s="117">
        <v>42955919</v>
      </c>
      <c r="Z13" s="117">
        <v>557602926</v>
      </c>
      <c r="AA13" s="117">
        <v>556084439</v>
      </c>
      <c r="AB13" s="117">
        <v>444337772</v>
      </c>
      <c r="AC13" s="117">
        <v>506393816</v>
      </c>
      <c r="AD13" s="117">
        <v>535712692</v>
      </c>
      <c r="AE13" s="117">
        <v>535712692</v>
      </c>
      <c r="AF13" s="117"/>
      <c r="AG13" s="475"/>
      <c r="AH13" s="475"/>
      <c r="AI13" s="475"/>
      <c r="AJ13" s="475"/>
      <c r="AK13" s="475"/>
      <c r="AL13" s="475"/>
      <c r="AM13" s="475"/>
      <c r="AN13" s="475"/>
      <c r="AO13" s="683"/>
      <c r="AP13" s="684"/>
      <c r="AQ13" s="475"/>
      <c r="AR13" s="475"/>
      <c r="AS13" s="475"/>
      <c r="AT13" s="475"/>
      <c r="AU13" s="475"/>
      <c r="AV13" s="475"/>
      <c r="AW13" s="475"/>
      <c r="AX13" s="685"/>
      <c r="AY13" s="585"/>
      <c r="AZ13" s="53"/>
      <c r="BA13" s="53"/>
      <c r="BB13" s="53"/>
      <c r="BC13" s="53"/>
    </row>
    <row r="14" spans="1:55" ht="38.25" x14ac:dyDescent="0.25">
      <c r="A14" s="586"/>
      <c r="B14" s="515"/>
      <c r="C14" s="587"/>
      <c r="D14" s="134" t="s">
        <v>42</v>
      </c>
      <c r="E14" s="136">
        <v>1</v>
      </c>
      <c r="F14" s="136">
        <v>1</v>
      </c>
      <c r="G14" s="136">
        <v>1</v>
      </c>
      <c r="H14" s="136">
        <v>1</v>
      </c>
      <c r="I14" s="136">
        <v>1</v>
      </c>
      <c r="J14" s="136">
        <v>1</v>
      </c>
      <c r="K14" s="136">
        <v>1</v>
      </c>
      <c r="L14" s="136">
        <v>1</v>
      </c>
      <c r="M14" s="136">
        <v>1</v>
      </c>
      <c r="N14" s="136">
        <v>1</v>
      </c>
      <c r="O14" s="136">
        <v>1</v>
      </c>
      <c r="P14" s="136">
        <v>1</v>
      </c>
      <c r="Q14" s="136">
        <v>1</v>
      </c>
      <c r="R14" s="136">
        <v>1</v>
      </c>
      <c r="S14" s="136"/>
      <c r="T14" s="136">
        <v>1</v>
      </c>
      <c r="U14" s="136">
        <v>1</v>
      </c>
      <c r="V14" s="136">
        <v>1</v>
      </c>
      <c r="W14" s="136">
        <v>1</v>
      </c>
      <c r="X14" s="136">
        <v>1</v>
      </c>
      <c r="Y14" s="136">
        <v>1</v>
      </c>
      <c r="Z14" s="136">
        <v>1</v>
      </c>
      <c r="AA14" s="136">
        <v>1</v>
      </c>
      <c r="AB14" s="136">
        <v>1</v>
      </c>
      <c r="AC14" s="136">
        <v>1</v>
      </c>
      <c r="AD14" s="136">
        <v>1</v>
      </c>
      <c r="AE14" s="136">
        <v>1</v>
      </c>
      <c r="AF14" s="92"/>
      <c r="AG14" s="475"/>
      <c r="AH14" s="475"/>
      <c r="AI14" s="475"/>
      <c r="AJ14" s="475"/>
      <c r="AK14" s="475"/>
      <c r="AL14" s="475"/>
      <c r="AM14" s="475"/>
      <c r="AN14" s="475"/>
      <c r="AO14" s="683"/>
      <c r="AP14" s="684"/>
      <c r="AQ14" s="475"/>
      <c r="AR14" s="475"/>
      <c r="AS14" s="475"/>
      <c r="AT14" s="475"/>
      <c r="AU14" s="475"/>
      <c r="AV14" s="475"/>
      <c r="AW14" s="475"/>
      <c r="AX14" s="685"/>
      <c r="AY14" s="585"/>
    </row>
    <row r="15" spans="1:55" ht="51" x14ac:dyDescent="0.25">
      <c r="A15" s="586"/>
      <c r="B15" s="515"/>
      <c r="C15" s="587"/>
      <c r="D15" s="135" t="s">
        <v>44</v>
      </c>
      <c r="E15" s="137">
        <v>2777211926</v>
      </c>
      <c r="F15" s="137">
        <v>2690823035</v>
      </c>
      <c r="G15" s="137">
        <v>2690823035</v>
      </c>
      <c r="H15" s="137">
        <v>2690823035</v>
      </c>
      <c r="I15" s="137">
        <v>2690823035</v>
      </c>
      <c r="J15" s="137">
        <v>2690823035</v>
      </c>
      <c r="K15" s="137">
        <v>2690823035</v>
      </c>
      <c r="L15" s="137">
        <v>2690823035</v>
      </c>
      <c r="M15" s="137">
        <v>2690823035</v>
      </c>
      <c r="N15" s="137">
        <v>2690823035</v>
      </c>
      <c r="O15" s="137">
        <v>2690823035</v>
      </c>
      <c r="P15" s="137">
        <v>2690823035</v>
      </c>
      <c r="Q15" s="137">
        <v>2690823035</v>
      </c>
      <c r="R15" s="137">
        <v>2690823035</v>
      </c>
      <c r="S15" s="137"/>
      <c r="T15" s="137">
        <v>665963000</v>
      </c>
      <c r="U15" s="137">
        <v>708918919</v>
      </c>
      <c r="V15" s="137">
        <v>708918919</v>
      </c>
      <c r="W15" s="137">
        <v>708918919</v>
      </c>
      <c r="X15" s="137">
        <v>820918919</v>
      </c>
      <c r="Y15" s="137">
        <v>858918919</v>
      </c>
      <c r="Z15" s="137">
        <v>1373565926</v>
      </c>
      <c r="AA15" s="137">
        <v>1372047439</v>
      </c>
      <c r="AB15" s="137">
        <v>1280612772</v>
      </c>
      <c r="AC15" s="137">
        <v>1446647416</v>
      </c>
      <c r="AD15" s="137">
        <v>1598452192</v>
      </c>
      <c r="AE15" s="137">
        <v>2449964642</v>
      </c>
      <c r="AF15" s="117"/>
      <c r="AG15" s="475"/>
      <c r="AH15" s="475"/>
      <c r="AI15" s="475"/>
      <c r="AJ15" s="475"/>
      <c r="AK15" s="475"/>
      <c r="AL15" s="475"/>
      <c r="AM15" s="475"/>
      <c r="AN15" s="475"/>
      <c r="AO15" s="683"/>
      <c r="AP15" s="684"/>
      <c r="AQ15" s="475"/>
      <c r="AR15" s="475"/>
      <c r="AS15" s="475"/>
      <c r="AT15" s="475"/>
      <c r="AU15" s="475"/>
      <c r="AV15" s="475"/>
      <c r="AW15" s="475"/>
      <c r="AX15" s="685"/>
      <c r="AY15" s="585"/>
      <c r="AZ15" s="53"/>
      <c r="BA15" s="53"/>
      <c r="BB15" s="53"/>
      <c r="BC15" s="53"/>
    </row>
    <row r="16" spans="1:55" ht="25.5" x14ac:dyDescent="0.25">
      <c r="A16" s="586">
        <v>2</v>
      </c>
      <c r="B16" s="515" t="s">
        <v>615</v>
      </c>
      <c r="C16" s="598" t="s">
        <v>703</v>
      </c>
      <c r="D16" s="138" t="s">
        <v>40</v>
      </c>
      <c r="E16" s="32">
        <v>6</v>
      </c>
      <c r="F16" s="32">
        <v>7</v>
      </c>
      <c r="G16" s="32">
        <v>7</v>
      </c>
      <c r="H16" s="32">
        <v>7</v>
      </c>
      <c r="I16" s="32">
        <v>7</v>
      </c>
      <c r="J16" s="32">
        <v>7</v>
      </c>
      <c r="K16" s="32">
        <v>7</v>
      </c>
      <c r="L16" s="32">
        <v>7</v>
      </c>
      <c r="M16" s="32">
        <v>7</v>
      </c>
      <c r="N16" s="32">
        <v>7</v>
      </c>
      <c r="O16" s="32">
        <v>7</v>
      </c>
      <c r="P16" s="32">
        <v>7</v>
      </c>
      <c r="Q16" s="32">
        <v>7</v>
      </c>
      <c r="R16" s="32">
        <v>7</v>
      </c>
      <c r="S16" s="32"/>
      <c r="T16" s="32">
        <v>0</v>
      </c>
      <c r="U16" s="32">
        <v>0.45</v>
      </c>
      <c r="V16" s="32">
        <v>1</v>
      </c>
      <c r="W16" s="32">
        <v>1.6</v>
      </c>
      <c r="X16" s="32">
        <v>2.2999999999999998</v>
      </c>
      <c r="Y16" s="32">
        <v>3</v>
      </c>
      <c r="Z16" s="32">
        <v>3.3</v>
      </c>
      <c r="AA16" s="32">
        <v>3.5</v>
      </c>
      <c r="AB16" s="274">
        <v>4.0999999999999996</v>
      </c>
      <c r="AC16" s="274">
        <v>4.6999999999999993</v>
      </c>
      <c r="AD16" s="274">
        <v>5.3999999999999995</v>
      </c>
      <c r="AE16" s="274">
        <v>5.9999999999999991</v>
      </c>
      <c r="AF16" s="274"/>
      <c r="AG16" s="475" t="s">
        <v>324</v>
      </c>
      <c r="AH16" s="475" t="s">
        <v>325</v>
      </c>
      <c r="AI16" s="475" t="s">
        <v>325</v>
      </c>
      <c r="AJ16" s="475" t="s">
        <v>470</v>
      </c>
      <c r="AK16" s="475" t="s">
        <v>326</v>
      </c>
      <c r="AL16" s="475" t="s">
        <v>325</v>
      </c>
      <c r="AM16" s="475" t="s">
        <v>325</v>
      </c>
      <c r="AN16" s="475" t="s">
        <v>325</v>
      </c>
      <c r="AO16" s="683">
        <v>3751549</v>
      </c>
      <c r="AP16" s="684">
        <v>4082618</v>
      </c>
      <c r="AQ16" s="475" t="s">
        <v>325</v>
      </c>
      <c r="AR16" s="475" t="s">
        <v>325</v>
      </c>
      <c r="AS16" s="475" t="s">
        <v>325</v>
      </c>
      <c r="AT16" s="475" t="s">
        <v>325</v>
      </c>
      <c r="AU16" s="475" t="s">
        <v>325</v>
      </c>
      <c r="AV16" s="475" t="s">
        <v>325</v>
      </c>
      <c r="AW16" s="475" t="s">
        <v>325</v>
      </c>
      <c r="AX16" s="685">
        <v>7834167</v>
      </c>
      <c r="AY16" s="585"/>
    </row>
    <row r="17" spans="1:51" ht="51" x14ac:dyDescent="0.25">
      <c r="A17" s="586"/>
      <c r="B17" s="515"/>
      <c r="C17" s="598"/>
      <c r="D17" s="135" t="s">
        <v>3</v>
      </c>
      <c r="E17" s="107">
        <v>6130432000</v>
      </c>
      <c r="F17" s="107">
        <v>5991849849</v>
      </c>
      <c r="G17" s="107">
        <v>5991849849</v>
      </c>
      <c r="H17" s="107">
        <v>5991849849</v>
      </c>
      <c r="I17" s="107">
        <v>5991849849</v>
      </c>
      <c r="J17" s="107">
        <v>5991849849</v>
      </c>
      <c r="K17" s="107">
        <v>5991849849</v>
      </c>
      <c r="L17" s="107">
        <v>5991849849</v>
      </c>
      <c r="M17" s="107">
        <v>5991849849</v>
      </c>
      <c r="N17" s="107">
        <v>5991849849</v>
      </c>
      <c r="O17" s="107">
        <v>5991849849</v>
      </c>
      <c r="P17" s="107">
        <v>5991849849</v>
      </c>
      <c r="Q17" s="107">
        <v>5991849849</v>
      </c>
      <c r="R17" s="107">
        <v>5991849849</v>
      </c>
      <c r="S17" s="117"/>
      <c r="T17" s="107">
        <v>1835843000</v>
      </c>
      <c r="U17" s="117">
        <v>1835843000</v>
      </c>
      <c r="V17" s="117">
        <v>1835843000</v>
      </c>
      <c r="W17" s="117">
        <v>1835843000</v>
      </c>
      <c r="X17" s="117">
        <v>1835843000</v>
      </c>
      <c r="Y17" s="117">
        <v>1925843000</v>
      </c>
      <c r="Z17" s="117">
        <v>1879977000</v>
      </c>
      <c r="AA17" s="117">
        <v>1879977000</v>
      </c>
      <c r="AB17" s="117">
        <v>2115789834</v>
      </c>
      <c r="AC17" s="117">
        <v>2336563534</v>
      </c>
      <c r="AD17" s="117">
        <v>5277862173</v>
      </c>
      <c r="AE17" s="117">
        <v>5705895861</v>
      </c>
      <c r="AF17" s="117"/>
      <c r="AG17" s="475"/>
      <c r="AH17" s="475"/>
      <c r="AI17" s="475"/>
      <c r="AJ17" s="475"/>
      <c r="AK17" s="475"/>
      <c r="AL17" s="475"/>
      <c r="AM17" s="475"/>
      <c r="AN17" s="475"/>
      <c r="AO17" s="683"/>
      <c r="AP17" s="684"/>
      <c r="AQ17" s="475"/>
      <c r="AR17" s="475"/>
      <c r="AS17" s="475"/>
      <c r="AT17" s="475"/>
      <c r="AU17" s="475"/>
      <c r="AV17" s="475"/>
      <c r="AW17" s="475"/>
      <c r="AX17" s="685"/>
      <c r="AY17" s="585"/>
    </row>
    <row r="18" spans="1:51" ht="38.25" x14ac:dyDescent="0.25">
      <c r="A18" s="586"/>
      <c r="B18" s="515"/>
      <c r="C18" s="598"/>
      <c r="D18" s="138" t="s">
        <v>41</v>
      </c>
      <c r="E18" s="32">
        <v>0</v>
      </c>
      <c r="F18" s="32">
        <v>0</v>
      </c>
      <c r="G18" s="32">
        <v>0</v>
      </c>
      <c r="H18" s="32">
        <v>0</v>
      </c>
      <c r="I18" s="32">
        <v>0</v>
      </c>
      <c r="J18" s="32">
        <v>0</v>
      </c>
      <c r="K18" s="32">
        <v>0</v>
      </c>
      <c r="L18" s="32">
        <v>0</v>
      </c>
      <c r="M18" s="32">
        <v>0</v>
      </c>
      <c r="N18" s="32">
        <v>0</v>
      </c>
      <c r="O18" s="32">
        <v>0</v>
      </c>
      <c r="P18" s="32">
        <v>0</v>
      </c>
      <c r="Q18" s="32">
        <v>0</v>
      </c>
      <c r="R18" s="32">
        <v>0</v>
      </c>
      <c r="S18" s="211"/>
      <c r="T18" s="32">
        <v>0</v>
      </c>
      <c r="U18" s="32">
        <v>0</v>
      </c>
      <c r="V18" s="32">
        <v>0</v>
      </c>
      <c r="W18" s="32">
        <v>0</v>
      </c>
      <c r="X18" s="32">
        <v>0</v>
      </c>
      <c r="Y18" s="32">
        <v>0</v>
      </c>
      <c r="Z18" s="32">
        <v>0</v>
      </c>
      <c r="AA18" s="32">
        <v>0</v>
      </c>
      <c r="AB18" s="274">
        <v>0</v>
      </c>
      <c r="AC18" s="274">
        <v>0</v>
      </c>
      <c r="AD18" s="274">
        <v>0</v>
      </c>
      <c r="AE18" s="274">
        <v>0</v>
      </c>
      <c r="AF18" s="686"/>
      <c r="AG18" s="475"/>
      <c r="AH18" s="475"/>
      <c r="AI18" s="475"/>
      <c r="AJ18" s="475"/>
      <c r="AK18" s="475"/>
      <c r="AL18" s="475"/>
      <c r="AM18" s="475"/>
      <c r="AN18" s="475"/>
      <c r="AO18" s="683"/>
      <c r="AP18" s="684"/>
      <c r="AQ18" s="475"/>
      <c r="AR18" s="475"/>
      <c r="AS18" s="475"/>
      <c r="AT18" s="475"/>
      <c r="AU18" s="475"/>
      <c r="AV18" s="475"/>
      <c r="AW18" s="475"/>
      <c r="AX18" s="685"/>
      <c r="AY18" s="585"/>
    </row>
    <row r="19" spans="1:51" ht="38.25" x14ac:dyDescent="0.25">
      <c r="A19" s="586"/>
      <c r="B19" s="515"/>
      <c r="C19" s="598"/>
      <c r="D19" s="135" t="s">
        <v>4</v>
      </c>
      <c r="E19" s="107">
        <v>54863634</v>
      </c>
      <c r="F19" s="107">
        <v>53702100</v>
      </c>
      <c r="G19" s="107">
        <v>53702100</v>
      </c>
      <c r="H19" s="107">
        <v>53702100</v>
      </c>
      <c r="I19" s="107">
        <v>53702100</v>
      </c>
      <c r="J19" s="107">
        <v>53702100</v>
      </c>
      <c r="K19" s="107">
        <v>53702100</v>
      </c>
      <c r="L19" s="107">
        <v>53702100</v>
      </c>
      <c r="M19" s="107">
        <v>53702100</v>
      </c>
      <c r="N19" s="107">
        <v>53702100</v>
      </c>
      <c r="O19" s="107">
        <v>53702100</v>
      </c>
      <c r="P19" s="107">
        <v>53702100</v>
      </c>
      <c r="Q19" s="107">
        <v>53702100</v>
      </c>
      <c r="R19" s="107">
        <v>53702100</v>
      </c>
      <c r="S19" s="137"/>
      <c r="T19" s="107">
        <v>0</v>
      </c>
      <c r="U19" s="107">
        <v>45990566</v>
      </c>
      <c r="V19" s="107">
        <v>45990566</v>
      </c>
      <c r="W19" s="107">
        <v>45990566</v>
      </c>
      <c r="X19" s="107">
        <v>45990566</v>
      </c>
      <c r="Y19" s="107">
        <v>45990566</v>
      </c>
      <c r="Z19" s="107">
        <v>53702101</v>
      </c>
      <c r="AA19" s="107">
        <v>53702101</v>
      </c>
      <c r="AB19" s="107">
        <v>51544966</v>
      </c>
      <c r="AC19" s="107">
        <v>51544966</v>
      </c>
      <c r="AD19" s="107">
        <v>53702100</v>
      </c>
      <c r="AE19" s="107">
        <v>53702100</v>
      </c>
      <c r="AF19" s="137"/>
      <c r="AG19" s="475"/>
      <c r="AH19" s="475"/>
      <c r="AI19" s="475"/>
      <c r="AJ19" s="475"/>
      <c r="AK19" s="475"/>
      <c r="AL19" s="475"/>
      <c r="AM19" s="475"/>
      <c r="AN19" s="475"/>
      <c r="AO19" s="683"/>
      <c r="AP19" s="684"/>
      <c r="AQ19" s="475"/>
      <c r="AR19" s="475"/>
      <c r="AS19" s="475"/>
      <c r="AT19" s="475"/>
      <c r="AU19" s="475"/>
      <c r="AV19" s="475"/>
      <c r="AW19" s="475"/>
      <c r="AX19" s="685"/>
      <c r="AY19" s="585"/>
    </row>
    <row r="20" spans="1:51" ht="38.25" x14ac:dyDescent="0.25">
      <c r="A20" s="586"/>
      <c r="B20" s="515"/>
      <c r="C20" s="598"/>
      <c r="D20" s="138" t="s">
        <v>42</v>
      </c>
      <c r="E20" s="139">
        <v>6</v>
      </c>
      <c r="F20" s="139">
        <v>7</v>
      </c>
      <c r="G20" s="139">
        <v>7</v>
      </c>
      <c r="H20" s="139">
        <v>7</v>
      </c>
      <c r="I20" s="139">
        <v>7</v>
      </c>
      <c r="J20" s="139">
        <v>7</v>
      </c>
      <c r="K20" s="139">
        <v>7</v>
      </c>
      <c r="L20" s="139">
        <v>7</v>
      </c>
      <c r="M20" s="139">
        <v>7</v>
      </c>
      <c r="N20" s="139">
        <v>7</v>
      </c>
      <c r="O20" s="139">
        <v>7</v>
      </c>
      <c r="P20" s="139">
        <v>7</v>
      </c>
      <c r="Q20" s="139">
        <v>7</v>
      </c>
      <c r="R20" s="139">
        <v>7</v>
      </c>
      <c r="S20" s="139"/>
      <c r="T20" s="139">
        <v>0</v>
      </c>
      <c r="U20" s="139">
        <v>0.45</v>
      </c>
      <c r="V20" s="139">
        <v>1</v>
      </c>
      <c r="W20" s="139">
        <v>1.6</v>
      </c>
      <c r="X20" s="139">
        <v>2.2999999999999998</v>
      </c>
      <c r="Y20" s="139">
        <v>3</v>
      </c>
      <c r="Z20" s="139">
        <v>3.3</v>
      </c>
      <c r="AA20" s="139">
        <v>3.5</v>
      </c>
      <c r="AB20" s="139">
        <v>4.0999999999999996</v>
      </c>
      <c r="AC20" s="139">
        <v>4.6999999999999993</v>
      </c>
      <c r="AD20" s="139">
        <v>5.3999999999999995</v>
      </c>
      <c r="AE20" s="139">
        <v>5.9999999999999991</v>
      </c>
      <c r="AF20" s="686"/>
      <c r="AG20" s="475"/>
      <c r="AH20" s="475"/>
      <c r="AI20" s="475"/>
      <c r="AJ20" s="475"/>
      <c r="AK20" s="475"/>
      <c r="AL20" s="475"/>
      <c r="AM20" s="475"/>
      <c r="AN20" s="475"/>
      <c r="AO20" s="683"/>
      <c r="AP20" s="684"/>
      <c r="AQ20" s="475"/>
      <c r="AR20" s="475"/>
      <c r="AS20" s="475"/>
      <c r="AT20" s="475"/>
      <c r="AU20" s="475"/>
      <c r="AV20" s="475"/>
      <c r="AW20" s="475"/>
      <c r="AX20" s="685"/>
      <c r="AY20" s="585"/>
    </row>
    <row r="21" spans="1:51" ht="51" x14ac:dyDescent="0.25">
      <c r="A21" s="586"/>
      <c r="B21" s="515"/>
      <c r="C21" s="598"/>
      <c r="D21" s="135" t="s">
        <v>44</v>
      </c>
      <c r="E21" s="137">
        <v>6185295634</v>
      </c>
      <c r="F21" s="137">
        <v>6045551949</v>
      </c>
      <c r="G21" s="137">
        <v>6045551949</v>
      </c>
      <c r="H21" s="137">
        <v>6045551949</v>
      </c>
      <c r="I21" s="137">
        <v>6045551949</v>
      </c>
      <c r="J21" s="137">
        <v>6045551949</v>
      </c>
      <c r="K21" s="137">
        <v>6045551949</v>
      </c>
      <c r="L21" s="137">
        <v>6045551949</v>
      </c>
      <c r="M21" s="137">
        <v>6045551949</v>
      </c>
      <c r="N21" s="137">
        <v>6045551949</v>
      </c>
      <c r="O21" s="137">
        <v>6045551949</v>
      </c>
      <c r="P21" s="137">
        <v>6045551949</v>
      </c>
      <c r="Q21" s="137">
        <v>6045551949</v>
      </c>
      <c r="R21" s="137">
        <v>6045551949</v>
      </c>
      <c r="S21" s="137"/>
      <c r="T21" s="137">
        <v>1835843000</v>
      </c>
      <c r="U21" s="137">
        <v>1881833566</v>
      </c>
      <c r="V21" s="137">
        <v>1881833566</v>
      </c>
      <c r="W21" s="137">
        <v>1881833566</v>
      </c>
      <c r="X21" s="137">
        <v>1881833566</v>
      </c>
      <c r="Y21" s="137">
        <v>1971833566</v>
      </c>
      <c r="Z21" s="137">
        <v>1933679101</v>
      </c>
      <c r="AA21" s="137">
        <v>1933679101</v>
      </c>
      <c r="AB21" s="137">
        <v>2167334800</v>
      </c>
      <c r="AC21" s="137">
        <v>2388108500</v>
      </c>
      <c r="AD21" s="137">
        <v>5331564273</v>
      </c>
      <c r="AE21" s="137">
        <v>5759597961</v>
      </c>
      <c r="AF21" s="107"/>
      <c r="AG21" s="475"/>
      <c r="AH21" s="475"/>
      <c r="AI21" s="475"/>
      <c r="AJ21" s="475"/>
      <c r="AK21" s="475"/>
      <c r="AL21" s="475"/>
      <c r="AM21" s="475"/>
      <c r="AN21" s="475"/>
      <c r="AO21" s="683"/>
      <c r="AP21" s="684"/>
      <c r="AQ21" s="475"/>
      <c r="AR21" s="475"/>
      <c r="AS21" s="475"/>
      <c r="AT21" s="475"/>
      <c r="AU21" s="475"/>
      <c r="AV21" s="475"/>
      <c r="AW21" s="475"/>
      <c r="AX21" s="685"/>
      <c r="AY21" s="585"/>
    </row>
    <row r="22" spans="1:51" ht="25.5" x14ac:dyDescent="0.25">
      <c r="A22" s="594">
        <v>3</v>
      </c>
      <c r="B22" s="591" t="s">
        <v>328</v>
      </c>
      <c r="C22" s="589" t="s">
        <v>704</v>
      </c>
      <c r="D22" s="138" t="s">
        <v>40</v>
      </c>
      <c r="E22" s="32">
        <v>2</v>
      </c>
      <c r="F22" s="32">
        <v>1.9999999999999996</v>
      </c>
      <c r="G22" s="32">
        <v>1.9999999999999996</v>
      </c>
      <c r="H22" s="32">
        <v>1.9999999999999996</v>
      </c>
      <c r="I22" s="32">
        <v>1.9999999999999996</v>
      </c>
      <c r="J22" s="32">
        <v>1.9999999999999996</v>
      </c>
      <c r="K22" s="32">
        <v>1.9999999999999996</v>
      </c>
      <c r="L22" s="32">
        <v>1.9999999999999996</v>
      </c>
      <c r="M22" s="32">
        <v>1.9999999999999996</v>
      </c>
      <c r="N22" s="32">
        <v>1.9999999999999996</v>
      </c>
      <c r="O22" s="32">
        <v>1.9999999999999996</v>
      </c>
      <c r="P22" s="32">
        <v>1.9999999999999996</v>
      </c>
      <c r="Q22" s="32">
        <v>1.9999999999999996</v>
      </c>
      <c r="R22" s="32">
        <v>1.9999999999999996</v>
      </c>
      <c r="S22" s="32"/>
      <c r="T22" s="32">
        <v>0</v>
      </c>
      <c r="U22" s="32">
        <v>0.33</v>
      </c>
      <c r="V22" s="32">
        <v>0.5</v>
      </c>
      <c r="W22" s="32">
        <v>0.67</v>
      </c>
      <c r="X22" s="32">
        <v>0.81</v>
      </c>
      <c r="Y22" s="32">
        <v>0.98000000000000009</v>
      </c>
      <c r="Z22" s="32">
        <v>1.1700000000000002</v>
      </c>
      <c r="AA22" s="32">
        <v>1.34</v>
      </c>
      <c r="AB22" s="274">
        <v>1.51</v>
      </c>
      <c r="AC22" s="274">
        <v>1.68</v>
      </c>
      <c r="AD22" s="274">
        <v>1.8499999999999999</v>
      </c>
      <c r="AE22" s="274">
        <v>1.9999999999999998</v>
      </c>
      <c r="AF22" s="274"/>
      <c r="AG22" s="475" t="s">
        <v>324</v>
      </c>
      <c r="AH22" s="475" t="s">
        <v>325</v>
      </c>
      <c r="AI22" s="475" t="s">
        <v>325</v>
      </c>
      <c r="AJ22" s="475" t="s">
        <v>326</v>
      </c>
      <c r="AK22" s="475" t="s">
        <v>326</v>
      </c>
      <c r="AL22" s="475" t="s">
        <v>325</v>
      </c>
      <c r="AM22" s="475" t="s">
        <v>325</v>
      </c>
      <c r="AN22" s="475" t="s">
        <v>325</v>
      </c>
      <c r="AO22" s="683">
        <v>3751549</v>
      </c>
      <c r="AP22" s="684">
        <v>4082618</v>
      </c>
      <c r="AQ22" s="475" t="s">
        <v>325</v>
      </c>
      <c r="AR22" s="475" t="s">
        <v>325</v>
      </c>
      <c r="AS22" s="475" t="s">
        <v>325</v>
      </c>
      <c r="AT22" s="475" t="s">
        <v>325</v>
      </c>
      <c r="AU22" s="475" t="s">
        <v>325</v>
      </c>
      <c r="AV22" s="475" t="s">
        <v>325</v>
      </c>
      <c r="AW22" s="475" t="s">
        <v>325</v>
      </c>
      <c r="AX22" s="685">
        <v>7834167</v>
      </c>
      <c r="AY22" s="585"/>
    </row>
    <row r="23" spans="1:51" ht="51" x14ac:dyDescent="0.25">
      <c r="A23" s="595"/>
      <c r="B23" s="592"/>
      <c r="C23" s="590"/>
      <c r="D23" s="135" t="s">
        <v>3</v>
      </c>
      <c r="E23" s="107">
        <v>3364237000</v>
      </c>
      <c r="F23" s="107">
        <v>4010222109</v>
      </c>
      <c r="G23" s="107">
        <v>4010222109</v>
      </c>
      <c r="H23" s="107">
        <v>4010222109</v>
      </c>
      <c r="I23" s="107">
        <v>4010222109</v>
      </c>
      <c r="J23" s="107">
        <v>4010222109</v>
      </c>
      <c r="K23" s="107">
        <v>4010222109</v>
      </c>
      <c r="L23" s="107">
        <v>4010222109</v>
      </c>
      <c r="M23" s="107">
        <v>4010222109</v>
      </c>
      <c r="N23" s="107">
        <v>4010222109</v>
      </c>
      <c r="O23" s="107">
        <v>4010222109</v>
      </c>
      <c r="P23" s="107">
        <v>4010222109</v>
      </c>
      <c r="Q23" s="107">
        <v>4010222109</v>
      </c>
      <c r="R23" s="107">
        <v>4010222109</v>
      </c>
      <c r="S23" s="107"/>
      <c r="T23" s="107">
        <v>2534638908</v>
      </c>
      <c r="U23" s="107">
        <v>2534638908</v>
      </c>
      <c r="V23" s="107">
        <v>2584638908</v>
      </c>
      <c r="W23" s="107">
        <v>2584638908</v>
      </c>
      <c r="X23" s="107">
        <v>2747234908</v>
      </c>
      <c r="Y23" s="107">
        <v>2747234908</v>
      </c>
      <c r="Z23" s="107">
        <v>2747234908</v>
      </c>
      <c r="AA23" s="107">
        <v>2747234908</v>
      </c>
      <c r="AB23" s="107">
        <v>2828127908</v>
      </c>
      <c r="AC23" s="107">
        <v>2950054808</v>
      </c>
      <c r="AD23" s="107">
        <v>3325962708</v>
      </c>
      <c r="AE23" s="117">
        <v>3811179788</v>
      </c>
      <c r="AF23" s="212"/>
      <c r="AG23" s="475"/>
      <c r="AH23" s="475"/>
      <c r="AI23" s="475"/>
      <c r="AJ23" s="475"/>
      <c r="AK23" s="475"/>
      <c r="AL23" s="475"/>
      <c r="AM23" s="475"/>
      <c r="AN23" s="475"/>
      <c r="AO23" s="683"/>
      <c r="AP23" s="684"/>
      <c r="AQ23" s="475"/>
      <c r="AR23" s="475"/>
      <c r="AS23" s="475"/>
      <c r="AT23" s="475"/>
      <c r="AU23" s="475"/>
      <c r="AV23" s="475"/>
      <c r="AW23" s="475"/>
      <c r="AX23" s="685"/>
      <c r="AY23" s="585"/>
    </row>
    <row r="24" spans="1:51" ht="38.25" x14ac:dyDescent="0.25">
      <c r="A24" s="595"/>
      <c r="B24" s="592"/>
      <c r="C24" s="590"/>
      <c r="D24" s="138" t="s">
        <v>41</v>
      </c>
      <c r="E24" s="32">
        <v>0</v>
      </c>
      <c r="F24" s="32">
        <v>0</v>
      </c>
      <c r="G24" s="32">
        <v>0</v>
      </c>
      <c r="H24" s="32">
        <v>0</v>
      </c>
      <c r="I24" s="32">
        <v>0</v>
      </c>
      <c r="J24" s="32">
        <v>0</v>
      </c>
      <c r="K24" s="32">
        <v>0</v>
      </c>
      <c r="L24" s="32">
        <v>0</v>
      </c>
      <c r="M24" s="32">
        <v>0</v>
      </c>
      <c r="N24" s="32">
        <v>0</v>
      </c>
      <c r="O24" s="32">
        <v>0</v>
      </c>
      <c r="P24" s="32">
        <v>0</v>
      </c>
      <c r="Q24" s="32">
        <v>0</v>
      </c>
      <c r="R24" s="32">
        <v>0</v>
      </c>
      <c r="S24" s="32"/>
      <c r="T24" s="32">
        <v>0</v>
      </c>
      <c r="U24" s="32">
        <v>0</v>
      </c>
      <c r="V24" s="32">
        <v>0</v>
      </c>
      <c r="W24" s="32">
        <v>0</v>
      </c>
      <c r="X24" s="32">
        <v>0</v>
      </c>
      <c r="Y24" s="32">
        <v>0</v>
      </c>
      <c r="Z24" s="32">
        <v>0</v>
      </c>
      <c r="AA24" s="32">
        <v>0</v>
      </c>
      <c r="AB24" s="274">
        <v>0</v>
      </c>
      <c r="AC24" s="274">
        <v>0</v>
      </c>
      <c r="AD24" s="274">
        <v>0</v>
      </c>
      <c r="AE24" s="274">
        <v>0</v>
      </c>
      <c r="AF24" s="687"/>
      <c r="AG24" s="475"/>
      <c r="AH24" s="475"/>
      <c r="AI24" s="475"/>
      <c r="AJ24" s="475"/>
      <c r="AK24" s="475"/>
      <c r="AL24" s="475"/>
      <c r="AM24" s="475"/>
      <c r="AN24" s="475"/>
      <c r="AO24" s="683"/>
      <c r="AP24" s="684"/>
      <c r="AQ24" s="475"/>
      <c r="AR24" s="475"/>
      <c r="AS24" s="475"/>
      <c r="AT24" s="475"/>
      <c r="AU24" s="475"/>
      <c r="AV24" s="475"/>
      <c r="AW24" s="475"/>
      <c r="AX24" s="685"/>
      <c r="AY24" s="585"/>
    </row>
    <row r="25" spans="1:51" ht="38.25" x14ac:dyDescent="0.25">
      <c r="A25" s="595"/>
      <c r="B25" s="592"/>
      <c r="C25" s="590"/>
      <c r="D25" s="135" t="s">
        <v>4</v>
      </c>
      <c r="E25" s="107">
        <v>459991982</v>
      </c>
      <c r="F25" s="107">
        <v>458869849</v>
      </c>
      <c r="G25" s="107">
        <v>458869849</v>
      </c>
      <c r="H25" s="107">
        <v>458869849</v>
      </c>
      <c r="I25" s="107">
        <v>458869849</v>
      </c>
      <c r="J25" s="107">
        <v>458869849</v>
      </c>
      <c r="K25" s="107">
        <v>458869849</v>
      </c>
      <c r="L25" s="107">
        <v>458869849</v>
      </c>
      <c r="M25" s="107">
        <v>458869849</v>
      </c>
      <c r="N25" s="107">
        <v>458869849</v>
      </c>
      <c r="O25" s="107">
        <v>458869849</v>
      </c>
      <c r="P25" s="107">
        <v>458869849</v>
      </c>
      <c r="Q25" s="107">
        <v>458869849</v>
      </c>
      <c r="R25" s="107">
        <v>458869849</v>
      </c>
      <c r="S25" s="107"/>
      <c r="T25" s="107">
        <v>0</v>
      </c>
      <c r="U25" s="107">
        <v>71062834</v>
      </c>
      <c r="V25" s="107">
        <v>71062834</v>
      </c>
      <c r="W25" s="107">
        <v>71062834</v>
      </c>
      <c r="X25" s="107">
        <v>71062834</v>
      </c>
      <c r="Y25" s="107">
        <v>71062834</v>
      </c>
      <c r="Z25" s="107">
        <v>458869849</v>
      </c>
      <c r="AA25" s="107">
        <v>458869849</v>
      </c>
      <c r="AB25" s="107">
        <v>325814200</v>
      </c>
      <c r="AC25" s="107">
        <v>334678070</v>
      </c>
      <c r="AD25" s="107">
        <v>441825481</v>
      </c>
      <c r="AE25" s="107">
        <v>441825481</v>
      </c>
      <c r="AF25" s="117"/>
      <c r="AG25" s="475"/>
      <c r="AH25" s="475"/>
      <c r="AI25" s="475"/>
      <c r="AJ25" s="475"/>
      <c r="AK25" s="475"/>
      <c r="AL25" s="475"/>
      <c r="AM25" s="475"/>
      <c r="AN25" s="475"/>
      <c r="AO25" s="683"/>
      <c r="AP25" s="684"/>
      <c r="AQ25" s="475"/>
      <c r="AR25" s="475"/>
      <c r="AS25" s="475"/>
      <c r="AT25" s="475"/>
      <c r="AU25" s="475"/>
      <c r="AV25" s="475"/>
      <c r="AW25" s="475"/>
      <c r="AX25" s="685"/>
      <c r="AY25" s="585"/>
    </row>
    <row r="26" spans="1:51" ht="38.25" x14ac:dyDescent="0.25">
      <c r="A26" s="595"/>
      <c r="B26" s="592"/>
      <c r="C26" s="590"/>
      <c r="D26" s="138" t="s">
        <v>42</v>
      </c>
      <c r="E26" s="139">
        <v>2</v>
      </c>
      <c r="F26" s="139">
        <v>1.9999999999999996</v>
      </c>
      <c r="G26" s="139">
        <v>1.9999999999999996</v>
      </c>
      <c r="H26" s="139">
        <v>1.9999999999999996</v>
      </c>
      <c r="I26" s="139">
        <v>1.9999999999999996</v>
      </c>
      <c r="J26" s="139">
        <v>1.9999999999999996</v>
      </c>
      <c r="K26" s="139">
        <v>1.9999999999999996</v>
      </c>
      <c r="L26" s="139">
        <v>1.9999999999999996</v>
      </c>
      <c r="M26" s="139">
        <v>1.9999999999999996</v>
      </c>
      <c r="N26" s="139">
        <v>1.9999999999999996</v>
      </c>
      <c r="O26" s="139">
        <v>1.9999999999999996</v>
      </c>
      <c r="P26" s="139">
        <v>1.9999999999999996</v>
      </c>
      <c r="Q26" s="139">
        <v>1.9999999999999996</v>
      </c>
      <c r="R26" s="139">
        <v>1.9999999999999996</v>
      </c>
      <c r="S26" s="139"/>
      <c r="T26" s="139">
        <v>0</v>
      </c>
      <c r="U26" s="139">
        <v>0.33</v>
      </c>
      <c r="V26" s="139">
        <v>0.5</v>
      </c>
      <c r="W26" s="139">
        <v>0.67</v>
      </c>
      <c r="X26" s="139">
        <v>0.81</v>
      </c>
      <c r="Y26" s="139">
        <v>0.98000000000000009</v>
      </c>
      <c r="Z26" s="139">
        <v>1.1700000000000002</v>
      </c>
      <c r="AA26" s="139">
        <v>1.34</v>
      </c>
      <c r="AB26" s="139">
        <v>1.51</v>
      </c>
      <c r="AC26" s="139">
        <v>1.68</v>
      </c>
      <c r="AD26" s="139">
        <v>1.8499999999999999</v>
      </c>
      <c r="AE26" s="139">
        <v>1.9999999999999998</v>
      </c>
      <c r="AF26" s="686"/>
      <c r="AG26" s="475"/>
      <c r="AH26" s="475"/>
      <c r="AI26" s="475"/>
      <c r="AJ26" s="475"/>
      <c r="AK26" s="475"/>
      <c r="AL26" s="475"/>
      <c r="AM26" s="475"/>
      <c r="AN26" s="475"/>
      <c r="AO26" s="683"/>
      <c r="AP26" s="684"/>
      <c r="AQ26" s="475"/>
      <c r="AR26" s="475"/>
      <c r="AS26" s="475"/>
      <c r="AT26" s="475"/>
      <c r="AU26" s="475"/>
      <c r="AV26" s="475"/>
      <c r="AW26" s="475"/>
      <c r="AX26" s="685"/>
      <c r="AY26" s="585"/>
    </row>
    <row r="27" spans="1:51" ht="51" x14ac:dyDescent="0.25">
      <c r="A27" s="596"/>
      <c r="B27" s="593"/>
      <c r="C27" s="590"/>
      <c r="D27" s="135" t="s">
        <v>44</v>
      </c>
      <c r="E27" s="137">
        <v>3824228982</v>
      </c>
      <c r="F27" s="137">
        <v>4469091958</v>
      </c>
      <c r="G27" s="137">
        <v>4469091958</v>
      </c>
      <c r="H27" s="137">
        <v>4469091958</v>
      </c>
      <c r="I27" s="137">
        <v>4469091958</v>
      </c>
      <c r="J27" s="137">
        <v>4469091958</v>
      </c>
      <c r="K27" s="137">
        <v>4469091958</v>
      </c>
      <c r="L27" s="137">
        <v>4469091958</v>
      </c>
      <c r="M27" s="137">
        <v>4469091958</v>
      </c>
      <c r="N27" s="137">
        <v>4469091958</v>
      </c>
      <c r="O27" s="137">
        <v>4469091958</v>
      </c>
      <c r="P27" s="137">
        <v>4469091958</v>
      </c>
      <c r="Q27" s="137">
        <v>4469091958</v>
      </c>
      <c r="R27" s="137">
        <v>4469091958</v>
      </c>
      <c r="S27" s="137"/>
      <c r="T27" s="137">
        <v>2534638908</v>
      </c>
      <c r="U27" s="137">
        <v>2605701742</v>
      </c>
      <c r="V27" s="137">
        <v>2655701742</v>
      </c>
      <c r="W27" s="137">
        <v>2655701742</v>
      </c>
      <c r="X27" s="137">
        <v>2818297742</v>
      </c>
      <c r="Y27" s="137">
        <v>2818297742</v>
      </c>
      <c r="Z27" s="137">
        <v>3206104757</v>
      </c>
      <c r="AA27" s="137">
        <v>3206104757</v>
      </c>
      <c r="AB27" s="137">
        <v>3153942108</v>
      </c>
      <c r="AC27" s="137">
        <v>3284732878</v>
      </c>
      <c r="AD27" s="137">
        <v>3767788189</v>
      </c>
      <c r="AE27" s="137">
        <v>4253005269</v>
      </c>
      <c r="AF27" s="107"/>
      <c r="AG27" s="475"/>
      <c r="AH27" s="475"/>
      <c r="AI27" s="475"/>
      <c r="AJ27" s="475"/>
      <c r="AK27" s="475"/>
      <c r="AL27" s="475"/>
      <c r="AM27" s="475"/>
      <c r="AN27" s="475"/>
      <c r="AO27" s="683"/>
      <c r="AP27" s="684"/>
      <c r="AQ27" s="475"/>
      <c r="AR27" s="475"/>
      <c r="AS27" s="475"/>
      <c r="AT27" s="475"/>
      <c r="AU27" s="475"/>
      <c r="AV27" s="475"/>
      <c r="AW27" s="475"/>
      <c r="AX27" s="685"/>
      <c r="AY27" s="585"/>
    </row>
    <row r="28" spans="1:51" ht="25.5" x14ac:dyDescent="0.25">
      <c r="A28" s="594">
        <v>4</v>
      </c>
      <c r="B28" s="591" t="s">
        <v>329</v>
      </c>
      <c r="C28" s="587" t="s">
        <v>708</v>
      </c>
      <c r="D28" s="243" t="s">
        <v>40</v>
      </c>
      <c r="E28" s="244">
        <v>1272</v>
      </c>
      <c r="F28" s="244">
        <v>1418</v>
      </c>
      <c r="G28" s="244">
        <v>1418</v>
      </c>
      <c r="H28" s="244">
        <v>1418</v>
      </c>
      <c r="I28" s="244">
        <v>1418</v>
      </c>
      <c r="J28" s="244">
        <v>1418</v>
      </c>
      <c r="K28" s="244">
        <v>1418</v>
      </c>
      <c r="L28" s="244">
        <v>1418</v>
      </c>
      <c r="M28" s="244">
        <v>1418</v>
      </c>
      <c r="N28" s="244">
        <v>1418</v>
      </c>
      <c r="O28" s="244">
        <v>1418</v>
      </c>
      <c r="P28" s="244">
        <v>1418</v>
      </c>
      <c r="Q28" s="244">
        <v>1418</v>
      </c>
      <c r="R28" s="244">
        <v>1418</v>
      </c>
      <c r="S28" s="244"/>
      <c r="T28" s="244">
        <v>11</v>
      </c>
      <c r="U28" s="244">
        <v>140</v>
      </c>
      <c r="V28" s="244">
        <v>249</v>
      </c>
      <c r="W28" s="244">
        <v>364</v>
      </c>
      <c r="X28" s="244">
        <v>558</v>
      </c>
      <c r="Y28" s="244">
        <v>685</v>
      </c>
      <c r="Z28" s="244">
        <v>823</v>
      </c>
      <c r="AA28" s="244">
        <v>940</v>
      </c>
      <c r="AB28" s="688">
        <v>1082</v>
      </c>
      <c r="AC28" s="688">
        <v>1203</v>
      </c>
      <c r="AD28" s="688">
        <v>1340</v>
      </c>
      <c r="AE28" s="274">
        <v>1418</v>
      </c>
      <c r="AF28" s="688"/>
      <c r="AG28" s="475" t="s">
        <v>324</v>
      </c>
      <c r="AH28" s="475" t="s">
        <v>325</v>
      </c>
      <c r="AI28" s="475" t="s">
        <v>325</v>
      </c>
      <c r="AJ28" s="475" t="s">
        <v>326</v>
      </c>
      <c r="AK28" s="475" t="s">
        <v>326</v>
      </c>
      <c r="AL28" s="475" t="s">
        <v>325</v>
      </c>
      <c r="AM28" s="475" t="s">
        <v>325</v>
      </c>
      <c r="AN28" s="475" t="s">
        <v>325</v>
      </c>
      <c r="AO28" s="683">
        <v>3721767</v>
      </c>
      <c r="AP28" s="684">
        <v>4082893</v>
      </c>
      <c r="AQ28" s="475" t="s">
        <v>325</v>
      </c>
      <c r="AR28" s="475" t="s">
        <v>325</v>
      </c>
      <c r="AS28" s="475" t="s">
        <v>325</v>
      </c>
      <c r="AT28" s="475" t="s">
        <v>325</v>
      </c>
      <c r="AU28" s="475" t="s">
        <v>325</v>
      </c>
      <c r="AV28" s="475" t="s">
        <v>325</v>
      </c>
      <c r="AW28" s="475" t="s">
        <v>325</v>
      </c>
      <c r="AX28" s="685">
        <v>7804660</v>
      </c>
      <c r="AY28" s="585"/>
    </row>
    <row r="29" spans="1:51" ht="51" x14ac:dyDescent="0.25">
      <c r="A29" s="595"/>
      <c r="B29" s="592"/>
      <c r="C29" s="587"/>
      <c r="D29" s="135" t="s">
        <v>3</v>
      </c>
      <c r="E29" s="107">
        <v>1617058000</v>
      </c>
      <c r="F29" s="107">
        <v>1908372100</v>
      </c>
      <c r="G29" s="107">
        <v>1908372100</v>
      </c>
      <c r="H29" s="107">
        <v>1908372100</v>
      </c>
      <c r="I29" s="107">
        <v>1908372100</v>
      </c>
      <c r="J29" s="107">
        <v>1908372100</v>
      </c>
      <c r="K29" s="107">
        <v>1908372100</v>
      </c>
      <c r="L29" s="107">
        <v>1908372100</v>
      </c>
      <c r="M29" s="107">
        <v>1908372100</v>
      </c>
      <c r="N29" s="107">
        <v>1908372100</v>
      </c>
      <c r="O29" s="107">
        <v>1908372100</v>
      </c>
      <c r="P29" s="107">
        <v>1908372100</v>
      </c>
      <c r="Q29" s="107">
        <v>1908372100</v>
      </c>
      <c r="R29" s="107">
        <v>1908372100</v>
      </c>
      <c r="S29" s="117"/>
      <c r="T29" s="107">
        <v>1097940000</v>
      </c>
      <c r="U29" s="107">
        <v>1097940000</v>
      </c>
      <c r="V29" s="107">
        <v>1097940000</v>
      </c>
      <c r="W29" s="107">
        <v>1097940000</v>
      </c>
      <c r="X29" s="107">
        <v>1097940000</v>
      </c>
      <c r="Y29" s="107">
        <v>1097940000</v>
      </c>
      <c r="Z29" s="107">
        <v>1097940000</v>
      </c>
      <c r="AA29" s="107">
        <v>1097940000</v>
      </c>
      <c r="AB29" s="107">
        <v>1137940000</v>
      </c>
      <c r="AC29" s="107">
        <v>1685938200</v>
      </c>
      <c r="AD29" s="107">
        <v>1772031700</v>
      </c>
      <c r="AE29" s="117">
        <v>1857893448</v>
      </c>
      <c r="AF29" s="117"/>
      <c r="AG29" s="475"/>
      <c r="AH29" s="475"/>
      <c r="AI29" s="475"/>
      <c r="AJ29" s="475"/>
      <c r="AK29" s="475"/>
      <c r="AL29" s="475"/>
      <c r="AM29" s="475"/>
      <c r="AN29" s="475"/>
      <c r="AO29" s="683"/>
      <c r="AP29" s="684"/>
      <c r="AQ29" s="475"/>
      <c r="AR29" s="475"/>
      <c r="AS29" s="475"/>
      <c r="AT29" s="475"/>
      <c r="AU29" s="475"/>
      <c r="AV29" s="475"/>
      <c r="AW29" s="475"/>
      <c r="AX29" s="685"/>
      <c r="AY29" s="585"/>
    </row>
    <row r="30" spans="1:51" ht="38.25" x14ac:dyDescent="0.25">
      <c r="A30" s="595"/>
      <c r="B30" s="592"/>
      <c r="C30" s="587"/>
      <c r="D30" s="243" t="s">
        <v>41</v>
      </c>
      <c r="E30" s="244">
        <v>0</v>
      </c>
      <c r="F30" s="244">
        <v>0</v>
      </c>
      <c r="G30" s="244">
        <v>0</v>
      </c>
      <c r="H30" s="244">
        <v>0</v>
      </c>
      <c r="I30" s="244">
        <v>0</v>
      </c>
      <c r="J30" s="244">
        <v>0</v>
      </c>
      <c r="K30" s="244">
        <v>0</v>
      </c>
      <c r="L30" s="244">
        <v>0</v>
      </c>
      <c r="M30" s="244">
        <v>0</v>
      </c>
      <c r="N30" s="244">
        <v>0</v>
      </c>
      <c r="O30" s="244">
        <v>0</v>
      </c>
      <c r="P30" s="244">
        <v>0</v>
      </c>
      <c r="Q30" s="244">
        <v>0</v>
      </c>
      <c r="R30" s="244">
        <v>0</v>
      </c>
      <c r="S30" s="245"/>
      <c r="T30" s="244">
        <v>0</v>
      </c>
      <c r="U30" s="244">
        <v>0</v>
      </c>
      <c r="V30" s="244">
        <v>0</v>
      </c>
      <c r="W30" s="244">
        <v>0</v>
      </c>
      <c r="X30" s="244">
        <v>0</v>
      </c>
      <c r="Y30" s="244">
        <v>0</v>
      </c>
      <c r="Z30" s="244">
        <v>0</v>
      </c>
      <c r="AA30" s="244">
        <v>0</v>
      </c>
      <c r="AB30" s="688">
        <v>0</v>
      </c>
      <c r="AC30" s="688">
        <v>0</v>
      </c>
      <c r="AD30" s="688">
        <v>0</v>
      </c>
      <c r="AE30" s="274">
        <v>0</v>
      </c>
      <c r="AF30" s="689"/>
      <c r="AG30" s="475"/>
      <c r="AH30" s="475"/>
      <c r="AI30" s="475"/>
      <c r="AJ30" s="475"/>
      <c r="AK30" s="475"/>
      <c r="AL30" s="475"/>
      <c r="AM30" s="475"/>
      <c r="AN30" s="475"/>
      <c r="AO30" s="683"/>
      <c r="AP30" s="684"/>
      <c r="AQ30" s="475"/>
      <c r="AR30" s="475"/>
      <c r="AS30" s="475"/>
      <c r="AT30" s="475"/>
      <c r="AU30" s="475"/>
      <c r="AV30" s="475"/>
      <c r="AW30" s="475"/>
      <c r="AX30" s="685"/>
      <c r="AY30" s="585"/>
    </row>
    <row r="31" spans="1:51" ht="38.25" x14ac:dyDescent="0.25">
      <c r="A31" s="595"/>
      <c r="B31" s="592"/>
      <c r="C31" s="587"/>
      <c r="D31" s="135" t="s">
        <v>4</v>
      </c>
      <c r="E31" s="107">
        <v>662293058</v>
      </c>
      <c r="F31" s="107">
        <v>654546077</v>
      </c>
      <c r="G31" s="107">
        <v>654546077</v>
      </c>
      <c r="H31" s="107">
        <v>654546077</v>
      </c>
      <c r="I31" s="107">
        <v>654546077</v>
      </c>
      <c r="J31" s="107">
        <v>654546077</v>
      </c>
      <c r="K31" s="107">
        <v>654546077</v>
      </c>
      <c r="L31" s="107">
        <v>654546077</v>
      </c>
      <c r="M31" s="107">
        <v>654546077</v>
      </c>
      <c r="N31" s="107">
        <v>654546077</v>
      </c>
      <c r="O31" s="107">
        <v>654546077</v>
      </c>
      <c r="P31" s="107">
        <v>654546077</v>
      </c>
      <c r="Q31" s="107">
        <v>654546077</v>
      </c>
      <c r="R31" s="107">
        <v>654546077</v>
      </c>
      <c r="S31" s="137"/>
      <c r="T31" s="107">
        <v>0</v>
      </c>
      <c r="U31" s="107">
        <v>24006926</v>
      </c>
      <c r="V31" s="107">
        <v>24006926</v>
      </c>
      <c r="W31" s="107">
        <v>24006926</v>
      </c>
      <c r="X31" s="107">
        <v>24006926</v>
      </c>
      <c r="Y31" s="107">
        <v>24006926</v>
      </c>
      <c r="Z31" s="107">
        <v>662293058</v>
      </c>
      <c r="AA31" s="107">
        <v>654546079</v>
      </c>
      <c r="AB31" s="107">
        <v>654546077</v>
      </c>
      <c r="AC31" s="107">
        <v>654546077</v>
      </c>
      <c r="AD31" s="107">
        <v>654546077</v>
      </c>
      <c r="AE31" s="107">
        <v>654546077</v>
      </c>
      <c r="AF31" s="137"/>
      <c r="AG31" s="475"/>
      <c r="AH31" s="475"/>
      <c r="AI31" s="475"/>
      <c r="AJ31" s="475"/>
      <c r="AK31" s="475"/>
      <c r="AL31" s="475"/>
      <c r="AM31" s="475"/>
      <c r="AN31" s="475"/>
      <c r="AO31" s="683"/>
      <c r="AP31" s="684"/>
      <c r="AQ31" s="475"/>
      <c r="AR31" s="475"/>
      <c r="AS31" s="475"/>
      <c r="AT31" s="475"/>
      <c r="AU31" s="475"/>
      <c r="AV31" s="475"/>
      <c r="AW31" s="475"/>
      <c r="AX31" s="685"/>
      <c r="AY31" s="585"/>
    </row>
    <row r="32" spans="1:51" ht="38.25" x14ac:dyDescent="0.25">
      <c r="A32" s="595"/>
      <c r="B32" s="592"/>
      <c r="C32" s="587"/>
      <c r="D32" s="243" t="s">
        <v>42</v>
      </c>
      <c r="E32" s="246">
        <v>1272</v>
      </c>
      <c r="F32" s="246">
        <v>1418</v>
      </c>
      <c r="G32" s="246">
        <v>1418</v>
      </c>
      <c r="H32" s="246">
        <v>1418</v>
      </c>
      <c r="I32" s="246">
        <v>1418</v>
      </c>
      <c r="J32" s="246">
        <v>1418</v>
      </c>
      <c r="K32" s="246">
        <v>1418</v>
      </c>
      <c r="L32" s="246">
        <v>1418</v>
      </c>
      <c r="M32" s="246">
        <v>1418</v>
      </c>
      <c r="N32" s="246">
        <v>1418</v>
      </c>
      <c r="O32" s="246">
        <v>1418</v>
      </c>
      <c r="P32" s="246">
        <v>1418</v>
      </c>
      <c r="Q32" s="246">
        <v>1418</v>
      </c>
      <c r="R32" s="246">
        <v>1418</v>
      </c>
      <c r="S32" s="246"/>
      <c r="T32" s="246">
        <v>11</v>
      </c>
      <c r="U32" s="246">
        <v>140</v>
      </c>
      <c r="V32" s="246">
        <v>249</v>
      </c>
      <c r="W32" s="246">
        <v>364</v>
      </c>
      <c r="X32" s="246">
        <v>558</v>
      </c>
      <c r="Y32" s="246">
        <v>685</v>
      </c>
      <c r="Z32" s="246">
        <v>823</v>
      </c>
      <c r="AA32" s="246">
        <v>940</v>
      </c>
      <c r="AB32" s="246">
        <v>1082</v>
      </c>
      <c r="AC32" s="246">
        <v>1203</v>
      </c>
      <c r="AD32" s="246">
        <v>1340</v>
      </c>
      <c r="AE32" s="246">
        <v>1418</v>
      </c>
      <c r="AF32" s="689"/>
      <c r="AG32" s="475"/>
      <c r="AH32" s="475"/>
      <c r="AI32" s="475"/>
      <c r="AJ32" s="475"/>
      <c r="AK32" s="475"/>
      <c r="AL32" s="475"/>
      <c r="AM32" s="475"/>
      <c r="AN32" s="475"/>
      <c r="AO32" s="683"/>
      <c r="AP32" s="684"/>
      <c r="AQ32" s="475"/>
      <c r="AR32" s="475"/>
      <c r="AS32" s="475"/>
      <c r="AT32" s="475"/>
      <c r="AU32" s="475"/>
      <c r="AV32" s="475"/>
      <c r="AW32" s="475"/>
      <c r="AX32" s="685"/>
      <c r="AY32" s="585"/>
    </row>
    <row r="33" spans="1:51" ht="51" x14ac:dyDescent="0.25">
      <c r="A33" s="596"/>
      <c r="B33" s="593"/>
      <c r="C33" s="587"/>
      <c r="D33" s="135" t="s">
        <v>44</v>
      </c>
      <c r="E33" s="137">
        <v>2279351058</v>
      </c>
      <c r="F33" s="137">
        <v>2562918177</v>
      </c>
      <c r="G33" s="137">
        <v>2562918177</v>
      </c>
      <c r="H33" s="137">
        <v>2562918177</v>
      </c>
      <c r="I33" s="137">
        <v>2562918177</v>
      </c>
      <c r="J33" s="137">
        <v>2562918177</v>
      </c>
      <c r="K33" s="137">
        <v>2562918177</v>
      </c>
      <c r="L33" s="137">
        <v>2562918177</v>
      </c>
      <c r="M33" s="137">
        <v>2562918177</v>
      </c>
      <c r="N33" s="137">
        <v>2562918177</v>
      </c>
      <c r="O33" s="137">
        <v>2562918177</v>
      </c>
      <c r="P33" s="137">
        <v>2562918177</v>
      </c>
      <c r="Q33" s="137">
        <v>2562918177</v>
      </c>
      <c r="R33" s="137">
        <v>2562918177</v>
      </c>
      <c r="S33" s="137"/>
      <c r="T33" s="137">
        <v>1097940000</v>
      </c>
      <c r="U33" s="137">
        <v>1121946926</v>
      </c>
      <c r="V33" s="137">
        <v>1121946926</v>
      </c>
      <c r="W33" s="137">
        <v>1121946926</v>
      </c>
      <c r="X33" s="137">
        <v>1121946926</v>
      </c>
      <c r="Y33" s="137">
        <v>1121946926</v>
      </c>
      <c r="Z33" s="137">
        <v>1760233058</v>
      </c>
      <c r="AA33" s="137">
        <v>1752486079</v>
      </c>
      <c r="AB33" s="137">
        <v>1792486077</v>
      </c>
      <c r="AC33" s="137">
        <v>2340484277</v>
      </c>
      <c r="AD33" s="137">
        <v>2426577777</v>
      </c>
      <c r="AE33" s="137">
        <v>2512439525</v>
      </c>
      <c r="AF33" s="107"/>
      <c r="AG33" s="475"/>
      <c r="AH33" s="475"/>
      <c r="AI33" s="475"/>
      <c r="AJ33" s="475"/>
      <c r="AK33" s="475"/>
      <c r="AL33" s="475"/>
      <c r="AM33" s="475"/>
      <c r="AN33" s="475"/>
      <c r="AO33" s="683"/>
      <c r="AP33" s="684"/>
      <c r="AQ33" s="475"/>
      <c r="AR33" s="475"/>
      <c r="AS33" s="475"/>
      <c r="AT33" s="475"/>
      <c r="AU33" s="475"/>
      <c r="AV33" s="475"/>
      <c r="AW33" s="475"/>
      <c r="AX33" s="685"/>
      <c r="AY33" s="585"/>
    </row>
    <row r="34" spans="1:51" ht="25.5" x14ac:dyDescent="0.25">
      <c r="A34" s="586">
        <v>5</v>
      </c>
      <c r="B34" s="515" t="s">
        <v>321</v>
      </c>
      <c r="C34" s="588" t="s">
        <v>705</v>
      </c>
      <c r="D34" s="134" t="s">
        <v>40</v>
      </c>
      <c r="E34" s="92">
        <v>1</v>
      </c>
      <c r="F34" s="92">
        <v>1</v>
      </c>
      <c r="G34" s="92">
        <v>1</v>
      </c>
      <c r="H34" s="92">
        <v>1</v>
      </c>
      <c r="I34" s="92">
        <v>1</v>
      </c>
      <c r="J34" s="92">
        <v>1</v>
      </c>
      <c r="K34" s="92">
        <v>1</v>
      </c>
      <c r="L34" s="92">
        <v>1</v>
      </c>
      <c r="M34" s="92">
        <v>1</v>
      </c>
      <c r="N34" s="92">
        <v>1</v>
      </c>
      <c r="O34" s="92">
        <v>1</v>
      </c>
      <c r="P34" s="92">
        <v>1</v>
      </c>
      <c r="Q34" s="92">
        <v>1</v>
      </c>
      <c r="R34" s="92">
        <v>1</v>
      </c>
      <c r="S34" s="106"/>
      <c r="T34" s="92">
        <v>1</v>
      </c>
      <c r="U34" s="92">
        <v>1</v>
      </c>
      <c r="V34" s="92">
        <v>1</v>
      </c>
      <c r="W34" s="92">
        <v>1</v>
      </c>
      <c r="X34" s="92">
        <v>1</v>
      </c>
      <c r="Y34" s="92">
        <v>1</v>
      </c>
      <c r="Z34" s="92">
        <v>1</v>
      </c>
      <c r="AA34" s="92">
        <v>1</v>
      </c>
      <c r="AB34" s="92">
        <v>1</v>
      </c>
      <c r="AC34" s="92">
        <v>1</v>
      </c>
      <c r="AD34" s="92">
        <v>1</v>
      </c>
      <c r="AE34" s="225">
        <v>1</v>
      </c>
      <c r="AF34" s="106"/>
      <c r="AG34" s="475" t="s">
        <v>324</v>
      </c>
      <c r="AH34" s="475" t="s">
        <v>325</v>
      </c>
      <c r="AI34" s="475" t="s">
        <v>325</v>
      </c>
      <c r="AJ34" s="475" t="s">
        <v>706</v>
      </c>
      <c r="AK34" s="475" t="s">
        <v>326</v>
      </c>
      <c r="AL34" s="475" t="s">
        <v>325</v>
      </c>
      <c r="AM34" s="475" t="s">
        <v>325</v>
      </c>
      <c r="AN34" s="475" t="s">
        <v>325</v>
      </c>
      <c r="AO34" s="690">
        <v>3751549</v>
      </c>
      <c r="AP34" s="691">
        <v>4082618</v>
      </c>
      <c r="AQ34" s="475" t="s">
        <v>325</v>
      </c>
      <c r="AR34" s="475" t="s">
        <v>325</v>
      </c>
      <c r="AS34" s="475" t="s">
        <v>325</v>
      </c>
      <c r="AT34" s="475" t="s">
        <v>325</v>
      </c>
      <c r="AU34" s="475" t="s">
        <v>325</v>
      </c>
      <c r="AV34" s="475" t="s">
        <v>325</v>
      </c>
      <c r="AW34" s="475" t="s">
        <v>325</v>
      </c>
      <c r="AX34" s="685">
        <v>7834167</v>
      </c>
      <c r="AY34" s="585"/>
    </row>
    <row r="35" spans="1:51" ht="51" x14ac:dyDescent="0.25">
      <c r="A35" s="586"/>
      <c r="B35" s="515"/>
      <c r="C35" s="588"/>
      <c r="D35" s="135" t="s">
        <v>3</v>
      </c>
      <c r="E35" s="117">
        <v>843232000</v>
      </c>
      <c r="F35" s="117">
        <v>1053886300</v>
      </c>
      <c r="G35" s="117">
        <v>1053886300</v>
      </c>
      <c r="H35" s="117">
        <v>1053886300</v>
      </c>
      <c r="I35" s="117">
        <v>1053886300</v>
      </c>
      <c r="J35" s="117">
        <v>1053886300</v>
      </c>
      <c r="K35" s="117">
        <v>1053886300</v>
      </c>
      <c r="L35" s="117">
        <v>1053886300</v>
      </c>
      <c r="M35" s="117">
        <v>1053886300</v>
      </c>
      <c r="N35" s="117">
        <v>1053886300</v>
      </c>
      <c r="O35" s="117">
        <v>1053886300</v>
      </c>
      <c r="P35" s="117">
        <v>1053886300</v>
      </c>
      <c r="Q35" s="117">
        <v>1053886300</v>
      </c>
      <c r="R35" s="117">
        <v>1053886300</v>
      </c>
      <c r="S35" s="107"/>
      <c r="T35" s="117">
        <v>455184000</v>
      </c>
      <c r="U35" s="117">
        <v>455184000</v>
      </c>
      <c r="V35" s="117">
        <v>455184000</v>
      </c>
      <c r="W35" s="117">
        <v>455184000</v>
      </c>
      <c r="X35" s="117">
        <v>455184000</v>
      </c>
      <c r="Y35" s="117">
        <v>455184000</v>
      </c>
      <c r="Z35" s="117">
        <v>455184000</v>
      </c>
      <c r="AA35" s="117">
        <v>469212000</v>
      </c>
      <c r="AB35" s="117">
        <v>488561800</v>
      </c>
      <c r="AC35" s="117">
        <v>532681660</v>
      </c>
      <c r="AD35" s="117">
        <v>640649460</v>
      </c>
      <c r="AE35" s="117">
        <v>1023760508</v>
      </c>
      <c r="AF35" s="117"/>
      <c r="AG35" s="475"/>
      <c r="AH35" s="475"/>
      <c r="AI35" s="475"/>
      <c r="AJ35" s="475"/>
      <c r="AK35" s="475"/>
      <c r="AL35" s="475"/>
      <c r="AM35" s="475"/>
      <c r="AN35" s="475"/>
      <c r="AO35" s="692"/>
      <c r="AP35" s="693"/>
      <c r="AQ35" s="475"/>
      <c r="AR35" s="475"/>
      <c r="AS35" s="475"/>
      <c r="AT35" s="475"/>
      <c r="AU35" s="475"/>
      <c r="AV35" s="475"/>
      <c r="AW35" s="475"/>
      <c r="AX35" s="685"/>
      <c r="AY35" s="585"/>
    </row>
    <row r="36" spans="1:51" ht="38.25" x14ac:dyDescent="0.25">
      <c r="A36" s="586"/>
      <c r="B36" s="515"/>
      <c r="C36" s="588"/>
      <c r="D36" s="134" t="s">
        <v>41</v>
      </c>
      <c r="E36" s="92">
        <v>0</v>
      </c>
      <c r="F36" s="92">
        <v>0</v>
      </c>
      <c r="G36" s="92">
        <v>0</v>
      </c>
      <c r="H36" s="92">
        <v>0</v>
      </c>
      <c r="I36" s="92">
        <v>0</v>
      </c>
      <c r="J36" s="92">
        <v>0</v>
      </c>
      <c r="K36" s="92">
        <v>0</v>
      </c>
      <c r="L36" s="92">
        <v>0</v>
      </c>
      <c r="M36" s="92">
        <v>0</v>
      </c>
      <c r="N36" s="92">
        <v>0</v>
      </c>
      <c r="O36" s="92">
        <v>0</v>
      </c>
      <c r="P36" s="92">
        <v>0</v>
      </c>
      <c r="Q36" s="92">
        <v>0</v>
      </c>
      <c r="R36" s="92">
        <v>0</v>
      </c>
      <c r="S36" s="106"/>
      <c r="T36" s="92">
        <v>0</v>
      </c>
      <c r="U36" s="92">
        <v>0</v>
      </c>
      <c r="V36" s="92">
        <v>0</v>
      </c>
      <c r="W36" s="92">
        <v>0</v>
      </c>
      <c r="X36" s="92">
        <v>0</v>
      </c>
      <c r="Y36" s="92">
        <v>0</v>
      </c>
      <c r="Z36" s="92">
        <v>0</v>
      </c>
      <c r="AA36" s="92">
        <v>0</v>
      </c>
      <c r="AB36" s="92">
        <v>0</v>
      </c>
      <c r="AC36" s="92">
        <v>0</v>
      </c>
      <c r="AD36" s="92">
        <v>0</v>
      </c>
      <c r="AE36" s="92">
        <v>0</v>
      </c>
      <c r="AF36" s="92"/>
      <c r="AG36" s="475"/>
      <c r="AH36" s="475"/>
      <c r="AI36" s="475"/>
      <c r="AJ36" s="475"/>
      <c r="AK36" s="475"/>
      <c r="AL36" s="475"/>
      <c r="AM36" s="475"/>
      <c r="AN36" s="475"/>
      <c r="AO36" s="692"/>
      <c r="AP36" s="693"/>
      <c r="AQ36" s="475"/>
      <c r="AR36" s="475"/>
      <c r="AS36" s="475"/>
      <c r="AT36" s="475"/>
      <c r="AU36" s="475"/>
      <c r="AV36" s="475"/>
      <c r="AW36" s="475"/>
      <c r="AX36" s="685"/>
      <c r="AY36" s="585"/>
    </row>
    <row r="37" spans="1:51" ht="38.25" x14ac:dyDescent="0.25">
      <c r="A37" s="586"/>
      <c r="B37" s="515"/>
      <c r="C37" s="588"/>
      <c r="D37" s="135" t="s">
        <v>4</v>
      </c>
      <c r="E37" s="117">
        <v>169302984</v>
      </c>
      <c r="F37" s="117">
        <v>168849650</v>
      </c>
      <c r="G37" s="117">
        <v>168849650</v>
      </c>
      <c r="H37" s="117">
        <v>168849650</v>
      </c>
      <c r="I37" s="117">
        <v>168849650</v>
      </c>
      <c r="J37" s="117">
        <v>168849650</v>
      </c>
      <c r="K37" s="117">
        <v>168849650</v>
      </c>
      <c r="L37" s="117">
        <v>168849650</v>
      </c>
      <c r="M37" s="117">
        <v>168849650</v>
      </c>
      <c r="N37" s="117">
        <v>168849650</v>
      </c>
      <c r="O37" s="117">
        <v>168849650</v>
      </c>
      <c r="P37" s="117">
        <v>168849650</v>
      </c>
      <c r="Q37" s="117">
        <v>168849650</v>
      </c>
      <c r="R37" s="117">
        <v>168849650</v>
      </c>
      <c r="S37" s="107"/>
      <c r="T37" s="117">
        <v>0</v>
      </c>
      <c r="U37" s="117">
        <v>14024632</v>
      </c>
      <c r="V37" s="117">
        <v>14024632</v>
      </c>
      <c r="W37" s="117">
        <v>14024632</v>
      </c>
      <c r="X37" s="117">
        <v>14024632</v>
      </c>
      <c r="Y37" s="117">
        <v>14024632</v>
      </c>
      <c r="Z37" s="117">
        <v>168849651</v>
      </c>
      <c r="AA37" s="117">
        <v>168849651</v>
      </c>
      <c r="AB37" s="117">
        <v>168849650</v>
      </c>
      <c r="AC37" s="117">
        <v>72557341</v>
      </c>
      <c r="AD37" s="117">
        <v>168849650</v>
      </c>
      <c r="AE37" s="117">
        <v>168849650</v>
      </c>
      <c r="AF37" s="117"/>
      <c r="AG37" s="475"/>
      <c r="AH37" s="475"/>
      <c r="AI37" s="475"/>
      <c r="AJ37" s="475"/>
      <c r="AK37" s="475"/>
      <c r="AL37" s="475"/>
      <c r="AM37" s="475"/>
      <c r="AN37" s="475"/>
      <c r="AO37" s="692"/>
      <c r="AP37" s="693"/>
      <c r="AQ37" s="475"/>
      <c r="AR37" s="475"/>
      <c r="AS37" s="475"/>
      <c r="AT37" s="475"/>
      <c r="AU37" s="475"/>
      <c r="AV37" s="475"/>
      <c r="AW37" s="475"/>
      <c r="AX37" s="685"/>
      <c r="AY37" s="585"/>
    </row>
    <row r="38" spans="1:51" ht="38.25" x14ac:dyDescent="0.25">
      <c r="A38" s="586"/>
      <c r="B38" s="515"/>
      <c r="C38" s="588"/>
      <c r="D38" s="134" t="s">
        <v>42</v>
      </c>
      <c r="E38" s="136">
        <v>1</v>
      </c>
      <c r="F38" s="136">
        <v>1</v>
      </c>
      <c r="G38" s="136">
        <v>1</v>
      </c>
      <c r="H38" s="136">
        <v>1</v>
      </c>
      <c r="I38" s="136">
        <v>1</v>
      </c>
      <c r="J38" s="136">
        <v>1</v>
      </c>
      <c r="K38" s="136">
        <v>1</v>
      </c>
      <c r="L38" s="136">
        <v>1</v>
      </c>
      <c r="M38" s="136">
        <v>1</v>
      </c>
      <c r="N38" s="136">
        <v>1</v>
      </c>
      <c r="O38" s="136">
        <v>1</v>
      </c>
      <c r="P38" s="136">
        <v>1</v>
      </c>
      <c r="Q38" s="136">
        <v>1</v>
      </c>
      <c r="R38" s="136">
        <v>1</v>
      </c>
      <c r="S38" s="136"/>
      <c r="T38" s="136">
        <v>1</v>
      </c>
      <c r="U38" s="136">
        <v>1</v>
      </c>
      <c r="V38" s="136">
        <v>1</v>
      </c>
      <c r="W38" s="136">
        <v>1</v>
      </c>
      <c r="X38" s="136">
        <v>1</v>
      </c>
      <c r="Y38" s="136">
        <v>1</v>
      </c>
      <c r="Z38" s="136">
        <v>1</v>
      </c>
      <c r="AA38" s="136">
        <v>1</v>
      </c>
      <c r="AB38" s="136">
        <v>1</v>
      </c>
      <c r="AC38" s="136">
        <v>1</v>
      </c>
      <c r="AD38" s="136">
        <v>1</v>
      </c>
      <c r="AE38" s="136">
        <v>1</v>
      </c>
      <c r="AF38" s="136"/>
      <c r="AG38" s="475"/>
      <c r="AH38" s="475"/>
      <c r="AI38" s="475"/>
      <c r="AJ38" s="475"/>
      <c r="AK38" s="475"/>
      <c r="AL38" s="475"/>
      <c r="AM38" s="475"/>
      <c r="AN38" s="475"/>
      <c r="AO38" s="692"/>
      <c r="AP38" s="693"/>
      <c r="AQ38" s="475"/>
      <c r="AR38" s="475"/>
      <c r="AS38" s="475"/>
      <c r="AT38" s="475"/>
      <c r="AU38" s="475"/>
      <c r="AV38" s="475"/>
      <c r="AW38" s="475"/>
      <c r="AX38" s="685"/>
      <c r="AY38" s="585"/>
    </row>
    <row r="39" spans="1:51" ht="51" x14ac:dyDescent="0.25">
      <c r="A39" s="586"/>
      <c r="B39" s="515"/>
      <c r="C39" s="588"/>
      <c r="D39" s="135" t="s">
        <v>44</v>
      </c>
      <c r="E39" s="137">
        <v>1012534984</v>
      </c>
      <c r="F39" s="137">
        <v>1222735950</v>
      </c>
      <c r="G39" s="137">
        <v>1222735950</v>
      </c>
      <c r="H39" s="137">
        <v>1222735950</v>
      </c>
      <c r="I39" s="137">
        <v>1222735950</v>
      </c>
      <c r="J39" s="137">
        <v>1222735950</v>
      </c>
      <c r="K39" s="137">
        <v>1222735950</v>
      </c>
      <c r="L39" s="137">
        <v>1222735950</v>
      </c>
      <c r="M39" s="137">
        <v>1222735950</v>
      </c>
      <c r="N39" s="137">
        <v>1222735950</v>
      </c>
      <c r="O39" s="137">
        <v>1222735950</v>
      </c>
      <c r="P39" s="137">
        <v>1222735950</v>
      </c>
      <c r="Q39" s="137">
        <v>1222735950</v>
      </c>
      <c r="R39" s="137">
        <v>1222735950</v>
      </c>
      <c r="S39" s="137"/>
      <c r="T39" s="137">
        <v>455184000</v>
      </c>
      <c r="U39" s="137">
        <v>469208632</v>
      </c>
      <c r="V39" s="137">
        <v>469208632</v>
      </c>
      <c r="W39" s="137">
        <v>469208632</v>
      </c>
      <c r="X39" s="137">
        <v>469208632</v>
      </c>
      <c r="Y39" s="137">
        <v>469208632</v>
      </c>
      <c r="Z39" s="137">
        <v>624033651</v>
      </c>
      <c r="AA39" s="137">
        <v>638061651</v>
      </c>
      <c r="AB39" s="137">
        <v>657411450</v>
      </c>
      <c r="AC39" s="137">
        <v>605239001</v>
      </c>
      <c r="AD39" s="137">
        <v>809499110</v>
      </c>
      <c r="AE39" s="137">
        <v>1192610158</v>
      </c>
      <c r="AF39" s="107"/>
      <c r="AG39" s="475"/>
      <c r="AH39" s="475"/>
      <c r="AI39" s="475"/>
      <c r="AJ39" s="475"/>
      <c r="AK39" s="475"/>
      <c r="AL39" s="475"/>
      <c r="AM39" s="475"/>
      <c r="AN39" s="475"/>
      <c r="AO39" s="680"/>
      <c r="AP39" s="681"/>
      <c r="AQ39" s="475"/>
      <c r="AR39" s="475"/>
      <c r="AS39" s="475"/>
      <c r="AT39" s="475"/>
      <c r="AU39" s="475"/>
      <c r="AV39" s="475"/>
      <c r="AW39" s="475"/>
      <c r="AX39" s="685"/>
      <c r="AY39" s="585"/>
    </row>
    <row r="40" spans="1:51" ht="25.5" x14ac:dyDescent="0.25">
      <c r="A40" s="586">
        <v>6</v>
      </c>
      <c r="B40" s="515" t="s">
        <v>322</v>
      </c>
      <c r="C40" s="587" t="s">
        <v>707</v>
      </c>
      <c r="D40" s="243" t="s">
        <v>40</v>
      </c>
      <c r="E40" s="244">
        <v>1097</v>
      </c>
      <c r="F40" s="244">
        <v>1183</v>
      </c>
      <c r="G40" s="244">
        <v>1183</v>
      </c>
      <c r="H40" s="244">
        <v>1183</v>
      </c>
      <c r="I40" s="244">
        <v>1183</v>
      </c>
      <c r="J40" s="244">
        <v>1183</v>
      </c>
      <c r="K40" s="244">
        <v>1183</v>
      </c>
      <c r="L40" s="244">
        <v>1183</v>
      </c>
      <c r="M40" s="244">
        <v>1183</v>
      </c>
      <c r="N40" s="244">
        <v>1183</v>
      </c>
      <c r="O40" s="244">
        <v>1183</v>
      </c>
      <c r="P40" s="244">
        <v>1183</v>
      </c>
      <c r="Q40" s="244">
        <v>1183</v>
      </c>
      <c r="R40" s="244">
        <v>1183</v>
      </c>
      <c r="S40" s="244"/>
      <c r="T40" s="244">
        <v>0</v>
      </c>
      <c r="U40" s="244">
        <v>32</v>
      </c>
      <c r="V40" s="244">
        <v>87</v>
      </c>
      <c r="W40" s="244">
        <v>197</v>
      </c>
      <c r="X40" s="244">
        <v>460</v>
      </c>
      <c r="Y40" s="244">
        <v>547</v>
      </c>
      <c r="Z40" s="244">
        <v>612</v>
      </c>
      <c r="AA40" s="244">
        <v>711</v>
      </c>
      <c r="AB40" s="688">
        <v>882</v>
      </c>
      <c r="AC40" s="688">
        <v>985</v>
      </c>
      <c r="AD40" s="688">
        <v>1079</v>
      </c>
      <c r="AE40" s="274">
        <v>1183</v>
      </c>
      <c r="AF40" s="688"/>
      <c r="AG40" s="475" t="s">
        <v>471</v>
      </c>
      <c r="AH40" s="475" t="s">
        <v>325</v>
      </c>
      <c r="AI40" s="475" t="s">
        <v>325</v>
      </c>
      <c r="AJ40" s="475" t="s">
        <v>471</v>
      </c>
      <c r="AK40" s="475" t="s">
        <v>326</v>
      </c>
      <c r="AL40" s="475" t="s">
        <v>325</v>
      </c>
      <c r="AM40" s="475" t="s">
        <v>325</v>
      </c>
      <c r="AN40" s="475" t="s">
        <v>325</v>
      </c>
      <c r="AO40" s="683">
        <v>1636823</v>
      </c>
      <c r="AP40" s="684">
        <v>1816010</v>
      </c>
      <c r="AQ40" s="475" t="s">
        <v>325</v>
      </c>
      <c r="AR40" s="475" t="s">
        <v>325</v>
      </c>
      <c r="AS40" s="475" t="s">
        <v>325</v>
      </c>
      <c r="AT40" s="475" t="s">
        <v>325</v>
      </c>
      <c r="AU40" s="475" t="s">
        <v>325</v>
      </c>
      <c r="AV40" s="475" t="s">
        <v>325</v>
      </c>
      <c r="AW40" s="475" t="s">
        <v>325</v>
      </c>
      <c r="AX40" s="685">
        <v>3452833</v>
      </c>
      <c r="AY40" s="585"/>
    </row>
    <row r="41" spans="1:51" ht="51" x14ac:dyDescent="0.25">
      <c r="A41" s="586"/>
      <c r="B41" s="515"/>
      <c r="C41" s="587"/>
      <c r="D41" s="135" t="s">
        <v>3</v>
      </c>
      <c r="E41" s="107">
        <v>1568833000</v>
      </c>
      <c r="F41" s="107">
        <v>2038137898</v>
      </c>
      <c r="G41" s="107">
        <v>2038137898</v>
      </c>
      <c r="H41" s="107">
        <v>2038137898</v>
      </c>
      <c r="I41" s="107">
        <v>2038137898</v>
      </c>
      <c r="J41" s="107">
        <v>2038137898</v>
      </c>
      <c r="K41" s="107">
        <v>2038137898</v>
      </c>
      <c r="L41" s="107">
        <v>2038137898</v>
      </c>
      <c r="M41" s="107">
        <v>2038137898</v>
      </c>
      <c r="N41" s="107">
        <v>2038137898</v>
      </c>
      <c r="O41" s="107">
        <v>2038137898</v>
      </c>
      <c r="P41" s="107">
        <v>2038137898</v>
      </c>
      <c r="Q41" s="107">
        <v>2038137898</v>
      </c>
      <c r="R41" s="107">
        <v>2038137898</v>
      </c>
      <c r="S41" s="107"/>
      <c r="T41" s="107">
        <v>1487818000</v>
      </c>
      <c r="U41" s="107">
        <v>1487818000</v>
      </c>
      <c r="V41" s="107">
        <v>1487818000</v>
      </c>
      <c r="W41" s="107">
        <v>1487818000</v>
      </c>
      <c r="X41" s="107">
        <v>1487818000</v>
      </c>
      <c r="Y41" s="107">
        <v>1493838000</v>
      </c>
      <c r="Z41" s="107">
        <v>1493838000</v>
      </c>
      <c r="AA41" s="107">
        <v>1493838000</v>
      </c>
      <c r="AB41" s="107">
        <v>1541778200</v>
      </c>
      <c r="AC41" s="107">
        <v>1765666200</v>
      </c>
      <c r="AD41" s="107">
        <v>1888042100</v>
      </c>
      <c r="AE41" s="117">
        <v>2012774233</v>
      </c>
      <c r="AF41" s="117"/>
      <c r="AG41" s="475"/>
      <c r="AH41" s="475"/>
      <c r="AI41" s="475"/>
      <c r="AJ41" s="475"/>
      <c r="AK41" s="475"/>
      <c r="AL41" s="475"/>
      <c r="AM41" s="475"/>
      <c r="AN41" s="475"/>
      <c r="AO41" s="683"/>
      <c r="AP41" s="684"/>
      <c r="AQ41" s="475"/>
      <c r="AR41" s="475"/>
      <c r="AS41" s="475"/>
      <c r="AT41" s="475"/>
      <c r="AU41" s="475"/>
      <c r="AV41" s="475"/>
      <c r="AW41" s="475"/>
      <c r="AX41" s="685"/>
      <c r="AY41" s="585"/>
    </row>
    <row r="42" spans="1:51" ht="38.25" x14ac:dyDescent="0.25">
      <c r="A42" s="586"/>
      <c r="B42" s="515"/>
      <c r="C42" s="587"/>
      <c r="D42" s="243" t="s">
        <v>41</v>
      </c>
      <c r="E42" s="244">
        <v>0</v>
      </c>
      <c r="F42" s="244">
        <v>0</v>
      </c>
      <c r="G42" s="244">
        <v>0</v>
      </c>
      <c r="H42" s="244">
        <v>0</v>
      </c>
      <c r="I42" s="244">
        <v>0</v>
      </c>
      <c r="J42" s="244">
        <v>0</v>
      </c>
      <c r="K42" s="244">
        <v>0</v>
      </c>
      <c r="L42" s="244">
        <v>0</v>
      </c>
      <c r="M42" s="244">
        <v>0</v>
      </c>
      <c r="N42" s="244">
        <v>0</v>
      </c>
      <c r="O42" s="244">
        <v>0</v>
      </c>
      <c r="P42" s="244">
        <v>0</v>
      </c>
      <c r="Q42" s="244">
        <v>0</v>
      </c>
      <c r="R42" s="244">
        <v>0</v>
      </c>
      <c r="S42" s="244"/>
      <c r="T42" s="244">
        <v>0</v>
      </c>
      <c r="U42" s="244">
        <v>0</v>
      </c>
      <c r="V42" s="244">
        <v>0</v>
      </c>
      <c r="W42" s="244">
        <v>0</v>
      </c>
      <c r="X42" s="244">
        <v>0</v>
      </c>
      <c r="Y42" s="244">
        <v>0</v>
      </c>
      <c r="Z42" s="244">
        <v>0</v>
      </c>
      <c r="AA42" s="244">
        <v>0</v>
      </c>
      <c r="AB42" s="688">
        <v>0</v>
      </c>
      <c r="AC42" s="688">
        <v>0</v>
      </c>
      <c r="AD42" s="688">
        <v>0</v>
      </c>
      <c r="AE42" s="274">
        <v>0</v>
      </c>
      <c r="AF42" s="694"/>
      <c r="AG42" s="475"/>
      <c r="AH42" s="475"/>
      <c r="AI42" s="475"/>
      <c r="AJ42" s="475"/>
      <c r="AK42" s="475"/>
      <c r="AL42" s="475"/>
      <c r="AM42" s="475"/>
      <c r="AN42" s="475"/>
      <c r="AO42" s="683"/>
      <c r="AP42" s="684"/>
      <c r="AQ42" s="475"/>
      <c r="AR42" s="475"/>
      <c r="AS42" s="475"/>
      <c r="AT42" s="475"/>
      <c r="AU42" s="475"/>
      <c r="AV42" s="475"/>
      <c r="AW42" s="475"/>
      <c r="AX42" s="685"/>
      <c r="AY42" s="585"/>
    </row>
    <row r="43" spans="1:51" ht="38.25" x14ac:dyDescent="0.25">
      <c r="A43" s="586"/>
      <c r="B43" s="515"/>
      <c r="C43" s="587"/>
      <c r="D43" s="135" t="s">
        <v>4</v>
      </c>
      <c r="E43" s="107">
        <v>113800542</v>
      </c>
      <c r="F43" s="107">
        <v>86653141</v>
      </c>
      <c r="G43" s="107">
        <v>86653141</v>
      </c>
      <c r="H43" s="107">
        <v>86653141</v>
      </c>
      <c r="I43" s="107">
        <v>86653141</v>
      </c>
      <c r="J43" s="107">
        <v>86653141</v>
      </c>
      <c r="K43" s="107">
        <v>86653141</v>
      </c>
      <c r="L43" s="107">
        <v>86653141</v>
      </c>
      <c r="M43" s="107">
        <v>86653141</v>
      </c>
      <c r="N43" s="107">
        <v>86653141</v>
      </c>
      <c r="O43" s="107">
        <v>86653141</v>
      </c>
      <c r="P43" s="107">
        <v>86653141</v>
      </c>
      <c r="Q43" s="107">
        <v>86653141</v>
      </c>
      <c r="R43" s="107">
        <v>86653141</v>
      </c>
      <c r="S43" s="107"/>
      <c r="T43" s="107">
        <v>0</v>
      </c>
      <c r="U43" s="107">
        <v>51705541</v>
      </c>
      <c r="V43" s="107">
        <v>51705541</v>
      </c>
      <c r="W43" s="107">
        <v>51705541</v>
      </c>
      <c r="X43" s="107">
        <v>51705541</v>
      </c>
      <c r="Y43" s="107">
        <v>51705541</v>
      </c>
      <c r="Z43" s="107">
        <v>86653142</v>
      </c>
      <c r="AA43" s="107">
        <v>86653142</v>
      </c>
      <c r="AB43" s="107">
        <v>72557341</v>
      </c>
      <c r="AC43" s="107">
        <v>168849650</v>
      </c>
      <c r="AD43" s="107">
        <v>86653141</v>
      </c>
      <c r="AE43" s="107">
        <v>72557341</v>
      </c>
      <c r="AF43" s="117"/>
      <c r="AG43" s="475"/>
      <c r="AH43" s="475"/>
      <c r="AI43" s="475"/>
      <c r="AJ43" s="475"/>
      <c r="AK43" s="475"/>
      <c r="AL43" s="475"/>
      <c r="AM43" s="475"/>
      <c r="AN43" s="475"/>
      <c r="AO43" s="683"/>
      <c r="AP43" s="684"/>
      <c r="AQ43" s="475"/>
      <c r="AR43" s="475"/>
      <c r="AS43" s="475"/>
      <c r="AT43" s="475"/>
      <c r="AU43" s="475"/>
      <c r="AV43" s="475"/>
      <c r="AW43" s="475"/>
      <c r="AX43" s="685"/>
      <c r="AY43" s="585"/>
    </row>
    <row r="44" spans="1:51" ht="38.25" x14ac:dyDescent="0.25">
      <c r="A44" s="586"/>
      <c r="B44" s="515"/>
      <c r="C44" s="587"/>
      <c r="D44" s="243" t="s">
        <v>42</v>
      </c>
      <c r="E44" s="246">
        <v>1097</v>
      </c>
      <c r="F44" s="246">
        <v>1183</v>
      </c>
      <c r="G44" s="246">
        <v>1183</v>
      </c>
      <c r="H44" s="246">
        <v>1183</v>
      </c>
      <c r="I44" s="246">
        <v>1183</v>
      </c>
      <c r="J44" s="246">
        <v>1183</v>
      </c>
      <c r="K44" s="246">
        <v>1183</v>
      </c>
      <c r="L44" s="246">
        <v>1183</v>
      </c>
      <c r="M44" s="246">
        <v>1183</v>
      </c>
      <c r="N44" s="246">
        <v>1183</v>
      </c>
      <c r="O44" s="246">
        <v>1183</v>
      </c>
      <c r="P44" s="246">
        <v>1183</v>
      </c>
      <c r="Q44" s="246">
        <v>1183</v>
      </c>
      <c r="R44" s="246">
        <v>1183</v>
      </c>
      <c r="S44" s="246"/>
      <c r="T44" s="246">
        <v>0</v>
      </c>
      <c r="U44" s="246">
        <v>32</v>
      </c>
      <c r="V44" s="246">
        <v>87</v>
      </c>
      <c r="W44" s="246">
        <v>197</v>
      </c>
      <c r="X44" s="246">
        <v>460</v>
      </c>
      <c r="Y44" s="246">
        <v>547</v>
      </c>
      <c r="Z44" s="246">
        <v>612</v>
      </c>
      <c r="AA44" s="246">
        <v>711</v>
      </c>
      <c r="AB44" s="246">
        <v>882</v>
      </c>
      <c r="AC44" s="246">
        <v>985</v>
      </c>
      <c r="AD44" s="246">
        <v>1079</v>
      </c>
      <c r="AE44" s="246">
        <v>1183</v>
      </c>
      <c r="AF44" s="689"/>
      <c r="AG44" s="475"/>
      <c r="AH44" s="475"/>
      <c r="AI44" s="475"/>
      <c r="AJ44" s="475"/>
      <c r="AK44" s="475"/>
      <c r="AL44" s="475"/>
      <c r="AM44" s="475"/>
      <c r="AN44" s="475"/>
      <c r="AO44" s="683"/>
      <c r="AP44" s="684"/>
      <c r="AQ44" s="475"/>
      <c r="AR44" s="475"/>
      <c r="AS44" s="475"/>
      <c r="AT44" s="475"/>
      <c r="AU44" s="475"/>
      <c r="AV44" s="475"/>
      <c r="AW44" s="475"/>
      <c r="AX44" s="685"/>
      <c r="AY44" s="585"/>
    </row>
    <row r="45" spans="1:51" ht="51" x14ac:dyDescent="0.25">
      <c r="A45" s="586"/>
      <c r="B45" s="515"/>
      <c r="C45" s="587"/>
      <c r="D45" s="135" t="s">
        <v>44</v>
      </c>
      <c r="E45" s="137">
        <v>1682633542</v>
      </c>
      <c r="F45" s="137">
        <v>2124791039</v>
      </c>
      <c r="G45" s="137">
        <v>2124791039</v>
      </c>
      <c r="H45" s="137">
        <v>2124791039</v>
      </c>
      <c r="I45" s="137">
        <v>2124791039</v>
      </c>
      <c r="J45" s="137">
        <v>2124791039</v>
      </c>
      <c r="K45" s="137">
        <v>2124791039</v>
      </c>
      <c r="L45" s="137">
        <v>2124791039</v>
      </c>
      <c r="M45" s="137">
        <v>2124791039</v>
      </c>
      <c r="N45" s="137">
        <v>2124791039</v>
      </c>
      <c r="O45" s="137">
        <v>2124791039</v>
      </c>
      <c r="P45" s="137">
        <v>2124791039</v>
      </c>
      <c r="Q45" s="137">
        <v>2124791039</v>
      </c>
      <c r="R45" s="137">
        <v>2124791039</v>
      </c>
      <c r="S45" s="137"/>
      <c r="T45" s="137">
        <v>1487818000</v>
      </c>
      <c r="U45" s="137">
        <v>1539523541</v>
      </c>
      <c r="V45" s="137">
        <v>1539523541</v>
      </c>
      <c r="W45" s="137">
        <v>1539523541</v>
      </c>
      <c r="X45" s="137">
        <v>1539523541</v>
      </c>
      <c r="Y45" s="137">
        <v>1545543541</v>
      </c>
      <c r="Z45" s="137">
        <v>1580491142</v>
      </c>
      <c r="AA45" s="137">
        <v>1580491142</v>
      </c>
      <c r="AB45" s="137">
        <v>1614335541</v>
      </c>
      <c r="AC45" s="137">
        <v>1934515850</v>
      </c>
      <c r="AD45" s="137">
        <v>1974695241</v>
      </c>
      <c r="AE45" s="137">
        <v>2085331574</v>
      </c>
      <c r="AF45" s="107"/>
      <c r="AG45" s="475"/>
      <c r="AH45" s="475"/>
      <c r="AI45" s="475"/>
      <c r="AJ45" s="475"/>
      <c r="AK45" s="475"/>
      <c r="AL45" s="475"/>
      <c r="AM45" s="475"/>
      <c r="AN45" s="475"/>
      <c r="AO45" s="683"/>
      <c r="AP45" s="684"/>
      <c r="AQ45" s="475"/>
      <c r="AR45" s="475"/>
      <c r="AS45" s="475"/>
      <c r="AT45" s="475"/>
      <c r="AU45" s="475"/>
      <c r="AV45" s="475"/>
      <c r="AW45" s="475"/>
      <c r="AX45" s="685"/>
      <c r="AY45" s="585"/>
    </row>
    <row r="46" spans="1:51" ht="25.5" x14ac:dyDescent="0.25">
      <c r="A46" s="586">
        <v>7</v>
      </c>
      <c r="B46" s="515" t="s">
        <v>323</v>
      </c>
      <c r="C46" s="587" t="s">
        <v>330</v>
      </c>
      <c r="D46" s="134" t="s">
        <v>40</v>
      </c>
      <c r="E46" s="92">
        <v>1</v>
      </c>
      <c r="F46" s="92">
        <v>1</v>
      </c>
      <c r="G46" s="92">
        <v>1</v>
      </c>
      <c r="H46" s="92">
        <v>1</v>
      </c>
      <c r="I46" s="92">
        <v>1</v>
      </c>
      <c r="J46" s="92">
        <v>1</v>
      </c>
      <c r="K46" s="92">
        <v>1</v>
      </c>
      <c r="L46" s="92">
        <v>1</v>
      </c>
      <c r="M46" s="92">
        <v>1</v>
      </c>
      <c r="N46" s="92">
        <v>1</v>
      </c>
      <c r="O46" s="92">
        <v>1</v>
      </c>
      <c r="P46" s="92">
        <v>1</v>
      </c>
      <c r="Q46" s="92">
        <v>1</v>
      </c>
      <c r="R46" s="92">
        <v>1</v>
      </c>
      <c r="S46" s="106"/>
      <c r="T46" s="92">
        <v>1</v>
      </c>
      <c r="U46" s="92">
        <v>1</v>
      </c>
      <c r="V46" s="92">
        <v>1</v>
      </c>
      <c r="W46" s="92">
        <v>1</v>
      </c>
      <c r="X46" s="92">
        <v>1</v>
      </c>
      <c r="Y46" s="92">
        <v>1</v>
      </c>
      <c r="Z46" s="92">
        <v>1</v>
      </c>
      <c r="AA46" s="92">
        <v>1</v>
      </c>
      <c r="AB46" s="92">
        <v>1</v>
      </c>
      <c r="AC46" s="92">
        <v>0.92849999999999999</v>
      </c>
      <c r="AD46" s="92">
        <v>1</v>
      </c>
      <c r="AE46" s="225">
        <v>1</v>
      </c>
      <c r="AF46" s="106"/>
      <c r="AG46" s="475" t="s">
        <v>324</v>
      </c>
      <c r="AH46" s="475" t="s">
        <v>325</v>
      </c>
      <c r="AI46" s="475" t="s">
        <v>325</v>
      </c>
      <c r="AJ46" s="475" t="s">
        <v>326</v>
      </c>
      <c r="AK46" s="475" t="s">
        <v>326</v>
      </c>
      <c r="AL46" s="475" t="s">
        <v>325</v>
      </c>
      <c r="AM46" s="475" t="s">
        <v>325</v>
      </c>
      <c r="AN46" s="475" t="s">
        <v>325</v>
      </c>
      <c r="AO46" s="690">
        <v>3751549</v>
      </c>
      <c r="AP46" s="691">
        <v>4082618</v>
      </c>
      <c r="AQ46" s="475" t="s">
        <v>325</v>
      </c>
      <c r="AR46" s="475" t="s">
        <v>325</v>
      </c>
      <c r="AS46" s="475" t="s">
        <v>325</v>
      </c>
      <c r="AT46" s="475" t="s">
        <v>325</v>
      </c>
      <c r="AU46" s="475" t="s">
        <v>325</v>
      </c>
      <c r="AV46" s="475" t="s">
        <v>325</v>
      </c>
      <c r="AW46" s="475" t="s">
        <v>325</v>
      </c>
      <c r="AX46" s="685">
        <v>7834167</v>
      </c>
      <c r="AY46" s="585"/>
    </row>
    <row r="47" spans="1:51" ht="51" x14ac:dyDescent="0.25">
      <c r="A47" s="586"/>
      <c r="B47" s="515"/>
      <c r="C47" s="587"/>
      <c r="D47" s="135" t="s">
        <v>3</v>
      </c>
      <c r="E47" s="117">
        <v>725040000</v>
      </c>
      <c r="F47" s="117">
        <v>664063000</v>
      </c>
      <c r="G47" s="117">
        <v>664063000</v>
      </c>
      <c r="H47" s="117">
        <v>664063000</v>
      </c>
      <c r="I47" s="117">
        <v>664063000</v>
      </c>
      <c r="J47" s="117">
        <v>664063000</v>
      </c>
      <c r="K47" s="117">
        <v>664063000</v>
      </c>
      <c r="L47" s="117">
        <v>664063000</v>
      </c>
      <c r="M47" s="117">
        <v>664063000</v>
      </c>
      <c r="N47" s="117">
        <v>664063000</v>
      </c>
      <c r="O47" s="117">
        <v>664063000</v>
      </c>
      <c r="P47" s="117">
        <v>664063000</v>
      </c>
      <c r="Q47" s="117">
        <v>664063000</v>
      </c>
      <c r="R47" s="117">
        <v>664063000</v>
      </c>
      <c r="S47" s="117"/>
      <c r="T47" s="117">
        <v>585413000</v>
      </c>
      <c r="U47" s="117">
        <v>585413000</v>
      </c>
      <c r="V47" s="117">
        <v>585413000</v>
      </c>
      <c r="W47" s="117">
        <v>585413000</v>
      </c>
      <c r="X47" s="117">
        <v>585413000</v>
      </c>
      <c r="Y47" s="117">
        <v>585413000</v>
      </c>
      <c r="Z47" s="117">
        <v>585413000</v>
      </c>
      <c r="AA47" s="117">
        <v>585413000</v>
      </c>
      <c r="AB47" s="117">
        <v>597453000</v>
      </c>
      <c r="AC47" s="117">
        <v>644162200</v>
      </c>
      <c r="AD47" s="117">
        <v>664063000</v>
      </c>
      <c r="AE47" s="117">
        <v>664063000</v>
      </c>
      <c r="AF47" s="117"/>
      <c r="AG47" s="475"/>
      <c r="AH47" s="475"/>
      <c r="AI47" s="475"/>
      <c r="AJ47" s="475"/>
      <c r="AK47" s="475"/>
      <c r="AL47" s="475"/>
      <c r="AM47" s="475"/>
      <c r="AN47" s="475"/>
      <c r="AO47" s="692"/>
      <c r="AP47" s="693"/>
      <c r="AQ47" s="475"/>
      <c r="AR47" s="475"/>
      <c r="AS47" s="475"/>
      <c r="AT47" s="475"/>
      <c r="AU47" s="475"/>
      <c r="AV47" s="475"/>
      <c r="AW47" s="475"/>
      <c r="AX47" s="685"/>
      <c r="AY47" s="585"/>
    </row>
    <row r="48" spans="1:51" ht="38.25" x14ac:dyDescent="0.25">
      <c r="A48" s="586"/>
      <c r="B48" s="515"/>
      <c r="C48" s="587"/>
      <c r="D48" s="134" t="s">
        <v>41</v>
      </c>
      <c r="E48" s="92">
        <v>0</v>
      </c>
      <c r="F48" s="92">
        <v>0</v>
      </c>
      <c r="G48" s="92">
        <v>0</v>
      </c>
      <c r="H48" s="92">
        <v>0</v>
      </c>
      <c r="I48" s="92">
        <v>0</v>
      </c>
      <c r="J48" s="92">
        <v>0</v>
      </c>
      <c r="K48" s="92">
        <v>0</v>
      </c>
      <c r="L48" s="92">
        <v>0</v>
      </c>
      <c r="M48" s="92">
        <v>0</v>
      </c>
      <c r="N48" s="92">
        <v>0</v>
      </c>
      <c r="O48" s="92">
        <v>0</v>
      </c>
      <c r="P48" s="92">
        <v>0</v>
      </c>
      <c r="Q48" s="92">
        <v>0</v>
      </c>
      <c r="R48" s="92">
        <v>0</v>
      </c>
      <c r="S48" s="92"/>
      <c r="T48" s="92">
        <v>0</v>
      </c>
      <c r="U48" s="92">
        <v>0</v>
      </c>
      <c r="V48" s="92">
        <v>0</v>
      </c>
      <c r="W48" s="92">
        <v>0</v>
      </c>
      <c r="X48" s="92">
        <v>0</v>
      </c>
      <c r="Y48" s="92">
        <v>0</v>
      </c>
      <c r="Z48" s="92">
        <v>0</v>
      </c>
      <c r="AA48" s="92">
        <v>0</v>
      </c>
      <c r="AB48" s="92">
        <v>0</v>
      </c>
      <c r="AC48" s="92">
        <v>0</v>
      </c>
      <c r="AD48" s="92">
        <v>0</v>
      </c>
      <c r="AE48" s="92">
        <v>0</v>
      </c>
      <c r="AF48" s="92"/>
      <c r="AG48" s="475"/>
      <c r="AH48" s="475"/>
      <c r="AI48" s="475"/>
      <c r="AJ48" s="475"/>
      <c r="AK48" s="475"/>
      <c r="AL48" s="475"/>
      <c r="AM48" s="475"/>
      <c r="AN48" s="475"/>
      <c r="AO48" s="692"/>
      <c r="AP48" s="693"/>
      <c r="AQ48" s="475"/>
      <c r="AR48" s="475"/>
      <c r="AS48" s="475"/>
      <c r="AT48" s="475"/>
      <c r="AU48" s="475"/>
      <c r="AV48" s="475"/>
      <c r="AW48" s="475"/>
      <c r="AX48" s="685"/>
      <c r="AY48" s="585"/>
    </row>
    <row r="49" spans="1:51" ht="38.25" x14ac:dyDescent="0.25">
      <c r="A49" s="586"/>
      <c r="B49" s="515"/>
      <c r="C49" s="587"/>
      <c r="D49" s="135" t="s">
        <v>4</v>
      </c>
      <c r="E49" s="117">
        <v>25802399</v>
      </c>
      <c r="F49" s="117">
        <v>25802399</v>
      </c>
      <c r="G49" s="117">
        <v>25802399</v>
      </c>
      <c r="H49" s="117">
        <v>25802399</v>
      </c>
      <c r="I49" s="117">
        <v>25802399</v>
      </c>
      <c r="J49" s="117">
        <v>25802399</v>
      </c>
      <c r="K49" s="117">
        <v>25802399</v>
      </c>
      <c r="L49" s="117">
        <v>25802399</v>
      </c>
      <c r="M49" s="117">
        <v>25802399</v>
      </c>
      <c r="N49" s="117">
        <v>25802399</v>
      </c>
      <c r="O49" s="117">
        <v>25802399</v>
      </c>
      <c r="P49" s="117">
        <v>25802399</v>
      </c>
      <c r="Q49" s="117">
        <v>25802399</v>
      </c>
      <c r="R49" s="117">
        <v>25802399</v>
      </c>
      <c r="S49" s="107"/>
      <c r="T49" s="117">
        <v>0</v>
      </c>
      <c r="U49" s="117">
        <v>25802399</v>
      </c>
      <c r="V49" s="117">
        <v>25802399</v>
      </c>
      <c r="W49" s="117">
        <v>25802399</v>
      </c>
      <c r="X49" s="117">
        <v>25802399</v>
      </c>
      <c r="Y49" s="117">
        <v>25802399</v>
      </c>
      <c r="Z49" s="117">
        <v>25802399</v>
      </c>
      <c r="AA49" s="117">
        <v>25802399</v>
      </c>
      <c r="AB49" s="117">
        <v>25802399</v>
      </c>
      <c r="AC49" s="117">
        <v>25802399</v>
      </c>
      <c r="AD49" s="117">
        <v>25802399</v>
      </c>
      <c r="AE49" s="117">
        <v>25802399</v>
      </c>
      <c r="AF49" s="117"/>
      <c r="AG49" s="475"/>
      <c r="AH49" s="475"/>
      <c r="AI49" s="475"/>
      <c r="AJ49" s="475"/>
      <c r="AK49" s="475"/>
      <c r="AL49" s="475"/>
      <c r="AM49" s="475"/>
      <c r="AN49" s="475"/>
      <c r="AO49" s="692"/>
      <c r="AP49" s="693"/>
      <c r="AQ49" s="475"/>
      <c r="AR49" s="475"/>
      <c r="AS49" s="475"/>
      <c r="AT49" s="475"/>
      <c r="AU49" s="475"/>
      <c r="AV49" s="475"/>
      <c r="AW49" s="475"/>
      <c r="AX49" s="685"/>
      <c r="AY49" s="585"/>
    </row>
    <row r="50" spans="1:51" ht="38.25" x14ac:dyDescent="0.25">
      <c r="A50" s="586"/>
      <c r="B50" s="515"/>
      <c r="C50" s="587"/>
      <c r="D50" s="140" t="s">
        <v>42</v>
      </c>
      <c r="E50" s="136">
        <v>1</v>
      </c>
      <c r="F50" s="136">
        <v>1</v>
      </c>
      <c r="G50" s="136">
        <v>1</v>
      </c>
      <c r="H50" s="136">
        <v>1</v>
      </c>
      <c r="I50" s="136">
        <v>1</v>
      </c>
      <c r="J50" s="136">
        <v>1</v>
      </c>
      <c r="K50" s="136">
        <v>1</v>
      </c>
      <c r="L50" s="136">
        <v>1</v>
      </c>
      <c r="M50" s="136">
        <v>1</v>
      </c>
      <c r="N50" s="136">
        <v>1</v>
      </c>
      <c r="O50" s="136">
        <v>1</v>
      </c>
      <c r="P50" s="136">
        <v>1</v>
      </c>
      <c r="Q50" s="136">
        <v>1</v>
      </c>
      <c r="R50" s="136">
        <v>1</v>
      </c>
      <c r="S50" s="136"/>
      <c r="T50" s="136">
        <v>1</v>
      </c>
      <c r="U50" s="136">
        <v>1</v>
      </c>
      <c r="V50" s="136">
        <v>1</v>
      </c>
      <c r="W50" s="136">
        <v>1</v>
      </c>
      <c r="X50" s="136">
        <v>1</v>
      </c>
      <c r="Y50" s="136">
        <v>1</v>
      </c>
      <c r="Z50" s="136">
        <v>1</v>
      </c>
      <c r="AA50" s="136">
        <v>1</v>
      </c>
      <c r="AB50" s="136">
        <v>1</v>
      </c>
      <c r="AC50" s="136">
        <v>0.92849999999999999</v>
      </c>
      <c r="AD50" s="136">
        <v>1</v>
      </c>
      <c r="AE50" s="136">
        <v>1</v>
      </c>
      <c r="AF50" s="136"/>
      <c r="AG50" s="475"/>
      <c r="AH50" s="475"/>
      <c r="AI50" s="475"/>
      <c r="AJ50" s="475"/>
      <c r="AK50" s="475"/>
      <c r="AL50" s="475"/>
      <c r="AM50" s="475"/>
      <c r="AN50" s="475"/>
      <c r="AO50" s="692"/>
      <c r="AP50" s="693"/>
      <c r="AQ50" s="475"/>
      <c r="AR50" s="475"/>
      <c r="AS50" s="475"/>
      <c r="AT50" s="475"/>
      <c r="AU50" s="475"/>
      <c r="AV50" s="475"/>
      <c r="AW50" s="475"/>
      <c r="AX50" s="685"/>
      <c r="AY50" s="585"/>
    </row>
    <row r="51" spans="1:51" ht="51" x14ac:dyDescent="0.25">
      <c r="A51" s="586"/>
      <c r="B51" s="515"/>
      <c r="C51" s="587"/>
      <c r="D51" s="141" t="s">
        <v>44</v>
      </c>
      <c r="E51" s="137">
        <v>750842399</v>
      </c>
      <c r="F51" s="137">
        <v>689865399</v>
      </c>
      <c r="G51" s="137">
        <v>689865399</v>
      </c>
      <c r="H51" s="137">
        <v>689865399</v>
      </c>
      <c r="I51" s="137">
        <v>689865399</v>
      </c>
      <c r="J51" s="137">
        <v>689865399</v>
      </c>
      <c r="K51" s="137">
        <v>689865399</v>
      </c>
      <c r="L51" s="137">
        <v>689865399</v>
      </c>
      <c r="M51" s="137">
        <v>689865399</v>
      </c>
      <c r="N51" s="137">
        <v>689865399</v>
      </c>
      <c r="O51" s="137">
        <v>689865399</v>
      </c>
      <c r="P51" s="137">
        <v>689865399</v>
      </c>
      <c r="Q51" s="137">
        <v>689865399</v>
      </c>
      <c r="R51" s="137">
        <v>689865399</v>
      </c>
      <c r="S51" s="137"/>
      <c r="T51" s="137">
        <v>585413000</v>
      </c>
      <c r="U51" s="137">
        <v>611215399</v>
      </c>
      <c r="V51" s="137">
        <v>611215399</v>
      </c>
      <c r="W51" s="137">
        <v>611215399</v>
      </c>
      <c r="X51" s="137">
        <v>611215399</v>
      </c>
      <c r="Y51" s="137">
        <v>611215399</v>
      </c>
      <c r="Z51" s="137">
        <v>611215399</v>
      </c>
      <c r="AA51" s="137">
        <v>611215399</v>
      </c>
      <c r="AB51" s="137">
        <v>623255399</v>
      </c>
      <c r="AC51" s="137">
        <v>669964599</v>
      </c>
      <c r="AD51" s="137">
        <v>689865399</v>
      </c>
      <c r="AE51" s="137">
        <v>689865399</v>
      </c>
      <c r="AF51" s="118"/>
      <c r="AG51" s="475"/>
      <c r="AH51" s="475"/>
      <c r="AI51" s="475"/>
      <c r="AJ51" s="475"/>
      <c r="AK51" s="475"/>
      <c r="AL51" s="475"/>
      <c r="AM51" s="475"/>
      <c r="AN51" s="475"/>
      <c r="AO51" s="680"/>
      <c r="AP51" s="681"/>
      <c r="AQ51" s="475"/>
      <c r="AR51" s="475"/>
      <c r="AS51" s="475"/>
      <c r="AT51" s="475"/>
      <c r="AU51" s="475"/>
      <c r="AV51" s="475"/>
      <c r="AW51" s="475"/>
      <c r="AX51" s="685"/>
      <c r="AY51" s="585"/>
    </row>
    <row r="52" spans="1:51" ht="22.5" x14ac:dyDescent="0.25">
      <c r="A52" s="486" t="s">
        <v>21</v>
      </c>
      <c r="B52" s="486"/>
      <c r="C52" s="486"/>
      <c r="D52" s="247" t="s">
        <v>33</v>
      </c>
      <c r="E52" s="259">
        <v>16468441000</v>
      </c>
      <c r="F52" s="259">
        <v>17807269856</v>
      </c>
      <c r="G52" s="259">
        <v>17807269856</v>
      </c>
      <c r="H52" s="259">
        <v>17807269856</v>
      </c>
      <c r="I52" s="259">
        <v>17807269856</v>
      </c>
      <c r="J52" s="259">
        <v>17807269856</v>
      </c>
      <c r="K52" s="259">
        <v>17807269856</v>
      </c>
      <c r="L52" s="259">
        <v>17807269856</v>
      </c>
      <c r="M52" s="259">
        <v>17807269856</v>
      </c>
      <c r="N52" s="259">
        <v>17807269856</v>
      </c>
      <c r="O52" s="259">
        <v>17807269856</v>
      </c>
      <c r="P52" s="259">
        <v>17807269856</v>
      </c>
      <c r="Q52" s="259">
        <v>17807269856</v>
      </c>
      <c r="R52" s="259">
        <v>17807269856</v>
      </c>
      <c r="S52" s="584"/>
      <c r="T52" s="259">
        <v>8662799908</v>
      </c>
      <c r="U52" s="259">
        <v>8662799908</v>
      </c>
      <c r="V52" s="259">
        <v>8712799908</v>
      </c>
      <c r="W52" s="259">
        <v>8712799908</v>
      </c>
      <c r="X52" s="259">
        <v>8987395908</v>
      </c>
      <c r="Y52" s="259">
        <v>9121415908</v>
      </c>
      <c r="Z52" s="259">
        <v>9075549908</v>
      </c>
      <c r="AA52" s="259">
        <v>9089577908</v>
      </c>
      <c r="AB52" s="259">
        <v>9545925742</v>
      </c>
      <c r="AC52" s="259">
        <v>10855320202</v>
      </c>
      <c r="AD52" s="259">
        <v>14631350641</v>
      </c>
      <c r="AE52" s="259">
        <v>16989818788</v>
      </c>
      <c r="AF52" s="584"/>
      <c r="AG52" s="486"/>
      <c r="AH52" s="486"/>
      <c r="AI52" s="486"/>
      <c r="AJ52" s="486"/>
      <c r="AK52" s="486"/>
      <c r="AL52" s="486"/>
      <c r="AM52" s="486"/>
      <c r="AN52" s="486"/>
      <c r="AO52" s="486"/>
      <c r="AP52" s="486"/>
      <c r="AQ52" s="486"/>
      <c r="AR52" s="486"/>
      <c r="AS52" s="486"/>
      <c r="AT52" s="486"/>
      <c r="AU52" s="486"/>
      <c r="AV52" s="486"/>
      <c r="AW52" s="486"/>
      <c r="AX52" s="486"/>
      <c r="AY52" s="486"/>
    </row>
    <row r="53" spans="1:51" ht="33.75" x14ac:dyDescent="0.25">
      <c r="A53" s="486"/>
      <c r="B53" s="486"/>
      <c r="C53" s="486"/>
      <c r="D53" s="247" t="s">
        <v>32</v>
      </c>
      <c r="E53" s="259">
        <v>2043657525</v>
      </c>
      <c r="F53" s="259">
        <v>1998507651</v>
      </c>
      <c r="G53" s="259">
        <v>1998507651</v>
      </c>
      <c r="H53" s="259">
        <v>1998507651</v>
      </c>
      <c r="I53" s="259">
        <v>1998507651</v>
      </c>
      <c r="J53" s="259">
        <v>1998507651</v>
      </c>
      <c r="K53" s="259">
        <v>1998507651</v>
      </c>
      <c r="L53" s="259">
        <v>1998507651</v>
      </c>
      <c r="M53" s="259">
        <v>1998507651</v>
      </c>
      <c r="N53" s="259">
        <v>1998507651</v>
      </c>
      <c r="O53" s="259">
        <v>1998507651</v>
      </c>
      <c r="P53" s="259">
        <v>1998507651</v>
      </c>
      <c r="Q53" s="259">
        <v>1998507651</v>
      </c>
      <c r="R53" s="259">
        <v>1998507651</v>
      </c>
      <c r="S53" s="584"/>
      <c r="T53" s="259">
        <v>0</v>
      </c>
      <c r="U53" s="259">
        <v>275548817</v>
      </c>
      <c r="V53" s="259">
        <v>275548817</v>
      </c>
      <c r="W53" s="259">
        <v>275548817</v>
      </c>
      <c r="X53" s="259">
        <v>275548817</v>
      </c>
      <c r="Y53" s="259">
        <v>275548817</v>
      </c>
      <c r="Z53" s="259">
        <v>2013773126</v>
      </c>
      <c r="AA53" s="259">
        <v>2004507660</v>
      </c>
      <c r="AB53" s="259">
        <v>1743452405</v>
      </c>
      <c r="AC53" s="259">
        <v>1814372319</v>
      </c>
      <c r="AD53" s="259">
        <v>1967091540</v>
      </c>
      <c r="AE53" s="259">
        <v>1952995740</v>
      </c>
      <c r="AF53" s="584"/>
      <c r="AG53" s="486"/>
      <c r="AH53" s="486"/>
      <c r="AI53" s="486"/>
      <c r="AJ53" s="486"/>
      <c r="AK53" s="486"/>
      <c r="AL53" s="486"/>
      <c r="AM53" s="486"/>
      <c r="AN53" s="486"/>
      <c r="AO53" s="486"/>
      <c r="AP53" s="486"/>
      <c r="AQ53" s="486"/>
      <c r="AR53" s="486"/>
      <c r="AS53" s="486"/>
      <c r="AT53" s="486"/>
      <c r="AU53" s="486"/>
      <c r="AV53" s="486"/>
      <c r="AW53" s="486"/>
      <c r="AX53" s="486"/>
      <c r="AY53" s="486"/>
    </row>
    <row r="54" spans="1:51" ht="33.75" x14ac:dyDescent="0.25">
      <c r="A54" s="486"/>
      <c r="B54" s="486"/>
      <c r="C54" s="486"/>
      <c r="D54" s="247" t="s">
        <v>31</v>
      </c>
      <c r="E54" s="259">
        <v>18512098525</v>
      </c>
      <c r="F54" s="259">
        <v>19805777507</v>
      </c>
      <c r="G54" s="259">
        <v>19805777507</v>
      </c>
      <c r="H54" s="259">
        <v>19805777507</v>
      </c>
      <c r="I54" s="259">
        <v>19805777507</v>
      </c>
      <c r="J54" s="259">
        <v>19805777507</v>
      </c>
      <c r="K54" s="259">
        <v>19805777507</v>
      </c>
      <c r="L54" s="259">
        <v>19805777507</v>
      </c>
      <c r="M54" s="259">
        <v>19805777507</v>
      </c>
      <c r="N54" s="259">
        <v>19805777507</v>
      </c>
      <c r="O54" s="259">
        <v>19805777507</v>
      </c>
      <c r="P54" s="259">
        <v>19805777507</v>
      </c>
      <c r="Q54" s="259">
        <v>19805777507</v>
      </c>
      <c r="R54" s="259">
        <v>19805777507</v>
      </c>
      <c r="S54" s="584"/>
      <c r="T54" s="259">
        <v>8662799908</v>
      </c>
      <c r="U54" s="259">
        <v>8938348725</v>
      </c>
      <c r="V54" s="259">
        <v>8988348725</v>
      </c>
      <c r="W54" s="259">
        <v>8988348725</v>
      </c>
      <c r="X54" s="259">
        <v>9262944725</v>
      </c>
      <c r="Y54" s="259">
        <v>9396964725</v>
      </c>
      <c r="Z54" s="259">
        <v>11089323034</v>
      </c>
      <c r="AA54" s="259">
        <v>11094085568</v>
      </c>
      <c r="AB54" s="259">
        <v>11289378147</v>
      </c>
      <c r="AC54" s="259">
        <v>12669692521</v>
      </c>
      <c r="AD54" s="259">
        <v>16598442181</v>
      </c>
      <c r="AE54" s="259">
        <v>18942814528</v>
      </c>
      <c r="AF54" s="584"/>
      <c r="AG54" s="486"/>
      <c r="AH54" s="486"/>
      <c r="AI54" s="486"/>
      <c r="AJ54" s="486"/>
      <c r="AK54" s="486"/>
      <c r="AL54" s="486"/>
      <c r="AM54" s="486"/>
      <c r="AN54" s="486"/>
      <c r="AO54" s="486"/>
      <c r="AP54" s="486"/>
      <c r="AQ54" s="486"/>
      <c r="AR54" s="486"/>
      <c r="AS54" s="486"/>
      <c r="AT54" s="486"/>
      <c r="AU54" s="486"/>
      <c r="AV54" s="486"/>
      <c r="AW54" s="486"/>
      <c r="AX54" s="486"/>
      <c r="AY54" s="486"/>
    </row>
    <row r="55" spans="1:51" x14ac:dyDescent="0.25">
      <c r="A55" s="20"/>
      <c r="B55" s="20"/>
      <c r="C55" s="20"/>
      <c r="D55" s="20"/>
      <c r="E55" s="21"/>
      <c r="F55" s="54"/>
      <c r="G55" s="21"/>
      <c r="H55" s="21"/>
      <c r="I55" s="21"/>
      <c r="J55" s="21"/>
      <c r="K55" s="21"/>
      <c r="L55" s="21"/>
      <c r="M55" s="21"/>
      <c r="N55" s="21"/>
      <c r="O55" s="21"/>
      <c r="P55" s="21"/>
      <c r="Q55" s="21"/>
      <c r="R55" s="21"/>
      <c r="S55" s="21"/>
      <c r="T55" s="21"/>
      <c r="U55" s="21"/>
      <c r="V55" s="21"/>
      <c r="W55" s="21"/>
      <c r="X55" s="21"/>
      <c r="Y55" s="21"/>
      <c r="Z55" s="21"/>
      <c r="AA55" s="21"/>
      <c r="AB55" s="21"/>
      <c r="AC55" s="21"/>
      <c r="AD55" s="45"/>
      <c r="AE55" s="20"/>
      <c r="AF55" s="20"/>
      <c r="AG55" s="20"/>
      <c r="AH55" s="20"/>
      <c r="AI55" s="20"/>
      <c r="AJ55" s="20"/>
      <c r="AK55" s="20"/>
      <c r="AL55" s="20"/>
      <c r="AM55" s="20"/>
      <c r="AN55" s="20"/>
      <c r="AO55" s="20"/>
      <c r="AP55" s="37"/>
      <c r="AQ55" s="37"/>
      <c r="AR55" s="20"/>
      <c r="AS55" s="20"/>
      <c r="AT55" s="20"/>
      <c r="AU55" s="20"/>
      <c r="AV55" s="20"/>
      <c r="AW55" s="20"/>
      <c r="AX55" s="37"/>
    </row>
    <row r="56" spans="1:51" ht="18" x14ac:dyDescent="0.25">
      <c r="A56" s="22"/>
      <c r="B56" s="22" t="s">
        <v>34</v>
      </c>
      <c r="C56" s="20"/>
      <c r="D56" s="20"/>
      <c r="E56" s="21"/>
      <c r="F56" s="54"/>
      <c r="G56" s="21"/>
      <c r="H56" s="21"/>
      <c r="I56" s="21"/>
      <c r="J56" s="21"/>
      <c r="K56" s="21"/>
      <c r="L56" s="21"/>
      <c r="M56" s="21"/>
      <c r="N56" s="21"/>
      <c r="O56" s="21"/>
      <c r="P56" s="21"/>
      <c r="Q56" s="21"/>
      <c r="R56" s="21"/>
      <c r="S56" s="21"/>
      <c r="T56" s="21"/>
      <c r="U56" s="21"/>
      <c r="V56" s="21"/>
      <c r="W56" s="21"/>
      <c r="X56" s="21"/>
      <c r="Y56" s="21"/>
      <c r="Z56" s="21"/>
      <c r="AA56" s="21"/>
      <c r="AB56" s="21"/>
      <c r="AC56" s="21"/>
      <c r="AD56" s="45"/>
      <c r="AE56" s="20"/>
      <c r="AF56" s="20"/>
      <c r="AG56" s="20"/>
      <c r="AH56" s="20"/>
      <c r="AI56" s="20"/>
      <c r="AJ56" s="23"/>
      <c r="AK56" s="23"/>
      <c r="AL56" s="23"/>
      <c r="AM56" s="23"/>
      <c r="AN56" s="23"/>
      <c r="AO56" s="23"/>
      <c r="AP56" s="38"/>
      <c r="AQ56" s="38"/>
      <c r="AR56" s="24"/>
      <c r="AS56" s="24"/>
      <c r="AT56" s="24"/>
      <c r="AU56" s="24"/>
      <c r="AV56" s="24"/>
      <c r="AW56" s="24"/>
      <c r="AX56" s="24"/>
    </row>
    <row r="57" spans="1:51" x14ac:dyDescent="0.25">
      <c r="A57" s="6"/>
      <c r="B57" s="256" t="s">
        <v>35</v>
      </c>
      <c r="C57" s="433" t="s">
        <v>36</v>
      </c>
      <c r="D57" s="434"/>
      <c r="E57" s="434"/>
      <c r="F57" s="434"/>
      <c r="G57" s="434"/>
      <c r="H57" s="434"/>
      <c r="I57" s="435"/>
      <c r="J57" s="436" t="s">
        <v>37</v>
      </c>
      <c r="K57" s="437"/>
      <c r="L57" s="437"/>
      <c r="M57" s="437"/>
      <c r="N57" s="437"/>
      <c r="O57" s="437"/>
      <c r="P57" s="438"/>
      <c r="Q57" s="9"/>
      <c r="R57" s="9"/>
      <c r="S57" s="9"/>
      <c r="T57" s="9"/>
      <c r="U57" s="9"/>
      <c r="V57" s="48"/>
      <c r="W57" s="8"/>
      <c r="X57" s="8"/>
      <c r="Y57" s="8"/>
      <c r="Z57" s="8"/>
      <c r="AA57" s="8"/>
      <c r="AB57" s="8"/>
      <c r="AC57" s="8"/>
      <c r="AD57" s="8"/>
      <c r="AE57" s="8"/>
      <c r="AF57" s="6"/>
      <c r="AG57" s="6"/>
      <c r="AH57" s="6"/>
      <c r="AI57" s="6"/>
      <c r="AJ57" s="6"/>
      <c r="AK57" s="6"/>
      <c r="AL57" s="6"/>
      <c r="AM57" s="6"/>
      <c r="AN57" s="6"/>
      <c r="AO57" s="6"/>
      <c r="AP57" s="6"/>
      <c r="AQ57" s="6"/>
      <c r="AR57" s="6"/>
      <c r="AS57" s="6"/>
      <c r="AT57" s="6"/>
      <c r="AU57" s="6"/>
      <c r="AV57" s="6"/>
      <c r="AW57" s="6"/>
      <c r="AX57" s="6"/>
      <c r="AY57" s="6"/>
    </row>
    <row r="58" spans="1:51" x14ac:dyDescent="0.25">
      <c r="A58" s="8"/>
      <c r="B58" s="260">
        <v>13</v>
      </c>
      <c r="C58" s="439" t="s">
        <v>89</v>
      </c>
      <c r="D58" s="439"/>
      <c r="E58" s="439"/>
      <c r="F58" s="439"/>
      <c r="G58" s="439"/>
      <c r="H58" s="439"/>
      <c r="I58" s="439"/>
      <c r="J58" s="439" t="s">
        <v>80</v>
      </c>
      <c r="K58" s="439"/>
      <c r="L58" s="439"/>
      <c r="M58" s="439"/>
      <c r="N58" s="439"/>
      <c r="O58" s="439"/>
      <c r="P58" s="439"/>
      <c r="Q58" s="9"/>
      <c r="R58" s="9"/>
      <c r="S58" s="9"/>
      <c r="T58" s="9"/>
      <c r="U58" s="9"/>
      <c r="V58" s="48"/>
      <c r="W58" s="8"/>
      <c r="X58" s="8"/>
      <c r="Y58" s="8"/>
      <c r="Z58" s="8"/>
      <c r="AA58" s="8"/>
      <c r="AB58" s="8"/>
      <c r="AC58" s="8"/>
      <c r="AD58" s="8"/>
      <c r="AE58" s="8"/>
      <c r="AF58" s="6"/>
      <c r="AG58" s="6"/>
      <c r="AH58" s="6"/>
      <c r="AI58" s="6"/>
      <c r="AJ58" s="6"/>
      <c r="AK58" s="6"/>
      <c r="AL58" s="6"/>
      <c r="AM58" s="6"/>
      <c r="AN58" s="6"/>
      <c r="AO58" s="6"/>
      <c r="AP58" s="6"/>
      <c r="AQ58" s="6"/>
      <c r="AR58" s="6"/>
      <c r="AS58" s="6"/>
      <c r="AT58" s="6"/>
      <c r="AU58" s="6"/>
      <c r="AV58" s="6"/>
      <c r="AW58" s="6"/>
      <c r="AX58" s="6"/>
      <c r="AY58" s="6"/>
    </row>
    <row r="59" spans="1:51" x14ac:dyDescent="0.25">
      <c r="A59" s="8"/>
      <c r="B59" s="260">
        <v>14</v>
      </c>
      <c r="C59" s="439" t="s">
        <v>258</v>
      </c>
      <c r="D59" s="439"/>
      <c r="E59" s="439"/>
      <c r="F59" s="439"/>
      <c r="G59" s="439"/>
      <c r="H59" s="439"/>
      <c r="I59" s="439"/>
      <c r="J59" s="440" t="s">
        <v>521</v>
      </c>
      <c r="K59" s="440"/>
      <c r="L59" s="440"/>
      <c r="M59" s="440"/>
      <c r="N59" s="440"/>
      <c r="O59" s="440"/>
      <c r="P59" s="440"/>
      <c r="Q59" s="9"/>
      <c r="R59" s="9"/>
      <c r="S59" s="9"/>
      <c r="T59" s="9"/>
      <c r="U59" s="9"/>
      <c r="V59" s="48"/>
      <c r="W59" s="8"/>
      <c r="X59" s="8"/>
      <c r="Y59" s="8"/>
      <c r="Z59" s="8"/>
      <c r="AA59" s="8"/>
      <c r="AB59" s="8"/>
      <c r="AC59" s="8"/>
      <c r="AD59" s="8"/>
      <c r="AE59" s="8"/>
      <c r="AF59" s="6"/>
      <c r="AG59" s="6"/>
      <c r="AH59" s="6"/>
      <c r="AI59" s="6"/>
      <c r="AJ59" s="6"/>
      <c r="AK59" s="6"/>
      <c r="AL59" s="6"/>
      <c r="AM59" s="6"/>
      <c r="AN59" s="6"/>
      <c r="AO59" s="6"/>
      <c r="AP59" s="6"/>
      <c r="AQ59" s="6"/>
      <c r="AR59" s="6"/>
      <c r="AS59" s="6"/>
      <c r="AT59" s="6"/>
      <c r="AU59" s="6"/>
      <c r="AV59" s="6"/>
      <c r="AW59" s="6"/>
      <c r="AX59" s="6"/>
      <c r="AY59" s="6"/>
    </row>
    <row r="60" spans="1:51" ht="15.75" x14ac:dyDescent="0.25">
      <c r="A60" s="25"/>
      <c r="B60" s="25"/>
      <c r="C60" s="25"/>
      <c r="D60" s="25"/>
      <c r="E60" s="27"/>
      <c r="F60" s="27"/>
      <c r="G60" s="27"/>
      <c r="H60" s="27"/>
      <c r="I60" s="27"/>
      <c r="J60" s="27"/>
      <c r="K60" s="27"/>
      <c r="L60" s="27"/>
      <c r="M60" s="27"/>
      <c r="N60" s="27"/>
      <c r="O60" s="27"/>
      <c r="P60" s="27"/>
      <c r="Q60" s="27"/>
      <c r="R60" s="25"/>
      <c r="S60" s="25"/>
      <c r="T60" s="25"/>
      <c r="U60" s="25"/>
      <c r="V60" s="25"/>
      <c r="W60" s="25"/>
      <c r="X60" s="25"/>
      <c r="Y60" s="25"/>
      <c r="Z60" s="25"/>
      <c r="AA60" s="25"/>
      <c r="AB60" s="25"/>
      <c r="AC60" s="25"/>
      <c r="AD60" s="178"/>
      <c r="AE60" s="25"/>
      <c r="AF60" s="25"/>
      <c r="AG60" s="25"/>
      <c r="AH60" s="25"/>
      <c r="AI60" s="25"/>
      <c r="AJ60" s="25"/>
      <c r="AK60" s="25"/>
      <c r="AL60" s="25"/>
      <c r="AM60" s="25"/>
      <c r="AN60" s="25"/>
      <c r="AO60" s="25"/>
      <c r="AP60" s="25"/>
      <c r="AQ60" s="25"/>
      <c r="AR60" s="25"/>
      <c r="AS60" s="25"/>
      <c r="AT60" s="25"/>
      <c r="AU60" s="25"/>
      <c r="AV60" s="25"/>
      <c r="AW60" s="25"/>
      <c r="AX60" s="25"/>
    </row>
    <row r="61" spans="1:51" x14ac:dyDescent="0.25">
      <c r="A61" s="25"/>
      <c r="B61" s="25"/>
      <c r="C61" s="25"/>
      <c r="D61" s="25"/>
      <c r="E61" s="25"/>
      <c r="F61" s="55"/>
      <c r="G61" s="25"/>
      <c r="H61" s="25"/>
      <c r="I61" s="25"/>
      <c r="J61" s="25"/>
      <c r="K61" s="25"/>
      <c r="L61" s="25"/>
      <c r="M61" s="25"/>
      <c r="N61" s="25"/>
      <c r="O61" s="25"/>
      <c r="P61" s="25"/>
      <c r="Q61" s="25"/>
      <c r="R61" s="25"/>
      <c r="S61" s="25"/>
      <c r="T61" s="25"/>
      <c r="U61" s="25"/>
      <c r="V61" s="25"/>
      <c r="W61" s="25"/>
      <c r="X61" s="25"/>
      <c r="Y61" s="25"/>
      <c r="Z61" s="25"/>
      <c r="AA61" s="25"/>
      <c r="AB61" s="25"/>
      <c r="AC61" s="25"/>
      <c r="AD61" s="179"/>
      <c r="AE61" s="25"/>
      <c r="AF61" s="25"/>
      <c r="AG61" s="25"/>
      <c r="AH61" s="25"/>
      <c r="AI61" s="25"/>
      <c r="AJ61" s="25"/>
      <c r="AK61" s="25"/>
      <c r="AL61" s="25"/>
      <c r="AM61" s="25"/>
      <c r="AN61" s="25"/>
      <c r="AO61" s="25"/>
      <c r="AP61" s="25"/>
      <c r="AQ61" s="25"/>
      <c r="AR61" s="25"/>
      <c r="AS61" s="25"/>
      <c r="AT61" s="25"/>
      <c r="AU61" s="25"/>
      <c r="AV61" s="25"/>
      <c r="AW61" s="25"/>
      <c r="AX61" s="25"/>
    </row>
    <row r="62" spans="1:51" x14ac:dyDescent="0.25">
      <c r="A62" s="25"/>
      <c r="B62" s="25"/>
      <c r="C62" s="25"/>
      <c r="D62" s="25"/>
      <c r="E62" s="26"/>
      <c r="F62" s="56"/>
      <c r="G62" s="26"/>
      <c r="H62" s="26"/>
      <c r="I62" s="26"/>
      <c r="J62" s="26"/>
      <c r="K62" s="26"/>
      <c r="L62" s="26"/>
      <c r="M62" s="26"/>
      <c r="N62" s="26"/>
      <c r="O62" s="26"/>
      <c r="P62" s="26"/>
      <c r="Q62" s="26"/>
      <c r="R62" s="26"/>
      <c r="S62" s="26"/>
      <c r="T62" s="26"/>
      <c r="U62" s="26"/>
      <c r="V62" s="26"/>
      <c r="W62" s="26"/>
      <c r="X62" s="26"/>
      <c r="Y62" s="26"/>
      <c r="Z62" s="26"/>
      <c r="AA62" s="26"/>
      <c r="AB62" s="26"/>
      <c r="AC62" s="26"/>
      <c r="AD62" s="178"/>
      <c r="AE62" s="25"/>
      <c r="AF62" s="25"/>
      <c r="AG62" s="25"/>
      <c r="AH62" s="25"/>
      <c r="AI62" s="25"/>
      <c r="AJ62" s="25"/>
      <c r="AK62" s="25"/>
      <c r="AL62" s="25"/>
      <c r="AM62" s="25"/>
      <c r="AN62" s="25"/>
      <c r="AO62" s="25"/>
      <c r="AP62" s="25"/>
      <c r="AQ62" s="25"/>
      <c r="AR62" s="25"/>
      <c r="AS62" s="25"/>
      <c r="AT62" s="25"/>
      <c r="AU62" s="25"/>
      <c r="AV62" s="25"/>
      <c r="AW62" s="25"/>
      <c r="AX62" s="25"/>
    </row>
    <row r="63" spans="1:51" x14ac:dyDescent="0.25">
      <c r="A63" s="25"/>
      <c r="B63" s="25"/>
      <c r="C63" s="25"/>
      <c r="D63" s="25"/>
      <c r="E63" s="25"/>
      <c r="F63" s="55"/>
      <c r="G63" s="25"/>
      <c r="H63" s="25"/>
      <c r="I63" s="25"/>
      <c r="J63" s="25"/>
      <c r="K63" s="25"/>
      <c r="L63" s="25"/>
      <c r="M63" s="25"/>
      <c r="N63" s="25"/>
      <c r="O63" s="25"/>
      <c r="P63" s="25"/>
      <c r="Q63" s="25"/>
      <c r="R63" s="25"/>
      <c r="S63" s="25"/>
      <c r="T63" s="25"/>
      <c r="U63" s="25"/>
      <c r="V63" s="25"/>
      <c r="W63" s="25"/>
      <c r="X63" s="25"/>
      <c r="Y63" s="25"/>
      <c r="Z63" s="25"/>
      <c r="AA63" s="25"/>
      <c r="AB63" s="25"/>
      <c r="AC63" s="25"/>
      <c r="AD63" s="178"/>
      <c r="AE63" s="25"/>
      <c r="AF63" s="25"/>
      <c r="AG63" s="25"/>
      <c r="AH63" s="25"/>
      <c r="AI63" s="25"/>
      <c r="AJ63" s="25"/>
      <c r="AK63" s="25"/>
      <c r="AL63" s="25"/>
      <c r="AM63" s="25"/>
      <c r="AN63" s="25"/>
      <c r="AO63" s="25"/>
      <c r="AP63" s="25"/>
      <c r="AQ63" s="25"/>
      <c r="AR63" s="25"/>
      <c r="AS63" s="25"/>
      <c r="AT63" s="25"/>
      <c r="AU63" s="25"/>
      <c r="AV63" s="25"/>
      <c r="AW63" s="25"/>
      <c r="AX63" s="25"/>
    </row>
    <row r="64" spans="1:51" x14ac:dyDescent="0.25">
      <c r="A64" s="25"/>
      <c r="B64" s="25"/>
      <c r="C64" s="25"/>
      <c r="D64" s="25"/>
      <c r="E64" s="25"/>
      <c r="F64" s="55"/>
      <c r="G64" s="25"/>
      <c r="H64" s="25"/>
      <c r="I64" s="25"/>
      <c r="J64" s="25"/>
      <c r="K64" s="25"/>
      <c r="L64" s="25"/>
      <c r="M64" s="25"/>
      <c r="N64" s="25"/>
      <c r="O64" s="25"/>
      <c r="P64" s="25"/>
      <c r="Q64" s="25"/>
      <c r="R64" s="25"/>
      <c r="S64" s="25"/>
      <c r="T64" s="25"/>
      <c r="U64" s="25"/>
      <c r="V64" s="25"/>
      <c r="W64" s="25"/>
      <c r="X64" s="25"/>
      <c r="Y64" s="25"/>
      <c r="Z64" s="25"/>
      <c r="AA64" s="25"/>
      <c r="AB64" s="25"/>
      <c r="AC64" s="25"/>
      <c r="AD64" s="178"/>
      <c r="AE64" s="25"/>
      <c r="AF64" s="25"/>
      <c r="AG64" s="25"/>
      <c r="AH64" s="25"/>
      <c r="AI64" s="25"/>
      <c r="AJ64" s="25"/>
      <c r="AK64" s="25"/>
      <c r="AL64" s="25"/>
      <c r="AM64" s="25"/>
      <c r="AN64" s="25"/>
      <c r="AO64" s="25"/>
      <c r="AP64" s="25"/>
      <c r="AQ64" s="25"/>
      <c r="AR64" s="25"/>
      <c r="AS64" s="25"/>
      <c r="AT64" s="25"/>
      <c r="AU64" s="25"/>
      <c r="AV64" s="25"/>
      <c r="AW64" s="25"/>
      <c r="AX64" s="25"/>
    </row>
    <row r="65" spans="1:50" x14ac:dyDescent="0.25">
      <c r="A65" s="25"/>
      <c r="B65" s="25"/>
      <c r="C65" s="25"/>
      <c r="D65" s="25"/>
      <c r="E65" s="25"/>
      <c r="F65" s="55"/>
      <c r="G65" s="25"/>
      <c r="H65" s="25"/>
      <c r="I65" s="25"/>
      <c r="J65" s="25"/>
      <c r="K65" s="25"/>
      <c r="L65" s="25"/>
      <c r="M65" s="25"/>
      <c r="N65" s="25"/>
      <c r="O65" s="25"/>
      <c r="P65" s="25"/>
      <c r="Q65" s="25"/>
      <c r="R65" s="25"/>
      <c r="S65" s="25"/>
      <c r="T65" s="25"/>
      <c r="U65" s="25"/>
      <c r="V65" s="25"/>
      <c r="W65" s="25"/>
      <c r="X65" s="25"/>
      <c r="Y65" s="25"/>
      <c r="Z65" s="25"/>
      <c r="AA65" s="25"/>
      <c r="AB65" s="25"/>
      <c r="AC65" s="25"/>
      <c r="AD65" s="178"/>
      <c r="AE65" s="25"/>
      <c r="AF65" s="25"/>
      <c r="AG65" s="25"/>
      <c r="AH65" s="25"/>
      <c r="AI65" s="25"/>
      <c r="AJ65" s="25"/>
      <c r="AK65" s="25"/>
      <c r="AL65" s="25"/>
      <c r="AM65" s="25"/>
      <c r="AN65" s="25"/>
      <c r="AO65" s="25"/>
      <c r="AP65" s="25"/>
      <c r="AQ65" s="25"/>
      <c r="AR65" s="25"/>
      <c r="AS65" s="25"/>
      <c r="AT65" s="25"/>
      <c r="AU65" s="25"/>
      <c r="AV65" s="25"/>
      <c r="AW65" s="25"/>
      <c r="AX65" s="25"/>
    </row>
    <row r="66" spans="1:50" x14ac:dyDescent="0.25">
      <c r="A66" s="25"/>
      <c r="B66" s="25"/>
      <c r="C66" s="25"/>
      <c r="D66" s="25"/>
      <c r="E66" s="25"/>
      <c r="F66" s="55"/>
      <c r="G66" s="25"/>
      <c r="H66" s="25"/>
      <c r="I66" s="25"/>
      <c r="J66" s="25"/>
      <c r="K66" s="25"/>
      <c r="L66" s="25"/>
      <c r="M66" s="25"/>
      <c r="N66" s="25"/>
      <c r="O66" s="25"/>
      <c r="P66" s="25"/>
      <c r="Q66" s="25"/>
      <c r="R66" s="25"/>
      <c r="S66" s="25"/>
      <c r="T66" s="25"/>
      <c r="U66" s="25"/>
      <c r="V66" s="25"/>
      <c r="W66" s="25"/>
      <c r="X66" s="25"/>
      <c r="Y66" s="25"/>
      <c r="Z66" s="25"/>
      <c r="AA66" s="25"/>
      <c r="AB66" s="25"/>
      <c r="AC66" s="25"/>
      <c r="AD66" s="178"/>
      <c r="AE66" s="25"/>
      <c r="AF66" s="25"/>
      <c r="AG66" s="25"/>
      <c r="AH66" s="25"/>
      <c r="AI66" s="25"/>
      <c r="AJ66" s="25"/>
      <c r="AK66" s="25"/>
      <c r="AL66" s="25"/>
      <c r="AM66" s="25"/>
      <c r="AN66" s="25"/>
      <c r="AO66" s="25"/>
      <c r="AP66" s="25"/>
      <c r="AQ66" s="25"/>
      <c r="AR66" s="25"/>
      <c r="AS66" s="25"/>
      <c r="AT66" s="25"/>
      <c r="AU66" s="25"/>
      <c r="AV66" s="25"/>
      <c r="AW66" s="25"/>
      <c r="AX66" s="25"/>
    </row>
    <row r="67" spans="1:50" x14ac:dyDescent="0.25">
      <c r="A67" s="25"/>
      <c r="B67" s="25"/>
      <c r="C67" s="25"/>
      <c r="D67" s="25"/>
      <c r="E67" s="25"/>
      <c r="F67" s="55"/>
      <c r="G67" s="25"/>
      <c r="H67" s="25"/>
      <c r="I67" s="25"/>
      <c r="J67" s="25"/>
      <c r="K67" s="25"/>
      <c r="L67" s="25"/>
      <c r="M67" s="25"/>
      <c r="N67" s="25"/>
      <c r="O67" s="25"/>
      <c r="P67" s="25"/>
      <c r="Q67" s="25"/>
      <c r="R67" s="25"/>
      <c r="S67" s="25"/>
      <c r="T67" s="25"/>
      <c r="U67" s="25"/>
      <c r="V67" s="25"/>
      <c r="W67" s="25"/>
      <c r="X67" s="25"/>
      <c r="Y67" s="25"/>
      <c r="Z67" s="25"/>
      <c r="AA67" s="25"/>
      <c r="AB67" s="25"/>
      <c r="AC67" s="25"/>
      <c r="AD67" s="178"/>
      <c r="AE67" s="25"/>
      <c r="AF67" s="25"/>
      <c r="AG67" s="25"/>
      <c r="AH67" s="25"/>
      <c r="AI67" s="25"/>
      <c r="AJ67" s="25"/>
      <c r="AK67" s="25"/>
      <c r="AL67" s="25"/>
      <c r="AM67" s="25"/>
      <c r="AN67" s="25"/>
      <c r="AO67" s="25"/>
      <c r="AP67" s="25"/>
      <c r="AQ67" s="25"/>
      <c r="AR67" s="25"/>
      <c r="AS67" s="25"/>
      <c r="AT67" s="25"/>
      <c r="AU67" s="25"/>
      <c r="AV67" s="25"/>
      <c r="AW67" s="25"/>
      <c r="AX67" s="25"/>
    </row>
    <row r="68" spans="1:50" x14ac:dyDescent="0.25">
      <c r="A68" s="25"/>
      <c r="B68" s="25"/>
      <c r="C68" s="25"/>
      <c r="D68" s="25"/>
      <c r="E68" s="25"/>
      <c r="F68" s="55"/>
      <c r="G68" s="25"/>
      <c r="H68" s="25"/>
      <c r="I68" s="25"/>
      <c r="J68" s="25"/>
      <c r="K68" s="25"/>
      <c r="L68" s="25"/>
      <c r="M68" s="25"/>
      <c r="N68" s="25"/>
      <c r="O68" s="25"/>
      <c r="P68" s="25"/>
      <c r="Q68" s="25"/>
      <c r="R68" s="25"/>
      <c r="S68" s="25"/>
      <c r="T68" s="25"/>
      <c r="U68" s="25"/>
      <c r="V68" s="25"/>
      <c r="W68" s="25"/>
      <c r="X68" s="25"/>
      <c r="Y68" s="25"/>
      <c r="Z68" s="25"/>
      <c r="AA68" s="25"/>
      <c r="AB68" s="25"/>
      <c r="AC68" s="25"/>
      <c r="AD68" s="178"/>
      <c r="AE68" s="25"/>
      <c r="AF68" s="25"/>
      <c r="AG68" s="25"/>
      <c r="AH68" s="25"/>
      <c r="AI68" s="25"/>
      <c r="AJ68" s="25"/>
      <c r="AK68" s="25"/>
      <c r="AL68" s="25"/>
      <c r="AM68" s="25"/>
      <c r="AN68" s="25"/>
      <c r="AO68" s="25"/>
      <c r="AP68" s="25"/>
      <c r="AQ68" s="25"/>
      <c r="AR68" s="25"/>
      <c r="AS68" s="25"/>
      <c r="AT68" s="25"/>
      <c r="AU68" s="25"/>
      <c r="AV68" s="25"/>
      <c r="AW68" s="25"/>
      <c r="AX68" s="25"/>
    </row>
    <row r="69" spans="1:50" x14ac:dyDescent="0.25">
      <c r="A69" s="25"/>
      <c r="B69" s="25"/>
      <c r="C69" s="25"/>
      <c r="D69" s="25"/>
      <c r="E69" s="25"/>
      <c r="F69" s="55"/>
      <c r="G69" s="25"/>
      <c r="H69" s="25"/>
      <c r="I69" s="25"/>
      <c r="J69" s="25"/>
      <c r="K69" s="25"/>
      <c r="L69" s="25"/>
      <c r="M69" s="25"/>
      <c r="N69" s="25"/>
      <c r="O69" s="25"/>
      <c r="P69" s="25"/>
      <c r="Q69" s="25"/>
      <c r="R69" s="25"/>
      <c r="S69" s="25"/>
      <c r="T69" s="25"/>
      <c r="U69" s="25"/>
      <c r="V69" s="25"/>
      <c r="W69" s="25"/>
      <c r="X69" s="25"/>
      <c r="Y69" s="25"/>
      <c r="Z69" s="25"/>
      <c r="AA69" s="25"/>
      <c r="AB69" s="25"/>
      <c r="AC69" s="25"/>
      <c r="AD69" s="178"/>
      <c r="AE69" s="25"/>
      <c r="AF69" s="25"/>
      <c r="AG69" s="25"/>
      <c r="AH69" s="25"/>
      <c r="AI69" s="25"/>
      <c r="AJ69" s="25"/>
      <c r="AK69" s="25"/>
      <c r="AL69" s="25"/>
      <c r="AM69" s="25"/>
      <c r="AN69" s="25"/>
      <c r="AO69" s="25"/>
      <c r="AP69" s="25"/>
      <c r="AQ69" s="25"/>
      <c r="AR69" s="25"/>
      <c r="AS69" s="25"/>
      <c r="AT69" s="25"/>
      <c r="AU69" s="25"/>
      <c r="AV69" s="25"/>
      <c r="AW69" s="25"/>
      <c r="AX69" s="25"/>
    </row>
    <row r="70" spans="1:50" x14ac:dyDescent="0.25">
      <c r="F70" s="258"/>
      <c r="R70" s="25"/>
      <c r="S70" s="25"/>
      <c r="T70" s="25"/>
      <c r="U70" s="25"/>
      <c r="V70" s="25"/>
      <c r="W70" s="25"/>
      <c r="X70" s="25"/>
      <c r="Y70" s="25"/>
      <c r="Z70" s="25"/>
      <c r="AA70" s="25"/>
      <c r="AB70" s="25"/>
      <c r="AC70" s="25"/>
      <c r="AD70" s="178"/>
    </row>
    <row r="71" spans="1:50" x14ac:dyDescent="0.25">
      <c r="F71" s="258"/>
      <c r="R71" s="25"/>
      <c r="S71" s="25"/>
      <c r="T71" s="25"/>
      <c r="U71" s="25"/>
      <c r="V71" s="25"/>
      <c r="W71" s="25"/>
      <c r="X71" s="25"/>
      <c r="Y71" s="25"/>
      <c r="Z71" s="25"/>
      <c r="AA71" s="25"/>
      <c r="AB71" s="25"/>
      <c r="AC71" s="25"/>
      <c r="AD71" s="178"/>
    </row>
    <row r="72" spans="1:50" x14ac:dyDescent="0.25">
      <c r="F72" s="258"/>
      <c r="R72" s="25"/>
      <c r="S72" s="25"/>
      <c r="T72" s="25"/>
      <c r="U72" s="25"/>
      <c r="V72" s="25"/>
      <c r="W72" s="25"/>
      <c r="X72" s="25"/>
      <c r="Y72" s="25"/>
      <c r="Z72" s="25"/>
      <c r="AA72" s="25"/>
      <c r="AB72" s="25"/>
      <c r="AC72" s="25"/>
      <c r="AD72" s="178"/>
    </row>
    <row r="73" spans="1:50" x14ac:dyDescent="0.25">
      <c r="F73" s="258"/>
      <c r="R73" s="25"/>
      <c r="S73" s="25"/>
      <c r="T73" s="25"/>
      <c r="U73" s="25"/>
      <c r="V73" s="25"/>
      <c r="W73" s="25"/>
      <c r="X73" s="25"/>
      <c r="Y73" s="25"/>
      <c r="Z73" s="25"/>
      <c r="AA73" s="25"/>
      <c r="AB73" s="25"/>
      <c r="AC73" s="25"/>
      <c r="AD73" s="178"/>
    </row>
    <row r="74" spans="1:50" x14ac:dyDescent="0.25">
      <c r="F74" s="258"/>
      <c r="R74" s="25"/>
      <c r="S74" s="25"/>
      <c r="T74" s="25"/>
      <c r="U74" s="25"/>
      <c r="V74" s="25"/>
      <c r="W74" s="25"/>
      <c r="X74" s="25"/>
      <c r="Y74" s="25"/>
      <c r="Z74" s="25"/>
      <c r="AA74" s="25"/>
      <c r="AB74" s="25"/>
      <c r="AC74" s="25"/>
      <c r="AD74" s="178"/>
    </row>
    <row r="75" spans="1:50" x14ac:dyDescent="0.25">
      <c r="F75" s="258"/>
      <c r="R75" s="25"/>
      <c r="S75" s="25"/>
      <c r="T75" s="25"/>
      <c r="U75" s="25"/>
      <c r="V75" s="25"/>
      <c r="W75" s="25"/>
      <c r="X75" s="25"/>
      <c r="Y75" s="25"/>
      <c r="Z75" s="25"/>
      <c r="AA75" s="25"/>
      <c r="AB75" s="25"/>
      <c r="AC75" s="25"/>
      <c r="AD75" s="178"/>
    </row>
    <row r="76" spans="1:50" x14ac:dyDescent="0.25">
      <c r="F76" s="258"/>
      <c r="R76" s="25"/>
      <c r="S76" s="25"/>
      <c r="T76" s="25"/>
      <c r="U76" s="25"/>
      <c r="V76" s="25"/>
      <c r="W76" s="25"/>
      <c r="X76" s="25"/>
      <c r="Y76" s="25"/>
      <c r="Z76" s="25"/>
      <c r="AA76" s="25"/>
      <c r="AB76" s="25"/>
      <c r="AC76" s="25"/>
      <c r="AD76" s="178"/>
    </row>
    <row r="77" spans="1:50" x14ac:dyDescent="0.25">
      <c r="F77" s="258"/>
      <c r="R77" s="25"/>
      <c r="S77" s="25"/>
      <c r="T77" s="25"/>
      <c r="U77" s="25"/>
      <c r="V77" s="25"/>
      <c r="W77" s="25"/>
      <c r="X77" s="25"/>
      <c r="Y77" s="25"/>
      <c r="Z77" s="25"/>
      <c r="AA77" s="25"/>
      <c r="AB77" s="25"/>
      <c r="AC77" s="25"/>
      <c r="AD77" s="178"/>
    </row>
    <row r="78" spans="1:50" x14ac:dyDescent="0.25">
      <c r="F78" s="258"/>
      <c r="R78" s="25"/>
      <c r="S78" s="25"/>
      <c r="T78" s="25"/>
      <c r="U78" s="25"/>
      <c r="V78" s="25"/>
      <c r="W78" s="25"/>
      <c r="X78" s="25"/>
      <c r="Y78" s="25"/>
      <c r="Z78" s="25"/>
      <c r="AA78" s="25"/>
      <c r="AB78" s="25"/>
      <c r="AC78" s="25"/>
      <c r="AD78" s="178"/>
    </row>
    <row r="79" spans="1:50" x14ac:dyDescent="0.25">
      <c r="F79" s="258"/>
      <c r="R79" s="25"/>
      <c r="S79" s="25"/>
      <c r="T79" s="25"/>
      <c r="U79" s="25"/>
      <c r="V79" s="25"/>
      <c r="W79" s="25"/>
      <c r="X79" s="25"/>
      <c r="Y79" s="25"/>
      <c r="Z79" s="25"/>
      <c r="AA79" s="25"/>
      <c r="AB79" s="25"/>
      <c r="AC79" s="25"/>
      <c r="AD79" s="178"/>
    </row>
    <row r="80" spans="1:50" x14ac:dyDescent="0.25">
      <c r="F80" s="258"/>
      <c r="R80" s="25"/>
      <c r="S80" s="25"/>
      <c r="T80" s="25"/>
      <c r="U80" s="25"/>
      <c r="V80" s="25"/>
      <c r="W80" s="25"/>
      <c r="X80" s="25"/>
      <c r="Y80" s="25"/>
      <c r="Z80" s="25"/>
      <c r="AA80" s="25"/>
      <c r="AB80" s="25"/>
      <c r="AC80" s="25"/>
      <c r="AD80" s="178"/>
    </row>
    <row r="81" spans="18:30" x14ac:dyDescent="0.25">
      <c r="R81" s="25"/>
      <c r="S81" s="25"/>
      <c r="T81" s="25"/>
      <c r="U81" s="25"/>
      <c r="V81" s="25"/>
      <c r="W81" s="25"/>
      <c r="X81" s="25"/>
      <c r="Y81" s="25"/>
      <c r="Z81" s="25"/>
      <c r="AA81" s="25"/>
      <c r="AB81" s="25"/>
      <c r="AC81" s="25"/>
      <c r="AD81" s="178"/>
    </row>
    <row r="82" spans="18:30" x14ac:dyDescent="0.25">
      <c r="R82" s="25"/>
      <c r="S82" s="25"/>
      <c r="T82" s="25"/>
      <c r="U82" s="25"/>
      <c r="V82" s="25"/>
      <c r="W82" s="25"/>
      <c r="X82" s="25"/>
      <c r="Y82" s="25"/>
      <c r="Z82" s="25"/>
      <c r="AA82" s="25"/>
      <c r="AB82" s="25"/>
      <c r="AC82" s="25"/>
      <c r="AD82" s="178"/>
    </row>
    <row r="83" spans="18:30" x14ac:dyDescent="0.25">
      <c r="R83" s="25"/>
      <c r="S83" s="25"/>
      <c r="T83" s="25"/>
      <c r="U83" s="25"/>
      <c r="V83" s="25"/>
      <c r="W83" s="25"/>
      <c r="X83" s="25"/>
      <c r="Y83" s="25"/>
      <c r="Z83" s="25"/>
      <c r="AA83" s="25"/>
      <c r="AB83" s="25"/>
      <c r="AC83" s="25"/>
      <c r="AD83" s="178"/>
    </row>
    <row r="84" spans="18:30" x14ac:dyDescent="0.25">
      <c r="R84" s="25"/>
      <c r="S84" s="25"/>
      <c r="T84" s="25"/>
      <c r="U84" s="25"/>
      <c r="V84" s="25"/>
      <c r="W84" s="25"/>
      <c r="X84" s="25"/>
      <c r="Y84" s="25"/>
      <c r="Z84" s="25"/>
      <c r="AA84" s="25"/>
      <c r="AB84" s="25"/>
      <c r="AC84" s="25"/>
      <c r="AD84" s="178"/>
    </row>
    <row r="85" spans="18:30" x14ac:dyDescent="0.25">
      <c r="R85" s="25"/>
      <c r="S85" s="25"/>
      <c r="T85" s="25"/>
      <c r="U85" s="25"/>
      <c r="V85" s="25"/>
      <c r="W85" s="25"/>
      <c r="X85" s="25"/>
      <c r="Y85" s="25"/>
      <c r="Z85" s="25"/>
      <c r="AA85" s="25"/>
      <c r="AB85" s="25"/>
      <c r="AC85" s="25"/>
      <c r="AD85" s="178"/>
    </row>
    <row r="86" spans="18:30" x14ac:dyDescent="0.25">
      <c r="R86" s="25"/>
      <c r="S86" s="25"/>
      <c r="T86" s="25"/>
      <c r="U86" s="25"/>
      <c r="V86" s="25"/>
      <c r="W86" s="25"/>
      <c r="X86" s="25"/>
      <c r="Y86" s="25"/>
      <c r="Z86" s="25"/>
      <c r="AA86" s="25"/>
      <c r="AB86" s="25"/>
      <c r="AC86" s="25"/>
      <c r="AD86" s="178"/>
    </row>
    <row r="87" spans="18:30" x14ac:dyDescent="0.25">
      <c r="R87" s="25"/>
      <c r="S87" s="25"/>
      <c r="T87" s="25"/>
      <c r="U87" s="25"/>
      <c r="V87" s="25"/>
      <c r="W87" s="25"/>
      <c r="X87" s="25"/>
      <c r="Y87" s="25"/>
      <c r="Z87" s="25"/>
      <c r="AA87" s="25"/>
      <c r="AB87" s="25"/>
      <c r="AC87" s="25"/>
      <c r="AD87" s="178"/>
    </row>
    <row r="88" spans="18:30" x14ac:dyDescent="0.25">
      <c r="R88" s="25"/>
      <c r="S88" s="25"/>
      <c r="T88" s="25"/>
      <c r="U88" s="25"/>
      <c r="V88" s="25"/>
      <c r="W88" s="25"/>
      <c r="X88" s="25"/>
      <c r="Y88" s="25"/>
      <c r="Z88" s="25"/>
      <c r="AA88" s="25"/>
      <c r="AB88" s="25"/>
      <c r="AC88" s="25"/>
      <c r="AD88" s="178"/>
    </row>
    <row r="89" spans="18:30" x14ac:dyDescent="0.25">
      <c r="R89" s="25"/>
      <c r="S89" s="25"/>
      <c r="T89" s="25"/>
      <c r="U89" s="25"/>
      <c r="V89" s="25"/>
      <c r="W89" s="25"/>
      <c r="X89" s="25"/>
      <c r="Y89" s="25"/>
      <c r="Z89" s="25"/>
      <c r="AA89" s="25"/>
      <c r="AB89" s="25"/>
      <c r="AC89" s="25"/>
      <c r="AD89" s="178"/>
    </row>
    <row r="90" spans="18:30" x14ac:dyDescent="0.25">
      <c r="R90" s="25"/>
      <c r="S90" s="25"/>
      <c r="T90" s="25"/>
      <c r="U90" s="25"/>
      <c r="V90" s="25"/>
      <c r="W90" s="25"/>
      <c r="X90" s="25"/>
      <c r="Y90" s="25"/>
      <c r="Z90" s="25"/>
      <c r="AA90" s="25"/>
      <c r="AB90" s="25"/>
      <c r="AC90" s="25"/>
      <c r="AD90" s="178"/>
    </row>
    <row r="91" spans="18:30" x14ac:dyDescent="0.25">
      <c r="R91" s="25"/>
      <c r="S91" s="25"/>
      <c r="T91" s="25"/>
      <c r="U91" s="25"/>
      <c r="V91" s="25"/>
      <c r="W91" s="25"/>
      <c r="X91" s="25"/>
      <c r="Y91" s="25"/>
      <c r="Z91" s="25"/>
      <c r="AA91" s="25"/>
      <c r="AB91" s="25"/>
      <c r="AC91" s="25"/>
      <c r="AD91" s="178"/>
    </row>
    <row r="92" spans="18:30" x14ac:dyDescent="0.25">
      <c r="R92" s="25"/>
      <c r="S92" s="25"/>
      <c r="T92" s="25"/>
      <c r="U92" s="25"/>
      <c r="V92" s="25"/>
      <c r="W92" s="25"/>
      <c r="X92" s="25"/>
      <c r="Y92" s="25"/>
      <c r="Z92" s="25"/>
      <c r="AA92" s="25"/>
      <c r="AB92" s="25"/>
      <c r="AC92" s="25"/>
      <c r="AD92" s="178"/>
    </row>
    <row r="93" spans="18:30" x14ac:dyDescent="0.25">
      <c r="R93" s="25"/>
      <c r="S93" s="25"/>
      <c r="T93" s="25"/>
      <c r="U93" s="25"/>
      <c r="V93" s="25"/>
      <c r="W93" s="25"/>
      <c r="X93" s="25"/>
      <c r="Y93" s="25"/>
      <c r="Z93" s="25"/>
      <c r="AA93" s="25"/>
      <c r="AB93" s="25"/>
      <c r="AC93" s="25"/>
      <c r="AD93" s="178"/>
    </row>
    <row r="94" spans="18:30" x14ac:dyDescent="0.25">
      <c r="R94" s="25"/>
      <c r="S94" s="25"/>
      <c r="T94" s="25"/>
      <c r="U94" s="25"/>
      <c r="V94" s="25"/>
      <c r="W94" s="25"/>
      <c r="X94" s="25"/>
      <c r="Y94" s="25"/>
      <c r="Z94" s="25"/>
      <c r="AA94" s="25"/>
      <c r="AB94" s="25"/>
      <c r="AC94" s="25"/>
      <c r="AD94" s="178"/>
    </row>
    <row r="95" spans="18:30" x14ac:dyDescent="0.25">
      <c r="R95" s="25"/>
      <c r="S95" s="25"/>
      <c r="T95" s="25"/>
      <c r="U95" s="25"/>
      <c r="V95" s="25"/>
      <c r="W95" s="25"/>
      <c r="X95" s="25"/>
      <c r="Y95" s="25"/>
      <c r="Z95" s="25"/>
      <c r="AA95" s="25"/>
      <c r="AB95" s="25"/>
      <c r="AC95" s="25"/>
      <c r="AD95" s="178"/>
    </row>
    <row r="96" spans="18:30" x14ac:dyDescent="0.25">
      <c r="R96" s="25"/>
      <c r="S96" s="25"/>
      <c r="T96" s="25"/>
      <c r="U96" s="25"/>
      <c r="V96" s="25"/>
      <c r="W96" s="25"/>
      <c r="X96" s="25"/>
      <c r="Y96" s="25"/>
      <c r="Z96" s="25"/>
      <c r="AA96" s="25"/>
      <c r="AB96" s="25"/>
      <c r="AC96" s="25"/>
      <c r="AD96" s="178"/>
    </row>
    <row r="97" spans="18:30" x14ac:dyDescent="0.25">
      <c r="R97" s="25"/>
      <c r="S97" s="25"/>
      <c r="T97" s="25"/>
      <c r="U97" s="25"/>
      <c r="V97" s="25"/>
      <c r="W97" s="25"/>
      <c r="X97" s="25"/>
      <c r="Y97" s="25"/>
      <c r="Z97" s="25"/>
      <c r="AA97" s="25"/>
      <c r="AB97" s="25"/>
      <c r="AC97" s="25"/>
      <c r="AD97" s="178"/>
    </row>
    <row r="98" spans="18:30" x14ac:dyDescent="0.25">
      <c r="R98" s="25"/>
      <c r="S98" s="25"/>
      <c r="T98" s="25"/>
      <c r="U98" s="25"/>
      <c r="V98" s="25"/>
      <c r="W98" s="25"/>
      <c r="X98" s="25"/>
      <c r="Y98" s="25"/>
      <c r="Z98" s="25"/>
      <c r="AA98" s="25"/>
      <c r="AB98" s="25"/>
      <c r="AC98" s="25"/>
      <c r="AD98" s="178"/>
    </row>
    <row r="99" spans="18:30" x14ac:dyDescent="0.25">
      <c r="R99" s="25"/>
      <c r="S99" s="25"/>
      <c r="T99" s="25"/>
      <c r="U99" s="25"/>
      <c r="V99" s="25"/>
      <c r="W99" s="25"/>
      <c r="X99" s="25"/>
      <c r="Y99" s="25"/>
      <c r="Z99" s="25"/>
      <c r="AA99" s="25"/>
      <c r="AB99" s="25"/>
      <c r="AC99" s="25"/>
      <c r="AD99" s="178"/>
    </row>
    <row r="100" spans="18:30" x14ac:dyDescent="0.25">
      <c r="R100" s="25"/>
      <c r="S100" s="25"/>
      <c r="T100" s="25"/>
      <c r="U100" s="25"/>
      <c r="V100" s="25"/>
      <c r="W100" s="25"/>
      <c r="X100" s="25"/>
      <c r="Y100" s="25"/>
      <c r="Z100" s="25"/>
      <c r="AA100" s="25"/>
      <c r="AB100" s="25"/>
      <c r="AC100" s="25"/>
      <c r="AD100" s="178"/>
    </row>
    <row r="101" spans="18:30" x14ac:dyDescent="0.25">
      <c r="R101" s="25"/>
      <c r="S101" s="25"/>
      <c r="T101" s="25"/>
      <c r="U101" s="25"/>
      <c r="V101" s="25"/>
      <c r="W101" s="25"/>
      <c r="X101" s="25"/>
      <c r="Y101" s="25"/>
      <c r="Z101" s="25"/>
      <c r="AA101" s="25"/>
      <c r="AB101" s="25"/>
      <c r="AC101" s="25"/>
      <c r="AD101" s="178"/>
    </row>
    <row r="102" spans="18:30" x14ac:dyDescent="0.25">
      <c r="R102" s="25"/>
      <c r="S102" s="25"/>
      <c r="T102" s="25"/>
      <c r="U102" s="25"/>
      <c r="V102" s="25"/>
      <c r="W102" s="25"/>
      <c r="X102" s="25"/>
      <c r="Y102" s="25"/>
      <c r="Z102" s="25"/>
      <c r="AA102" s="25"/>
      <c r="AB102" s="25"/>
      <c r="AC102" s="25"/>
      <c r="AD102" s="178"/>
    </row>
    <row r="103" spans="18:30" x14ac:dyDescent="0.25">
      <c r="R103" s="25"/>
      <c r="S103" s="25"/>
      <c r="T103" s="25"/>
      <c r="U103" s="25"/>
      <c r="V103" s="25"/>
      <c r="W103" s="25"/>
      <c r="X103" s="25"/>
      <c r="Y103" s="25"/>
      <c r="Z103" s="25"/>
      <c r="AA103" s="25"/>
      <c r="AB103" s="25"/>
      <c r="AC103" s="25"/>
      <c r="AD103" s="178"/>
    </row>
    <row r="104" spans="18:30" x14ac:dyDescent="0.25">
      <c r="R104" s="25"/>
      <c r="S104" s="25"/>
      <c r="T104" s="25"/>
      <c r="U104" s="25"/>
      <c r="V104" s="25"/>
      <c r="W104" s="25"/>
      <c r="X104" s="25"/>
      <c r="Y104" s="25"/>
      <c r="Z104" s="25"/>
      <c r="AA104" s="25"/>
      <c r="AB104" s="25"/>
      <c r="AC104" s="25"/>
      <c r="AD104" s="178"/>
    </row>
    <row r="105" spans="18:30" x14ac:dyDescent="0.25">
      <c r="R105" s="25"/>
      <c r="S105" s="25"/>
      <c r="T105" s="25"/>
      <c r="U105" s="25"/>
      <c r="V105" s="25"/>
      <c r="W105" s="25"/>
      <c r="X105" s="25"/>
      <c r="Y105" s="25"/>
      <c r="Z105" s="25"/>
      <c r="AA105" s="25"/>
      <c r="AB105" s="25"/>
      <c r="AC105" s="25"/>
      <c r="AD105" s="178"/>
    </row>
    <row r="106" spans="18:30" x14ac:dyDescent="0.25">
      <c r="R106" s="25"/>
      <c r="S106" s="25"/>
      <c r="T106" s="25"/>
      <c r="U106" s="25"/>
      <c r="V106" s="25"/>
      <c r="W106" s="25"/>
      <c r="X106" s="25"/>
      <c r="Y106" s="25"/>
      <c r="Z106" s="25"/>
      <c r="AA106" s="25"/>
      <c r="AB106" s="25"/>
      <c r="AC106" s="25"/>
      <c r="AD106" s="178"/>
    </row>
    <row r="107" spans="18:30" x14ac:dyDescent="0.25">
      <c r="R107" s="25"/>
      <c r="S107" s="25"/>
      <c r="T107" s="25"/>
      <c r="U107" s="25"/>
      <c r="V107" s="25"/>
      <c r="W107" s="25"/>
      <c r="X107" s="25"/>
      <c r="Y107" s="25"/>
      <c r="Z107" s="25"/>
      <c r="AA107" s="25"/>
      <c r="AB107" s="25"/>
      <c r="AC107" s="25"/>
      <c r="AD107" s="178"/>
    </row>
    <row r="108" spans="18:30" x14ac:dyDescent="0.25">
      <c r="R108" s="25"/>
      <c r="S108" s="25"/>
      <c r="T108" s="25"/>
      <c r="U108" s="25"/>
      <c r="V108" s="25"/>
      <c r="W108" s="25"/>
      <c r="X108" s="25"/>
      <c r="Y108" s="25"/>
      <c r="Z108" s="25"/>
      <c r="AA108" s="25"/>
      <c r="AB108" s="25"/>
      <c r="AC108" s="25"/>
      <c r="AD108" s="178"/>
    </row>
    <row r="109" spans="18:30" x14ac:dyDescent="0.25">
      <c r="R109" s="25"/>
      <c r="S109" s="25"/>
      <c r="T109" s="25"/>
      <c r="U109" s="25"/>
      <c r="V109" s="25"/>
      <c r="W109" s="25"/>
      <c r="X109" s="25"/>
      <c r="Y109" s="25"/>
      <c r="Z109" s="25"/>
      <c r="AA109" s="25"/>
      <c r="AB109" s="25"/>
      <c r="AC109" s="25"/>
      <c r="AD109" s="178"/>
    </row>
    <row r="110" spans="18:30" x14ac:dyDescent="0.25">
      <c r="R110" s="25"/>
      <c r="S110" s="25"/>
      <c r="T110" s="25"/>
      <c r="U110" s="25"/>
      <c r="V110" s="25"/>
      <c r="W110" s="25"/>
      <c r="X110" s="25"/>
      <c r="Y110" s="25"/>
      <c r="Z110" s="25"/>
      <c r="AA110" s="25"/>
      <c r="AB110" s="25"/>
      <c r="AC110" s="25"/>
      <c r="AD110" s="178"/>
    </row>
    <row r="111" spans="18:30" x14ac:dyDescent="0.25">
      <c r="R111" s="25"/>
      <c r="S111" s="25"/>
      <c r="T111" s="25"/>
      <c r="U111" s="25"/>
      <c r="V111" s="25"/>
      <c r="W111" s="25"/>
      <c r="X111" s="25"/>
      <c r="Y111" s="25"/>
      <c r="Z111" s="25"/>
      <c r="AA111" s="25"/>
      <c r="AB111" s="25"/>
      <c r="AC111" s="25"/>
      <c r="AD111" s="178"/>
    </row>
    <row r="112" spans="18:30" x14ac:dyDescent="0.25">
      <c r="R112" s="25"/>
      <c r="S112" s="25"/>
      <c r="T112" s="25"/>
      <c r="U112" s="25"/>
      <c r="V112" s="25"/>
      <c r="W112" s="25"/>
      <c r="X112" s="25"/>
      <c r="Y112" s="25"/>
      <c r="Z112" s="25"/>
      <c r="AA112" s="25"/>
      <c r="AB112" s="25"/>
      <c r="AC112" s="25"/>
      <c r="AD112" s="178"/>
    </row>
    <row r="113" spans="18:30" x14ac:dyDescent="0.25">
      <c r="R113" s="25"/>
      <c r="S113" s="25"/>
      <c r="T113" s="25"/>
      <c r="U113" s="25"/>
      <c r="V113" s="25"/>
      <c r="W113" s="25"/>
      <c r="X113" s="25"/>
      <c r="Y113" s="25"/>
      <c r="Z113" s="25"/>
      <c r="AA113" s="25"/>
      <c r="AB113" s="25"/>
      <c r="AC113" s="25"/>
      <c r="AD113" s="178"/>
    </row>
    <row r="114" spans="18:30" x14ac:dyDescent="0.25">
      <c r="R114" s="25"/>
      <c r="S114" s="25"/>
      <c r="T114" s="25"/>
      <c r="U114" s="25"/>
      <c r="V114" s="25"/>
      <c r="W114" s="25"/>
      <c r="X114" s="25"/>
      <c r="Y114" s="25"/>
      <c r="Z114" s="25"/>
      <c r="AA114" s="25"/>
      <c r="AB114" s="25"/>
      <c r="AC114" s="25"/>
      <c r="AD114" s="178"/>
    </row>
    <row r="115" spans="18:30" x14ac:dyDescent="0.25">
      <c r="R115" s="25"/>
      <c r="S115" s="25"/>
      <c r="T115" s="25"/>
      <c r="U115" s="25"/>
      <c r="V115" s="25"/>
      <c r="W115" s="25"/>
      <c r="X115" s="25"/>
      <c r="Y115" s="25"/>
      <c r="Z115" s="25"/>
      <c r="AA115" s="25"/>
      <c r="AB115" s="25"/>
      <c r="AC115" s="25"/>
      <c r="AD115" s="178"/>
    </row>
    <row r="116" spans="18:30" x14ac:dyDescent="0.25">
      <c r="R116" s="25"/>
      <c r="S116" s="25"/>
      <c r="T116" s="25"/>
      <c r="U116" s="25"/>
      <c r="V116" s="25"/>
      <c r="W116" s="25"/>
      <c r="X116" s="25"/>
      <c r="Y116" s="25"/>
      <c r="Z116" s="25"/>
      <c r="AA116" s="25"/>
      <c r="AB116" s="25"/>
      <c r="AC116" s="25"/>
      <c r="AD116" s="178"/>
    </row>
    <row r="117" spans="18:30" x14ac:dyDescent="0.25">
      <c r="R117" s="25"/>
      <c r="S117" s="25"/>
      <c r="T117" s="25"/>
      <c r="U117" s="25"/>
      <c r="V117" s="25"/>
      <c r="W117" s="25"/>
      <c r="X117" s="25"/>
      <c r="Y117" s="25"/>
      <c r="Z117" s="25"/>
      <c r="AA117" s="25"/>
      <c r="AB117" s="25"/>
      <c r="AC117" s="25"/>
      <c r="AD117" s="178"/>
    </row>
    <row r="118" spans="18:30" x14ac:dyDescent="0.25">
      <c r="R118" s="25"/>
      <c r="S118" s="25"/>
      <c r="T118" s="25"/>
      <c r="U118" s="25"/>
      <c r="V118" s="25"/>
      <c r="W118" s="25"/>
      <c r="X118" s="25"/>
      <c r="Y118" s="25"/>
      <c r="Z118" s="25"/>
      <c r="AA118" s="25"/>
      <c r="AB118" s="25"/>
      <c r="AC118" s="25"/>
      <c r="AD118" s="178"/>
    </row>
    <row r="119" spans="18:30" x14ac:dyDescent="0.25">
      <c r="R119" s="25"/>
      <c r="S119" s="25"/>
      <c r="T119" s="25"/>
      <c r="U119" s="25"/>
      <c r="V119" s="25"/>
      <c r="W119" s="25"/>
      <c r="X119" s="25"/>
      <c r="Y119" s="25"/>
      <c r="Z119" s="25"/>
      <c r="AA119" s="25"/>
      <c r="AB119" s="25"/>
      <c r="AC119" s="25"/>
      <c r="AD119" s="178"/>
    </row>
    <row r="120" spans="18:30" x14ac:dyDescent="0.25">
      <c r="R120" s="25"/>
      <c r="S120" s="25"/>
      <c r="T120" s="25"/>
      <c r="U120" s="25"/>
      <c r="V120" s="25"/>
      <c r="W120" s="25"/>
      <c r="X120" s="25"/>
      <c r="Y120" s="25"/>
      <c r="Z120" s="25"/>
      <c r="AA120" s="25"/>
      <c r="AB120" s="25"/>
      <c r="AC120" s="25"/>
      <c r="AD120" s="178"/>
    </row>
    <row r="121" spans="18:30" x14ac:dyDescent="0.25">
      <c r="R121" s="25"/>
      <c r="S121" s="25"/>
      <c r="T121" s="25"/>
      <c r="U121" s="25"/>
      <c r="V121" s="25"/>
      <c r="W121" s="25"/>
      <c r="X121" s="25"/>
      <c r="Y121" s="25"/>
      <c r="Z121" s="25"/>
      <c r="AA121" s="25"/>
      <c r="AB121" s="25"/>
      <c r="AC121" s="25"/>
      <c r="AD121" s="178"/>
    </row>
    <row r="122" spans="18:30" x14ac:dyDescent="0.25">
      <c r="R122" s="25"/>
      <c r="S122" s="25"/>
      <c r="T122" s="25"/>
      <c r="U122" s="25"/>
      <c r="V122" s="25"/>
      <c r="W122" s="25"/>
      <c r="X122" s="25"/>
      <c r="Y122" s="25"/>
      <c r="Z122" s="25"/>
      <c r="AA122" s="25"/>
      <c r="AB122" s="25"/>
      <c r="AC122" s="25"/>
      <c r="AD122" s="178"/>
    </row>
    <row r="123" spans="18:30" x14ac:dyDescent="0.25">
      <c r="R123" s="25"/>
      <c r="S123" s="25"/>
      <c r="T123" s="25"/>
      <c r="U123" s="25"/>
      <c r="V123" s="25"/>
      <c r="W123" s="25"/>
      <c r="X123" s="25"/>
      <c r="Y123" s="25"/>
      <c r="Z123" s="25"/>
      <c r="AA123" s="25"/>
      <c r="AB123" s="25"/>
      <c r="AC123" s="25"/>
      <c r="AD123" s="178"/>
    </row>
    <row r="124" spans="18:30" x14ac:dyDescent="0.25">
      <c r="R124" s="25"/>
      <c r="S124" s="25"/>
      <c r="T124" s="25"/>
      <c r="U124" s="25"/>
      <c r="V124" s="25"/>
      <c r="W124" s="25"/>
      <c r="X124" s="25"/>
      <c r="Y124" s="25"/>
      <c r="Z124" s="25"/>
      <c r="AA124" s="25"/>
      <c r="AB124" s="25"/>
      <c r="AC124" s="25"/>
      <c r="AD124" s="178"/>
    </row>
    <row r="125" spans="18:30" x14ac:dyDescent="0.25">
      <c r="R125" s="25"/>
      <c r="S125" s="25"/>
      <c r="T125" s="25"/>
      <c r="U125" s="25"/>
      <c r="V125" s="25"/>
      <c r="W125" s="25"/>
      <c r="X125" s="25"/>
      <c r="Y125" s="25"/>
      <c r="Z125" s="25"/>
      <c r="AA125" s="25"/>
      <c r="AB125" s="25"/>
      <c r="AC125" s="25"/>
      <c r="AD125" s="178"/>
    </row>
    <row r="126" spans="18:30" x14ac:dyDescent="0.25">
      <c r="R126" s="25"/>
      <c r="S126" s="25"/>
      <c r="T126" s="25"/>
      <c r="U126" s="25"/>
      <c r="V126" s="25"/>
      <c r="W126" s="25"/>
      <c r="X126" s="25"/>
      <c r="Y126" s="25"/>
      <c r="Z126" s="25"/>
      <c r="AA126" s="25"/>
      <c r="AB126" s="25"/>
      <c r="AC126" s="25"/>
      <c r="AD126" s="178"/>
    </row>
    <row r="127" spans="18:30" x14ac:dyDescent="0.25">
      <c r="R127" s="25"/>
      <c r="S127" s="25"/>
      <c r="T127" s="25"/>
      <c r="U127" s="25"/>
      <c r="V127" s="25"/>
      <c r="W127" s="25"/>
      <c r="X127" s="25"/>
      <c r="Y127" s="25"/>
      <c r="Z127" s="25"/>
      <c r="AA127" s="25"/>
      <c r="AB127" s="25"/>
      <c r="AC127" s="25"/>
      <c r="AD127" s="178"/>
    </row>
    <row r="128" spans="18:30" x14ac:dyDescent="0.25">
      <c r="R128" s="25"/>
      <c r="S128" s="25"/>
      <c r="T128" s="25"/>
      <c r="U128" s="25"/>
      <c r="V128" s="25"/>
      <c r="W128" s="25"/>
      <c r="X128" s="25"/>
      <c r="Y128" s="25"/>
      <c r="Z128" s="25"/>
      <c r="AA128" s="25"/>
      <c r="AB128" s="25"/>
      <c r="AC128" s="25"/>
      <c r="AD128" s="178"/>
    </row>
    <row r="129" spans="18:30" x14ac:dyDescent="0.25">
      <c r="R129" s="25"/>
      <c r="S129" s="25"/>
      <c r="T129" s="25"/>
      <c r="U129" s="25"/>
      <c r="V129" s="25"/>
      <c r="W129" s="25"/>
      <c r="X129" s="25"/>
      <c r="Y129" s="25"/>
      <c r="Z129" s="25"/>
      <c r="AA129" s="25"/>
      <c r="AB129" s="25"/>
      <c r="AC129" s="25"/>
      <c r="AD129" s="178"/>
    </row>
    <row r="130" spans="18:30" x14ac:dyDescent="0.25">
      <c r="R130" s="25"/>
      <c r="S130" s="25"/>
      <c r="T130" s="25"/>
      <c r="U130" s="25"/>
      <c r="V130" s="25"/>
      <c r="W130" s="25"/>
      <c r="X130" s="25"/>
      <c r="Y130" s="25"/>
      <c r="Z130" s="25"/>
      <c r="AA130" s="25"/>
      <c r="AB130" s="25"/>
      <c r="AC130" s="25"/>
      <c r="AD130" s="178"/>
    </row>
    <row r="131" spans="18:30" x14ac:dyDescent="0.25">
      <c r="R131" s="25"/>
      <c r="S131" s="25"/>
      <c r="T131" s="25"/>
      <c r="U131" s="25"/>
      <c r="V131" s="25"/>
      <c r="W131" s="25"/>
      <c r="X131" s="25"/>
      <c r="Y131" s="25"/>
      <c r="Z131" s="25"/>
      <c r="AA131" s="25"/>
      <c r="AB131" s="25"/>
      <c r="AC131" s="25"/>
      <c r="AD131" s="178"/>
    </row>
    <row r="132" spans="18:30" x14ac:dyDescent="0.25">
      <c r="R132" s="25"/>
      <c r="S132" s="25"/>
      <c r="T132" s="25"/>
      <c r="U132" s="25"/>
      <c r="V132" s="25"/>
      <c r="W132" s="25"/>
      <c r="X132" s="25"/>
      <c r="Y132" s="25"/>
      <c r="Z132" s="25"/>
      <c r="AA132" s="25"/>
      <c r="AB132" s="25"/>
      <c r="AC132" s="25"/>
      <c r="AD132" s="178"/>
    </row>
    <row r="133" spans="18:30" x14ac:dyDescent="0.25">
      <c r="R133" s="25"/>
      <c r="S133" s="25"/>
      <c r="T133" s="25"/>
      <c r="U133" s="25"/>
      <c r="V133" s="25"/>
      <c r="W133" s="25"/>
      <c r="X133" s="25"/>
      <c r="Y133" s="25"/>
      <c r="Z133" s="25"/>
      <c r="AA133" s="25"/>
      <c r="AB133" s="25"/>
      <c r="AC133" s="25"/>
      <c r="AD133" s="178"/>
    </row>
    <row r="134" spans="18:30" x14ac:dyDescent="0.25">
      <c r="R134" s="25"/>
      <c r="S134" s="25"/>
      <c r="T134" s="25"/>
      <c r="U134" s="25"/>
      <c r="V134" s="25"/>
      <c r="W134" s="25"/>
      <c r="X134" s="25"/>
      <c r="Y134" s="25"/>
      <c r="Z134" s="25"/>
      <c r="AA134" s="25"/>
      <c r="AB134" s="25"/>
      <c r="AC134" s="25"/>
      <c r="AD134" s="178"/>
    </row>
    <row r="135" spans="18:30" x14ac:dyDescent="0.25">
      <c r="R135" s="25"/>
      <c r="S135" s="25"/>
      <c r="T135" s="25"/>
      <c r="U135" s="25"/>
      <c r="V135" s="25"/>
      <c r="W135" s="25"/>
      <c r="X135" s="25"/>
      <c r="Y135" s="25"/>
      <c r="Z135" s="25"/>
      <c r="AA135" s="25"/>
      <c r="AB135" s="25"/>
      <c r="AC135" s="25"/>
      <c r="AD135" s="178"/>
    </row>
    <row r="136" spans="18:30" x14ac:dyDescent="0.25">
      <c r="R136" s="25"/>
      <c r="S136" s="25"/>
      <c r="T136" s="25"/>
      <c r="U136" s="25"/>
      <c r="V136" s="25"/>
      <c r="W136" s="25"/>
      <c r="X136" s="25"/>
      <c r="Y136" s="25"/>
      <c r="Z136" s="25"/>
      <c r="AA136" s="25"/>
      <c r="AB136" s="25"/>
      <c r="AC136" s="25"/>
      <c r="AD136" s="178"/>
    </row>
    <row r="137" spans="18:30" x14ac:dyDescent="0.25">
      <c r="R137" s="25"/>
      <c r="S137" s="25"/>
      <c r="T137" s="25"/>
      <c r="U137" s="25"/>
      <c r="V137" s="25"/>
      <c r="W137" s="25"/>
      <c r="X137" s="25"/>
      <c r="Y137" s="25"/>
      <c r="Z137" s="25"/>
      <c r="AA137" s="25"/>
      <c r="AB137" s="25"/>
      <c r="AC137" s="25"/>
      <c r="AD137" s="178"/>
    </row>
    <row r="138" spans="18:30" x14ac:dyDescent="0.25">
      <c r="R138" s="25"/>
      <c r="S138" s="25"/>
      <c r="T138" s="25"/>
      <c r="U138" s="25"/>
      <c r="V138" s="25"/>
      <c r="W138" s="25"/>
      <c r="X138" s="25"/>
      <c r="Y138" s="25"/>
      <c r="Z138" s="25"/>
      <c r="AA138" s="25"/>
      <c r="AB138" s="25"/>
      <c r="AC138" s="25"/>
      <c r="AD138" s="178"/>
    </row>
    <row r="139" spans="18:30" x14ac:dyDescent="0.25">
      <c r="R139" s="25"/>
      <c r="S139" s="25"/>
      <c r="T139" s="25"/>
      <c r="U139" s="25"/>
      <c r="V139" s="25"/>
      <c r="W139" s="25"/>
      <c r="X139" s="25"/>
      <c r="Y139" s="25"/>
      <c r="Z139" s="25"/>
      <c r="AA139" s="25"/>
      <c r="AB139" s="25"/>
      <c r="AC139" s="25"/>
      <c r="AD139" s="178"/>
    </row>
    <row r="140" spans="18:30" x14ac:dyDescent="0.25">
      <c r="R140" s="25"/>
      <c r="S140" s="25"/>
      <c r="T140" s="25"/>
      <c r="U140" s="25"/>
      <c r="V140" s="25"/>
      <c r="W140" s="25"/>
      <c r="X140" s="25"/>
      <c r="Y140" s="25"/>
      <c r="Z140" s="25"/>
      <c r="AA140" s="25"/>
      <c r="AB140" s="25"/>
      <c r="AC140" s="25"/>
      <c r="AD140" s="178"/>
    </row>
    <row r="141" spans="18:30" x14ac:dyDescent="0.25">
      <c r="R141" s="25"/>
      <c r="S141" s="25"/>
      <c r="T141" s="25"/>
      <c r="U141" s="25"/>
      <c r="V141" s="25"/>
      <c r="W141" s="25"/>
      <c r="X141" s="25"/>
      <c r="Y141" s="25"/>
      <c r="Z141" s="25"/>
      <c r="AA141" s="25"/>
      <c r="AB141" s="25"/>
      <c r="AC141" s="25"/>
      <c r="AD141" s="178"/>
    </row>
    <row r="142" spans="18:30" x14ac:dyDescent="0.25">
      <c r="R142" s="25"/>
      <c r="S142" s="25"/>
      <c r="T142" s="25"/>
      <c r="U142" s="25"/>
      <c r="V142" s="25"/>
      <c r="W142" s="25"/>
      <c r="X142" s="25"/>
      <c r="Y142" s="25"/>
      <c r="Z142" s="25"/>
      <c r="AA142" s="25"/>
      <c r="AB142" s="25"/>
      <c r="AC142" s="25"/>
      <c r="AD142" s="178"/>
    </row>
    <row r="143" spans="18:30" x14ac:dyDescent="0.25">
      <c r="R143" s="25"/>
      <c r="S143" s="25"/>
      <c r="T143" s="25"/>
      <c r="U143" s="25"/>
      <c r="V143" s="25"/>
      <c r="W143" s="25"/>
      <c r="X143" s="25"/>
      <c r="Y143" s="25"/>
      <c r="Z143" s="25"/>
      <c r="AA143" s="25"/>
      <c r="AB143" s="25"/>
      <c r="AC143" s="25"/>
      <c r="AD143" s="178"/>
    </row>
    <row r="144" spans="18:30" x14ac:dyDescent="0.25">
      <c r="R144" s="25"/>
      <c r="S144" s="25"/>
      <c r="T144" s="25"/>
      <c r="U144" s="25"/>
      <c r="V144" s="25"/>
      <c r="W144" s="25"/>
      <c r="X144" s="25"/>
      <c r="Y144" s="25"/>
      <c r="Z144" s="25"/>
      <c r="AA144" s="25"/>
      <c r="AB144" s="25"/>
      <c r="AC144" s="25"/>
      <c r="AD144" s="178"/>
    </row>
    <row r="145" spans="18:30" x14ac:dyDescent="0.25">
      <c r="R145" s="25"/>
      <c r="S145" s="25"/>
      <c r="T145" s="25"/>
      <c r="U145" s="25"/>
      <c r="V145" s="25"/>
      <c r="W145" s="25"/>
      <c r="X145" s="25"/>
      <c r="Y145" s="25"/>
      <c r="Z145" s="25"/>
      <c r="AA145" s="25"/>
      <c r="AB145" s="25"/>
      <c r="AC145" s="25"/>
      <c r="AD145" s="178"/>
    </row>
    <row r="146" spans="18:30" x14ac:dyDescent="0.25">
      <c r="R146" s="25"/>
      <c r="S146" s="25"/>
      <c r="T146" s="25"/>
      <c r="U146" s="25"/>
      <c r="V146" s="25"/>
      <c r="W146" s="25"/>
      <c r="X146" s="25"/>
      <c r="Y146" s="25"/>
      <c r="Z146" s="25"/>
      <c r="AA146" s="25"/>
      <c r="AB146" s="25"/>
      <c r="AC146" s="25"/>
      <c r="AD146" s="178"/>
    </row>
    <row r="147" spans="18:30" x14ac:dyDescent="0.25">
      <c r="R147" s="25"/>
      <c r="S147" s="25"/>
      <c r="T147" s="25"/>
      <c r="U147" s="25"/>
      <c r="V147" s="25"/>
      <c r="W147" s="25"/>
      <c r="X147" s="25"/>
      <c r="Y147" s="25"/>
      <c r="Z147" s="25"/>
      <c r="AA147" s="25"/>
      <c r="AB147" s="25"/>
      <c r="AC147" s="25"/>
      <c r="AD147" s="178"/>
    </row>
    <row r="148" spans="18:30" x14ac:dyDescent="0.25">
      <c r="R148" s="25"/>
      <c r="S148" s="25"/>
      <c r="T148" s="25"/>
      <c r="U148" s="25"/>
      <c r="V148" s="25"/>
      <c r="W148" s="25"/>
      <c r="X148" s="25"/>
      <c r="Y148" s="25"/>
      <c r="Z148" s="25"/>
      <c r="AA148" s="25"/>
      <c r="AB148" s="25"/>
      <c r="AC148" s="25"/>
      <c r="AD148" s="178"/>
    </row>
    <row r="149" spans="18:30" x14ac:dyDescent="0.25">
      <c r="R149" s="25"/>
      <c r="S149" s="25"/>
      <c r="T149" s="25"/>
      <c r="U149" s="25"/>
      <c r="V149" s="25"/>
      <c r="W149" s="25"/>
      <c r="X149" s="25"/>
      <c r="Y149" s="25"/>
      <c r="Z149" s="25"/>
      <c r="AA149" s="25"/>
      <c r="AB149" s="25"/>
      <c r="AC149" s="25"/>
      <c r="AD149" s="178"/>
    </row>
    <row r="150" spans="18:30" x14ac:dyDescent="0.25">
      <c r="R150" s="25"/>
      <c r="S150" s="25"/>
      <c r="T150" s="25"/>
      <c r="U150" s="25"/>
      <c r="V150" s="25"/>
      <c r="W150" s="25"/>
      <c r="X150" s="25"/>
      <c r="Y150" s="25"/>
      <c r="Z150" s="25"/>
      <c r="AA150" s="25"/>
      <c r="AB150" s="25"/>
      <c r="AC150" s="25"/>
      <c r="AD150" s="178"/>
    </row>
    <row r="151" spans="18:30" x14ac:dyDescent="0.25">
      <c r="R151" s="25"/>
      <c r="S151" s="25"/>
      <c r="T151" s="25"/>
      <c r="U151" s="25"/>
      <c r="V151" s="25"/>
      <c r="W151" s="25"/>
      <c r="X151" s="25"/>
      <c r="Y151" s="25"/>
      <c r="Z151" s="25"/>
      <c r="AA151" s="25"/>
      <c r="AB151" s="25"/>
      <c r="AC151" s="25"/>
      <c r="AD151" s="178"/>
    </row>
    <row r="152" spans="18:30" x14ac:dyDescent="0.25">
      <c r="R152" s="25"/>
      <c r="S152" s="25"/>
      <c r="T152" s="25"/>
      <c r="U152" s="25"/>
      <c r="V152" s="25"/>
      <c r="W152" s="25"/>
      <c r="X152" s="25"/>
      <c r="Y152" s="25"/>
      <c r="Z152" s="25"/>
      <c r="AA152" s="25"/>
      <c r="AB152" s="25"/>
      <c r="AC152" s="25"/>
      <c r="AD152" s="178"/>
    </row>
    <row r="153" spans="18:30" x14ac:dyDescent="0.25">
      <c r="R153" s="25"/>
      <c r="S153" s="25"/>
      <c r="T153" s="25"/>
      <c r="U153" s="25"/>
      <c r="V153" s="25"/>
      <c r="W153" s="25"/>
      <c r="X153" s="25"/>
      <c r="Y153" s="25"/>
      <c r="Z153" s="25"/>
      <c r="AA153" s="25"/>
      <c r="AB153" s="25"/>
      <c r="AC153" s="25"/>
      <c r="AD153" s="178"/>
    </row>
    <row r="154" spans="18:30" x14ac:dyDescent="0.25">
      <c r="R154" s="25"/>
      <c r="S154" s="25"/>
      <c r="T154" s="25"/>
      <c r="U154" s="25"/>
      <c r="V154" s="25"/>
      <c r="W154" s="25"/>
      <c r="X154" s="25"/>
      <c r="Y154" s="25"/>
      <c r="Z154" s="25"/>
      <c r="AA154" s="25"/>
      <c r="AB154" s="25"/>
      <c r="AC154" s="25"/>
      <c r="AD154" s="178"/>
    </row>
    <row r="155" spans="18:30" x14ac:dyDescent="0.25">
      <c r="R155" s="25"/>
      <c r="S155" s="25"/>
      <c r="T155" s="25"/>
      <c r="U155" s="25"/>
      <c r="V155" s="25"/>
      <c r="W155" s="25"/>
      <c r="X155" s="25"/>
      <c r="Y155" s="25"/>
      <c r="Z155" s="25"/>
      <c r="AA155" s="25"/>
      <c r="AB155" s="25"/>
      <c r="AC155" s="25"/>
      <c r="AD155" s="178"/>
    </row>
    <row r="156" spans="18:30" x14ac:dyDescent="0.25">
      <c r="R156" s="25"/>
      <c r="S156" s="25"/>
      <c r="T156" s="25"/>
      <c r="U156" s="25"/>
      <c r="V156" s="25"/>
      <c r="W156" s="25"/>
      <c r="X156" s="25"/>
      <c r="Y156" s="25"/>
      <c r="Z156" s="25"/>
      <c r="AA156" s="25"/>
      <c r="AB156" s="25"/>
      <c r="AC156" s="25"/>
      <c r="AD156" s="178"/>
    </row>
    <row r="157" spans="18:30" x14ac:dyDescent="0.25">
      <c r="R157" s="25"/>
      <c r="S157" s="25"/>
      <c r="T157" s="25"/>
      <c r="U157" s="25"/>
      <c r="V157" s="25"/>
      <c r="W157" s="25"/>
      <c r="X157" s="25"/>
      <c r="Y157" s="25"/>
      <c r="Z157" s="25"/>
      <c r="AA157" s="25"/>
      <c r="AB157" s="25"/>
      <c r="AC157" s="25"/>
      <c r="AD157" s="178"/>
    </row>
    <row r="158" spans="18:30" x14ac:dyDescent="0.25">
      <c r="R158" s="25"/>
      <c r="S158" s="25"/>
      <c r="T158" s="25"/>
      <c r="U158" s="25"/>
      <c r="V158" s="25"/>
      <c r="W158" s="25"/>
      <c r="X158" s="25"/>
      <c r="Y158" s="25"/>
      <c r="Z158" s="25"/>
      <c r="AA158" s="25"/>
      <c r="AB158" s="25"/>
      <c r="AC158" s="25"/>
      <c r="AD158" s="178"/>
    </row>
    <row r="159" spans="18:30" x14ac:dyDescent="0.25">
      <c r="R159" s="25"/>
      <c r="S159" s="25"/>
      <c r="T159" s="25"/>
      <c r="U159" s="25"/>
      <c r="V159" s="25"/>
      <c r="W159" s="25"/>
      <c r="X159" s="25"/>
      <c r="Y159" s="25"/>
      <c r="Z159" s="25"/>
      <c r="AA159" s="25"/>
      <c r="AB159" s="25"/>
      <c r="AC159" s="25"/>
      <c r="AD159" s="178"/>
    </row>
    <row r="160" spans="18:30" x14ac:dyDescent="0.25">
      <c r="R160" s="25"/>
      <c r="S160" s="25"/>
      <c r="T160" s="25"/>
      <c r="U160" s="25"/>
      <c r="V160" s="25"/>
      <c r="W160" s="25"/>
      <c r="X160" s="25"/>
      <c r="Y160" s="25"/>
      <c r="Z160" s="25"/>
      <c r="AA160" s="25"/>
      <c r="AB160" s="25"/>
      <c r="AC160" s="25"/>
      <c r="AD160" s="178"/>
    </row>
    <row r="161" spans="18:30" x14ac:dyDescent="0.25">
      <c r="R161" s="25"/>
      <c r="S161" s="25"/>
      <c r="T161" s="25"/>
      <c r="U161" s="25"/>
      <c r="V161" s="25"/>
      <c r="W161" s="25"/>
      <c r="X161" s="25"/>
      <c r="Y161" s="25"/>
      <c r="Z161" s="25"/>
      <c r="AA161" s="25"/>
      <c r="AB161" s="25"/>
      <c r="AC161" s="25"/>
      <c r="AD161" s="178"/>
    </row>
    <row r="162" spans="18:30" x14ac:dyDescent="0.25">
      <c r="R162" s="25"/>
      <c r="S162" s="25"/>
      <c r="T162" s="25"/>
      <c r="U162" s="25"/>
      <c r="V162" s="25"/>
      <c r="W162" s="25"/>
      <c r="X162" s="25"/>
      <c r="Y162" s="25"/>
      <c r="Z162" s="25"/>
      <c r="AA162" s="25"/>
      <c r="AB162" s="25"/>
      <c r="AC162" s="25"/>
      <c r="AD162" s="178"/>
    </row>
    <row r="163" spans="18:30" x14ac:dyDescent="0.25">
      <c r="R163" s="25"/>
      <c r="S163" s="25"/>
      <c r="T163" s="25"/>
      <c r="U163" s="25"/>
      <c r="V163" s="25"/>
      <c r="W163" s="25"/>
      <c r="X163" s="25"/>
      <c r="Y163" s="25"/>
      <c r="Z163" s="25"/>
      <c r="AA163" s="25"/>
      <c r="AB163" s="25"/>
      <c r="AC163" s="25"/>
      <c r="AD163" s="178"/>
    </row>
    <row r="164" spans="18:30" x14ac:dyDescent="0.25">
      <c r="R164" s="25"/>
      <c r="S164" s="25"/>
      <c r="T164" s="25"/>
      <c r="U164" s="25"/>
      <c r="V164" s="25"/>
      <c r="W164" s="25"/>
      <c r="X164" s="25"/>
      <c r="Y164" s="25"/>
      <c r="Z164" s="25"/>
      <c r="AA164" s="25"/>
      <c r="AB164" s="25"/>
      <c r="AC164" s="25"/>
      <c r="AD164" s="178"/>
    </row>
    <row r="165" spans="18:30" x14ac:dyDescent="0.25">
      <c r="R165" s="25"/>
      <c r="S165" s="25"/>
      <c r="T165" s="25"/>
      <c r="U165" s="25"/>
      <c r="V165" s="25"/>
      <c r="W165" s="25"/>
      <c r="X165" s="25"/>
      <c r="Y165" s="25"/>
      <c r="Z165" s="25"/>
      <c r="AA165" s="25"/>
      <c r="AB165" s="25"/>
      <c r="AC165" s="25"/>
      <c r="AD165" s="178"/>
    </row>
    <row r="166" spans="18:30" x14ac:dyDescent="0.25">
      <c r="R166" s="25"/>
      <c r="S166" s="25"/>
      <c r="T166" s="25"/>
      <c r="U166" s="25"/>
      <c r="V166" s="25"/>
      <c r="W166" s="25"/>
      <c r="X166" s="25"/>
      <c r="Y166" s="25"/>
      <c r="Z166" s="25"/>
      <c r="AA166" s="25"/>
      <c r="AB166" s="25"/>
      <c r="AC166" s="25"/>
      <c r="AD166" s="178"/>
    </row>
    <row r="167" spans="18:30" x14ac:dyDescent="0.25">
      <c r="R167" s="25"/>
      <c r="S167" s="25"/>
      <c r="T167" s="25"/>
      <c r="U167" s="25"/>
      <c r="V167" s="25"/>
      <c r="W167" s="25"/>
      <c r="X167" s="25"/>
      <c r="Y167" s="25"/>
      <c r="Z167" s="25"/>
      <c r="AA167" s="25"/>
      <c r="AB167" s="25"/>
      <c r="AC167" s="25"/>
      <c r="AD167" s="178"/>
    </row>
    <row r="168" spans="18:30" x14ac:dyDescent="0.25">
      <c r="R168" s="25"/>
      <c r="S168" s="25"/>
      <c r="T168" s="25"/>
      <c r="U168" s="25"/>
      <c r="V168" s="25"/>
      <c r="W168" s="25"/>
      <c r="X168" s="25"/>
      <c r="Y168" s="25"/>
      <c r="Z168" s="25"/>
      <c r="AA168" s="25"/>
      <c r="AB168" s="25"/>
      <c r="AC168" s="25"/>
      <c r="AD168" s="178"/>
    </row>
    <row r="169" spans="18:30" x14ac:dyDescent="0.25">
      <c r="R169" s="25"/>
      <c r="S169" s="25"/>
      <c r="T169" s="25"/>
      <c r="U169" s="25"/>
      <c r="V169" s="25"/>
      <c r="W169" s="25"/>
      <c r="X169" s="25"/>
      <c r="Y169" s="25"/>
      <c r="Z169" s="25"/>
      <c r="AA169" s="25"/>
      <c r="AB169" s="25"/>
      <c r="AC169" s="25"/>
      <c r="AD169" s="178"/>
    </row>
    <row r="170" spans="18:30" x14ac:dyDescent="0.25">
      <c r="R170" s="25"/>
      <c r="S170" s="25"/>
      <c r="T170" s="25"/>
      <c r="U170" s="25"/>
      <c r="V170" s="25"/>
      <c r="W170" s="25"/>
      <c r="X170" s="25"/>
      <c r="Y170" s="25"/>
      <c r="Z170" s="25"/>
      <c r="AA170" s="25"/>
      <c r="AB170" s="25"/>
      <c r="AC170" s="25"/>
      <c r="AD170" s="178"/>
    </row>
    <row r="171" spans="18:30" x14ac:dyDescent="0.25">
      <c r="R171" s="25"/>
      <c r="S171" s="25"/>
      <c r="T171" s="25"/>
      <c r="U171" s="25"/>
      <c r="V171" s="25"/>
      <c r="W171" s="25"/>
      <c r="X171" s="25"/>
      <c r="Y171" s="25"/>
      <c r="Z171" s="25"/>
      <c r="AA171" s="25"/>
      <c r="AB171" s="25"/>
      <c r="AC171" s="25"/>
      <c r="AD171" s="178"/>
    </row>
    <row r="172" spans="18:30" x14ac:dyDescent="0.25">
      <c r="R172" s="25"/>
      <c r="S172" s="25"/>
      <c r="T172" s="25"/>
      <c r="U172" s="25"/>
      <c r="V172" s="25"/>
      <c r="W172" s="25"/>
      <c r="X172" s="25"/>
      <c r="Y172" s="25"/>
      <c r="Z172" s="25"/>
      <c r="AA172" s="25"/>
      <c r="AB172" s="25"/>
      <c r="AC172" s="25"/>
      <c r="AD172" s="178"/>
    </row>
    <row r="173" spans="18:30" x14ac:dyDescent="0.25">
      <c r="R173" s="25"/>
      <c r="S173" s="25"/>
      <c r="T173" s="25"/>
      <c r="U173" s="25"/>
      <c r="V173" s="25"/>
      <c r="W173" s="25"/>
      <c r="X173" s="25"/>
      <c r="Y173" s="25"/>
      <c r="Z173" s="25"/>
      <c r="AA173" s="25"/>
      <c r="AB173" s="25"/>
      <c r="AC173" s="25"/>
      <c r="AD173" s="178"/>
    </row>
    <row r="174" spans="18:30" x14ac:dyDescent="0.25">
      <c r="R174" s="25"/>
      <c r="S174" s="25"/>
      <c r="T174" s="25"/>
      <c r="U174" s="25"/>
      <c r="V174" s="25"/>
      <c r="W174" s="25"/>
      <c r="X174" s="25"/>
      <c r="Y174" s="25"/>
      <c r="Z174" s="25"/>
      <c r="AA174" s="25"/>
      <c r="AB174" s="25"/>
      <c r="AC174" s="25"/>
      <c r="AD174" s="178"/>
    </row>
    <row r="175" spans="18:30" x14ac:dyDescent="0.25">
      <c r="R175" s="25"/>
      <c r="S175" s="25"/>
      <c r="T175" s="25"/>
      <c r="U175" s="25"/>
      <c r="V175" s="25"/>
      <c r="W175" s="25"/>
      <c r="X175" s="25"/>
      <c r="Y175" s="25"/>
      <c r="Z175" s="25"/>
      <c r="AA175" s="25"/>
      <c r="AB175" s="25"/>
      <c r="AC175" s="25"/>
      <c r="AD175" s="178"/>
    </row>
    <row r="176" spans="18:30" x14ac:dyDescent="0.25">
      <c r="R176" s="25"/>
      <c r="S176" s="25"/>
      <c r="T176" s="25"/>
      <c r="U176" s="25"/>
      <c r="V176" s="25"/>
      <c r="W176" s="25"/>
      <c r="X176" s="25"/>
      <c r="Y176" s="25"/>
      <c r="Z176" s="25"/>
      <c r="AA176" s="25"/>
      <c r="AB176" s="25"/>
      <c r="AC176" s="25"/>
      <c r="AD176" s="178"/>
    </row>
    <row r="177" spans="18:30" x14ac:dyDescent="0.25">
      <c r="R177" s="25"/>
      <c r="S177" s="25"/>
      <c r="T177" s="25"/>
      <c r="U177" s="25"/>
      <c r="V177" s="25"/>
      <c r="W177" s="25"/>
      <c r="X177" s="25"/>
      <c r="Y177" s="25"/>
      <c r="Z177" s="25"/>
      <c r="AA177" s="25"/>
      <c r="AB177" s="25"/>
      <c r="AC177" s="25"/>
      <c r="AD177" s="178"/>
    </row>
    <row r="178" spans="18:30" x14ac:dyDescent="0.25">
      <c r="R178" s="25"/>
      <c r="S178" s="25"/>
      <c r="T178" s="25"/>
      <c r="U178" s="25"/>
      <c r="V178" s="25"/>
      <c r="W178" s="25"/>
      <c r="X178" s="25"/>
      <c r="Y178" s="25"/>
      <c r="Z178" s="25"/>
      <c r="AA178" s="25"/>
      <c r="AB178" s="25"/>
      <c r="AC178" s="25"/>
      <c r="AD178" s="178"/>
    </row>
    <row r="179" spans="18:30" x14ac:dyDescent="0.25">
      <c r="R179" s="25"/>
      <c r="S179" s="25"/>
      <c r="T179" s="25"/>
      <c r="U179" s="25"/>
      <c r="V179" s="25"/>
      <c r="W179" s="25"/>
      <c r="X179" s="25"/>
      <c r="Y179" s="25"/>
      <c r="Z179" s="25"/>
      <c r="AA179" s="25"/>
      <c r="AB179" s="25"/>
      <c r="AC179" s="25"/>
      <c r="AD179" s="178"/>
    </row>
    <row r="180" spans="18:30" x14ac:dyDescent="0.25">
      <c r="R180" s="25"/>
      <c r="S180" s="25"/>
      <c r="T180" s="25"/>
      <c r="U180" s="25"/>
      <c r="V180" s="25"/>
      <c r="W180" s="25"/>
      <c r="X180" s="25"/>
      <c r="Y180" s="25"/>
      <c r="Z180" s="25"/>
      <c r="AA180" s="25"/>
      <c r="AB180" s="25"/>
      <c r="AC180" s="25"/>
      <c r="AD180" s="178"/>
    </row>
    <row r="181" spans="18:30" x14ac:dyDescent="0.25">
      <c r="R181" s="25"/>
      <c r="S181" s="25"/>
      <c r="T181" s="25"/>
      <c r="U181" s="25"/>
      <c r="V181" s="25"/>
      <c r="W181" s="25"/>
      <c r="X181" s="25"/>
      <c r="Y181" s="25"/>
      <c r="Z181" s="25"/>
      <c r="AA181" s="25"/>
      <c r="AB181" s="25"/>
      <c r="AC181" s="25"/>
      <c r="AD181" s="178"/>
    </row>
    <row r="182" spans="18:30" x14ac:dyDescent="0.25">
      <c r="R182" s="25"/>
      <c r="S182" s="25"/>
      <c r="T182" s="25"/>
      <c r="U182" s="25"/>
      <c r="V182" s="25"/>
      <c r="W182" s="25"/>
      <c r="X182" s="25"/>
      <c r="Y182" s="25"/>
      <c r="Z182" s="25"/>
      <c r="AA182" s="25"/>
      <c r="AB182" s="25"/>
      <c r="AC182" s="25"/>
      <c r="AD182" s="178"/>
    </row>
    <row r="183" spans="18:30" x14ac:dyDescent="0.25">
      <c r="R183" s="25"/>
      <c r="S183" s="25"/>
      <c r="T183" s="25"/>
      <c r="U183" s="25"/>
      <c r="V183" s="25"/>
      <c r="W183" s="25"/>
      <c r="X183" s="25"/>
      <c r="Y183" s="25"/>
      <c r="Z183" s="25"/>
      <c r="AA183" s="25"/>
      <c r="AB183" s="25"/>
      <c r="AC183" s="25"/>
      <c r="AD183" s="178"/>
    </row>
    <row r="184" spans="18:30" x14ac:dyDescent="0.25">
      <c r="R184" s="25"/>
      <c r="S184" s="25"/>
      <c r="T184" s="25"/>
      <c r="U184" s="25"/>
      <c r="V184" s="25"/>
      <c r="W184" s="25"/>
      <c r="X184" s="25"/>
      <c r="Y184" s="25"/>
      <c r="Z184" s="25"/>
      <c r="AA184" s="25"/>
      <c r="AB184" s="25"/>
      <c r="AC184" s="25"/>
      <c r="AD184" s="178"/>
    </row>
    <row r="185" spans="18:30" x14ac:dyDescent="0.25">
      <c r="R185" s="25"/>
      <c r="S185" s="25"/>
      <c r="T185" s="25"/>
      <c r="U185" s="25"/>
      <c r="V185" s="25"/>
      <c r="W185" s="25"/>
      <c r="X185" s="25"/>
      <c r="Y185" s="25"/>
      <c r="Z185" s="25"/>
      <c r="AA185" s="25"/>
      <c r="AB185" s="25"/>
      <c r="AC185" s="25"/>
      <c r="AD185" s="178"/>
    </row>
    <row r="186" spans="18:30" x14ac:dyDescent="0.25">
      <c r="R186" s="25"/>
      <c r="S186" s="25"/>
      <c r="T186" s="25"/>
      <c r="U186" s="25"/>
      <c r="V186" s="25"/>
      <c r="W186" s="25"/>
      <c r="X186" s="25"/>
      <c r="Y186" s="25"/>
      <c r="Z186" s="25"/>
      <c r="AA186" s="25"/>
      <c r="AB186" s="25"/>
      <c r="AC186" s="25"/>
      <c r="AD186" s="178"/>
    </row>
    <row r="187" spans="18:30" x14ac:dyDescent="0.25">
      <c r="R187" s="25"/>
      <c r="S187" s="25"/>
      <c r="T187" s="25"/>
      <c r="U187" s="25"/>
      <c r="V187" s="25"/>
      <c r="W187" s="25"/>
      <c r="X187" s="25"/>
      <c r="Y187" s="25"/>
      <c r="Z187" s="25"/>
      <c r="AA187" s="25"/>
      <c r="AB187" s="25"/>
      <c r="AC187" s="25"/>
      <c r="AD187" s="178"/>
    </row>
    <row r="188" spans="18:30" x14ac:dyDescent="0.25">
      <c r="R188" s="25"/>
      <c r="S188" s="25"/>
      <c r="T188" s="25"/>
      <c r="U188" s="25"/>
      <c r="V188" s="25"/>
      <c r="W188" s="25"/>
      <c r="X188" s="25"/>
      <c r="Y188" s="25"/>
      <c r="Z188" s="25"/>
      <c r="AA188" s="25"/>
      <c r="AB188" s="25"/>
      <c r="AC188" s="25"/>
      <c r="AD188" s="178"/>
    </row>
    <row r="189" spans="18:30" x14ac:dyDescent="0.25">
      <c r="R189" s="25"/>
      <c r="S189" s="25"/>
      <c r="T189" s="25"/>
      <c r="U189" s="25"/>
      <c r="V189" s="25"/>
      <c r="W189" s="25"/>
      <c r="X189" s="25"/>
      <c r="Y189" s="25"/>
      <c r="Z189" s="25"/>
      <c r="AA189" s="25"/>
      <c r="AB189" s="25"/>
      <c r="AC189" s="25"/>
      <c r="AD189" s="178"/>
    </row>
    <row r="190" spans="18:30" x14ac:dyDescent="0.25">
      <c r="R190" s="25"/>
      <c r="S190" s="25"/>
      <c r="T190" s="25"/>
      <c r="U190" s="25"/>
      <c r="V190" s="25"/>
      <c r="W190" s="25"/>
      <c r="X190" s="25"/>
      <c r="Y190" s="25"/>
      <c r="Z190" s="25"/>
      <c r="AA190" s="25"/>
      <c r="AB190" s="25"/>
      <c r="AC190" s="25"/>
      <c r="AD190" s="178"/>
    </row>
    <row r="191" spans="18:30" x14ac:dyDescent="0.25">
      <c r="R191" s="25"/>
      <c r="S191" s="25"/>
      <c r="T191" s="25"/>
      <c r="U191" s="25"/>
      <c r="V191" s="25"/>
      <c r="W191" s="25"/>
      <c r="X191" s="25"/>
      <c r="Y191" s="25"/>
      <c r="Z191" s="25"/>
      <c r="AA191" s="25"/>
      <c r="AB191" s="25"/>
      <c r="AC191" s="25"/>
      <c r="AD191" s="178"/>
    </row>
    <row r="192" spans="18:30" x14ac:dyDescent="0.25">
      <c r="R192" s="25"/>
      <c r="S192" s="25"/>
      <c r="T192" s="25"/>
      <c r="U192" s="25"/>
      <c r="V192" s="25"/>
      <c r="W192" s="25"/>
      <c r="X192" s="25"/>
      <c r="Y192" s="25"/>
      <c r="Z192" s="25"/>
      <c r="AA192" s="25"/>
      <c r="AB192" s="25"/>
      <c r="AC192" s="25"/>
      <c r="AD192" s="178"/>
    </row>
    <row r="193" spans="18:30" x14ac:dyDescent="0.25">
      <c r="R193" s="25"/>
      <c r="S193" s="25"/>
      <c r="T193" s="25"/>
      <c r="U193" s="25"/>
      <c r="V193" s="25"/>
      <c r="W193" s="25"/>
      <c r="X193" s="25"/>
      <c r="Y193" s="25"/>
      <c r="Z193" s="25"/>
      <c r="AA193" s="25"/>
      <c r="AB193" s="25"/>
      <c r="AC193" s="25"/>
      <c r="AD193" s="178"/>
    </row>
    <row r="194" spans="18:30" x14ac:dyDescent="0.25">
      <c r="R194" s="25"/>
      <c r="S194" s="25"/>
      <c r="T194" s="25"/>
      <c r="U194" s="25"/>
      <c r="V194" s="25"/>
      <c r="W194" s="25"/>
      <c r="X194" s="25"/>
      <c r="Y194" s="25"/>
      <c r="Z194" s="25"/>
      <c r="AA194" s="25"/>
      <c r="AB194" s="25"/>
      <c r="AC194" s="25"/>
      <c r="AD194" s="178"/>
    </row>
    <row r="195" spans="18:30" x14ac:dyDescent="0.25">
      <c r="R195" s="25"/>
      <c r="S195" s="25"/>
      <c r="T195" s="25"/>
      <c r="U195" s="25"/>
      <c r="V195" s="25"/>
      <c r="W195" s="25"/>
      <c r="X195" s="25"/>
      <c r="Y195" s="25"/>
      <c r="Z195" s="25"/>
      <c r="AA195" s="25"/>
      <c r="AB195" s="25"/>
      <c r="AC195" s="25"/>
      <c r="AD195" s="178"/>
    </row>
    <row r="196" spans="18:30" x14ac:dyDescent="0.25">
      <c r="R196" s="25"/>
      <c r="S196" s="25"/>
      <c r="T196" s="25"/>
      <c r="U196" s="25"/>
      <c r="V196" s="25"/>
      <c r="W196" s="25"/>
      <c r="X196" s="25"/>
      <c r="Y196" s="25"/>
      <c r="Z196" s="25"/>
      <c r="AA196" s="25"/>
      <c r="AB196" s="25"/>
      <c r="AC196" s="25"/>
      <c r="AD196" s="178"/>
    </row>
    <row r="197" spans="18:30" x14ac:dyDescent="0.25">
      <c r="R197" s="25"/>
      <c r="S197" s="25"/>
      <c r="T197" s="25"/>
      <c r="U197" s="25"/>
      <c r="V197" s="25"/>
      <c r="W197" s="25"/>
      <c r="X197" s="25"/>
      <c r="Y197" s="25"/>
      <c r="Z197" s="25"/>
      <c r="AA197" s="25"/>
      <c r="AB197" s="25"/>
      <c r="AC197" s="25"/>
      <c r="AD197" s="178"/>
    </row>
    <row r="198" spans="18:30" x14ac:dyDescent="0.25">
      <c r="R198" s="25"/>
      <c r="S198" s="25"/>
      <c r="T198" s="25"/>
      <c r="U198" s="25"/>
      <c r="V198" s="25"/>
      <c r="W198" s="25"/>
      <c r="X198" s="25"/>
      <c r="Y198" s="25"/>
      <c r="Z198" s="25"/>
      <c r="AA198" s="25"/>
      <c r="AB198" s="25"/>
      <c r="AC198" s="25"/>
      <c r="AD198" s="178"/>
    </row>
    <row r="199" spans="18:30" x14ac:dyDescent="0.25">
      <c r="R199" s="25"/>
      <c r="S199" s="25"/>
      <c r="T199" s="25"/>
      <c r="U199" s="25"/>
      <c r="V199" s="25"/>
      <c r="W199" s="25"/>
      <c r="X199" s="25"/>
      <c r="Y199" s="25"/>
      <c r="Z199" s="25"/>
      <c r="AA199" s="25"/>
      <c r="AB199" s="25"/>
      <c r="AC199" s="25"/>
      <c r="AD199" s="178"/>
    </row>
    <row r="200" spans="18:30" x14ac:dyDescent="0.25">
      <c r="R200" s="25"/>
      <c r="S200" s="25"/>
      <c r="T200" s="25"/>
      <c r="U200" s="25"/>
      <c r="V200" s="25"/>
      <c r="W200" s="25"/>
      <c r="X200" s="25"/>
      <c r="Y200" s="25"/>
      <c r="Z200" s="25"/>
      <c r="AA200" s="25"/>
      <c r="AB200" s="25"/>
      <c r="AC200" s="25"/>
      <c r="AD200" s="178"/>
    </row>
    <row r="201" spans="18:30" x14ac:dyDescent="0.25">
      <c r="R201" s="25"/>
      <c r="S201" s="25"/>
      <c r="T201" s="25"/>
      <c r="U201" s="25"/>
      <c r="V201" s="25"/>
      <c r="W201" s="25"/>
      <c r="X201" s="25"/>
      <c r="Y201" s="25"/>
      <c r="Z201" s="25"/>
      <c r="AA201" s="25"/>
      <c r="AB201" s="25"/>
      <c r="AC201" s="25"/>
      <c r="AD201" s="178"/>
    </row>
    <row r="202" spans="18:30" x14ac:dyDescent="0.25">
      <c r="R202" s="25"/>
      <c r="S202" s="25"/>
      <c r="T202" s="25"/>
      <c r="U202" s="25"/>
      <c r="V202" s="25"/>
      <c r="W202" s="25"/>
      <c r="X202" s="25"/>
      <c r="Y202" s="25"/>
      <c r="Z202" s="25"/>
      <c r="AA202" s="25"/>
      <c r="AB202" s="25"/>
      <c r="AC202" s="25"/>
      <c r="AD202" s="178"/>
    </row>
    <row r="203" spans="18:30" x14ac:dyDescent="0.25">
      <c r="R203" s="25"/>
      <c r="S203" s="25"/>
      <c r="T203" s="25"/>
      <c r="U203" s="25"/>
      <c r="V203" s="25"/>
      <c r="W203" s="25"/>
      <c r="X203" s="25"/>
      <c r="Y203" s="25"/>
      <c r="Z203" s="25"/>
      <c r="AA203" s="25"/>
      <c r="AB203" s="25"/>
      <c r="AC203" s="25"/>
      <c r="AD203" s="178"/>
    </row>
    <row r="204" spans="18:30" x14ac:dyDescent="0.25">
      <c r="R204" s="25"/>
      <c r="S204" s="25"/>
      <c r="T204" s="25"/>
      <c r="U204" s="25"/>
      <c r="V204" s="25"/>
      <c r="W204" s="25"/>
      <c r="X204" s="25"/>
      <c r="Y204" s="25"/>
      <c r="Z204" s="25"/>
      <c r="AA204" s="25"/>
      <c r="AB204" s="25"/>
      <c r="AC204" s="25"/>
      <c r="AD204" s="178"/>
    </row>
    <row r="205" spans="18:30" x14ac:dyDescent="0.25">
      <c r="R205" s="25"/>
      <c r="S205" s="25"/>
      <c r="T205" s="25"/>
      <c r="U205" s="25"/>
      <c r="V205" s="25"/>
      <c r="W205" s="25"/>
      <c r="X205" s="25"/>
      <c r="Y205" s="25"/>
      <c r="Z205" s="25"/>
      <c r="AA205" s="25"/>
      <c r="AB205" s="25"/>
      <c r="AC205" s="25"/>
      <c r="AD205" s="178"/>
    </row>
    <row r="206" spans="18:30" x14ac:dyDescent="0.25">
      <c r="R206" s="25"/>
      <c r="S206" s="25"/>
      <c r="T206" s="25"/>
      <c r="U206" s="25"/>
      <c r="V206" s="25"/>
      <c r="W206" s="25"/>
      <c r="X206" s="25"/>
      <c r="Y206" s="25"/>
      <c r="Z206" s="25"/>
      <c r="AA206" s="25"/>
      <c r="AB206" s="25"/>
      <c r="AC206" s="25"/>
      <c r="AD206" s="178"/>
    </row>
    <row r="207" spans="18:30" x14ac:dyDescent="0.25">
      <c r="R207" s="25"/>
      <c r="S207" s="25"/>
      <c r="T207" s="25"/>
      <c r="U207" s="25"/>
      <c r="V207" s="25"/>
      <c r="W207" s="25"/>
      <c r="X207" s="25"/>
      <c r="Y207" s="25"/>
      <c r="Z207" s="25"/>
      <c r="AA207" s="25"/>
      <c r="AB207" s="25"/>
      <c r="AC207" s="25"/>
      <c r="AD207" s="178"/>
    </row>
    <row r="208" spans="18:30" x14ac:dyDescent="0.25">
      <c r="R208" s="25"/>
      <c r="S208" s="25"/>
      <c r="T208" s="25"/>
      <c r="U208" s="25"/>
      <c r="V208" s="25"/>
      <c r="W208" s="25"/>
      <c r="X208" s="25"/>
      <c r="Y208" s="25"/>
      <c r="Z208" s="25"/>
      <c r="AA208" s="25"/>
      <c r="AB208" s="25"/>
      <c r="AC208" s="25"/>
      <c r="AD208" s="178"/>
    </row>
    <row r="209" spans="18:30" x14ac:dyDescent="0.25">
      <c r="R209" s="25"/>
      <c r="S209" s="25"/>
      <c r="T209" s="25"/>
      <c r="U209" s="25"/>
      <c r="V209" s="25"/>
      <c r="W209" s="25"/>
      <c r="X209" s="25"/>
      <c r="Y209" s="25"/>
      <c r="Z209" s="25"/>
      <c r="AA209" s="25"/>
      <c r="AB209" s="25"/>
      <c r="AC209" s="25"/>
      <c r="AD209" s="178"/>
    </row>
    <row r="210" spans="18:30" x14ac:dyDescent="0.25">
      <c r="R210" s="25"/>
      <c r="S210" s="25"/>
      <c r="T210" s="25"/>
      <c r="U210" s="25"/>
      <c r="V210" s="25"/>
      <c r="W210" s="25"/>
      <c r="X210" s="25"/>
      <c r="Y210" s="25"/>
      <c r="Z210" s="25"/>
      <c r="AA210" s="25"/>
      <c r="AB210" s="25"/>
      <c r="AC210" s="25"/>
      <c r="AD210" s="178"/>
    </row>
    <row r="211" spans="18:30" x14ac:dyDescent="0.25">
      <c r="R211" s="25"/>
      <c r="S211" s="25"/>
      <c r="T211" s="25"/>
      <c r="U211" s="25"/>
      <c r="V211" s="25"/>
      <c r="W211" s="25"/>
      <c r="X211" s="25"/>
      <c r="Y211" s="25"/>
      <c r="Z211" s="25"/>
      <c r="AA211" s="25"/>
      <c r="AB211" s="25"/>
      <c r="AC211" s="25"/>
      <c r="AD211" s="178"/>
    </row>
    <row r="212" spans="18:30" x14ac:dyDescent="0.25">
      <c r="R212" s="25"/>
      <c r="S212" s="25"/>
      <c r="T212" s="25"/>
      <c r="U212" s="25"/>
      <c r="V212" s="25"/>
      <c r="W212" s="25"/>
      <c r="X212" s="25"/>
      <c r="Y212" s="25"/>
      <c r="Z212" s="25"/>
      <c r="AA212" s="25"/>
      <c r="AB212" s="25"/>
      <c r="AC212" s="25"/>
      <c r="AD212" s="178"/>
    </row>
    <row r="213" spans="18:30" x14ac:dyDescent="0.25">
      <c r="R213" s="25"/>
      <c r="S213" s="25"/>
      <c r="T213" s="25"/>
      <c r="U213" s="25"/>
      <c r="V213" s="25"/>
      <c r="W213" s="25"/>
      <c r="X213" s="25"/>
      <c r="Y213" s="25"/>
      <c r="Z213" s="25"/>
      <c r="AA213" s="25"/>
      <c r="AB213" s="25"/>
      <c r="AC213" s="25"/>
      <c r="AD213" s="178"/>
    </row>
    <row r="214" spans="18:30" x14ac:dyDescent="0.25">
      <c r="R214" s="25"/>
      <c r="S214" s="25"/>
      <c r="T214" s="25"/>
      <c r="U214" s="25"/>
      <c r="V214" s="25"/>
      <c r="W214" s="25"/>
      <c r="X214" s="25"/>
      <c r="Y214" s="25"/>
      <c r="Z214" s="25"/>
      <c r="AA214" s="25"/>
      <c r="AB214" s="25"/>
      <c r="AC214" s="25"/>
      <c r="AD214" s="178"/>
    </row>
    <row r="215" spans="18:30" x14ac:dyDescent="0.25">
      <c r="R215" s="25"/>
      <c r="S215" s="25"/>
      <c r="T215" s="25"/>
      <c r="U215" s="25"/>
      <c r="V215" s="25"/>
      <c r="W215" s="25"/>
      <c r="X215" s="25"/>
      <c r="Y215" s="25"/>
      <c r="Z215" s="25"/>
      <c r="AA215" s="25"/>
      <c r="AB215" s="25"/>
      <c r="AC215" s="25"/>
      <c r="AD215" s="178"/>
    </row>
    <row r="216" spans="18:30" x14ac:dyDescent="0.25">
      <c r="R216" s="25"/>
      <c r="S216" s="25"/>
      <c r="T216" s="25"/>
      <c r="U216" s="25"/>
      <c r="V216" s="25"/>
      <c r="W216" s="25"/>
      <c r="X216" s="25"/>
      <c r="Y216" s="25"/>
      <c r="Z216" s="25"/>
      <c r="AA216" s="25"/>
      <c r="AB216" s="25"/>
      <c r="AC216" s="25"/>
      <c r="AD216" s="178"/>
    </row>
    <row r="217" spans="18:30" x14ac:dyDescent="0.25">
      <c r="R217" s="25"/>
      <c r="S217" s="25"/>
      <c r="T217" s="25"/>
      <c r="U217" s="25"/>
      <c r="V217" s="25"/>
      <c r="W217" s="25"/>
      <c r="X217" s="25"/>
      <c r="Y217" s="25"/>
      <c r="Z217" s="25"/>
      <c r="AA217" s="25"/>
      <c r="AB217" s="25"/>
      <c r="AC217" s="25"/>
      <c r="AD217" s="178"/>
    </row>
    <row r="218" spans="18:30" x14ac:dyDescent="0.25">
      <c r="R218" s="25"/>
      <c r="S218" s="25"/>
      <c r="T218" s="25"/>
      <c r="U218" s="25"/>
      <c r="V218" s="25"/>
      <c r="W218" s="25"/>
      <c r="X218" s="25"/>
      <c r="Y218" s="25"/>
      <c r="Z218" s="25"/>
      <c r="AA218" s="25"/>
      <c r="AB218" s="25"/>
      <c r="AC218" s="25"/>
      <c r="AD218" s="178"/>
    </row>
    <row r="219" spans="18:30" x14ac:dyDescent="0.25">
      <c r="R219" s="25"/>
      <c r="S219" s="25"/>
      <c r="T219" s="25"/>
      <c r="U219" s="25"/>
      <c r="V219" s="25"/>
      <c r="W219" s="25"/>
      <c r="X219" s="25"/>
      <c r="Y219" s="25"/>
      <c r="Z219" s="25"/>
      <c r="AA219" s="25"/>
      <c r="AB219" s="25"/>
      <c r="AC219" s="25"/>
      <c r="AD219" s="178"/>
    </row>
    <row r="220" spans="18:30" x14ac:dyDescent="0.25">
      <c r="R220" s="25"/>
      <c r="S220" s="25"/>
      <c r="T220" s="25"/>
      <c r="U220" s="25"/>
      <c r="V220" s="25"/>
      <c r="W220" s="25"/>
      <c r="X220" s="25"/>
      <c r="Y220" s="25"/>
      <c r="Z220" s="25"/>
      <c r="AA220" s="25"/>
      <c r="AB220" s="25"/>
      <c r="AC220" s="25"/>
      <c r="AD220" s="178"/>
    </row>
    <row r="221" spans="18:30" x14ac:dyDescent="0.25">
      <c r="R221" s="25"/>
      <c r="S221" s="25"/>
      <c r="T221" s="25"/>
      <c r="U221" s="25"/>
      <c r="V221" s="25"/>
      <c r="W221" s="25"/>
      <c r="X221" s="25"/>
      <c r="Y221" s="25"/>
      <c r="Z221" s="25"/>
      <c r="AA221" s="25"/>
      <c r="AB221" s="25"/>
      <c r="AC221" s="25"/>
      <c r="AD221" s="178"/>
    </row>
    <row r="222" spans="18:30" x14ac:dyDescent="0.25">
      <c r="R222" s="25"/>
      <c r="S222" s="25"/>
      <c r="T222" s="25"/>
      <c r="U222" s="25"/>
      <c r="V222" s="25"/>
      <c r="W222" s="25"/>
      <c r="X222" s="25"/>
      <c r="Y222" s="25"/>
      <c r="Z222" s="25"/>
      <c r="AA222" s="25"/>
      <c r="AB222" s="25"/>
      <c r="AC222" s="25"/>
      <c r="AD222" s="178"/>
    </row>
    <row r="223" spans="18:30" x14ac:dyDescent="0.25">
      <c r="R223" s="25"/>
      <c r="S223" s="25"/>
      <c r="T223" s="25"/>
      <c r="U223" s="25"/>
      <c r="V223" s="25"/>
      <c r="W223" s="25"/>
      <c r="X223" s="25"/>
      <c r="Y223" s="25"/>
      <c r="Z223" s="25"/>
      <c r="AA223" s="25"/>
      <c r="AB223" s="25"/>
      <c r="AC223" s="25"/>
      <c r="AD223" s="178"/>
    </row>
    <row r="224" spans="18:30" x14ac:dyDescent="0.25">
      <c r="R224" s="25"/>
      <c r="S224" s="25"/>
      <c r="T224" s="25"/>
      <c r="U224" s="25"/>
      <c r="V224" s="25"/>
      <c r="W224" s="25"/>
      <c r="X224" s="25"/>
      <c r="Y224" s="25"/>
      <c r="Z224" s="25"/>
      <c r="AA224" s="25"/>
      <c r="AB224" s="25"/>
      <c r="AC224" s="25"/>
      <c r="AD224" s="178"/>
    </row>
    <row r="225" spans="18:30" x14ac:dyDescent="0.25">
      <c r="R225" s="25"/>
      <c r="S225" s="25"/>
      <c r="T225" s="25"/>
      <c r="U225" s="25"/>
      <c r="V225" s="25"/>
      <c r="W225" s="25"/>
      <c r="X225" s="25"/>
      <c r="Y225" s="25"/>
      <c r="Z225" s="25"/>
      <c r="AA225" s="25"/>
      <c r="AB225" s="25"/>
      <c r="AC225" s="25"/>
      <c r="AD225" s="178"/>
    </row>
    <row r="226" spans="18:30" x14ac:dyDescent="0.25">
      <c r="R226" s="25"/>
      <c r="S226" s="25"/>
      <c r="T226" s="25"/>
      <c r="U226" s="25"/>
      <c r="V226" s="25"/>
      <c r="W226" s="25"/>
      <c r="X226" s="25"/>
      <c r="Y226" s="25"/>
      <c r="Z226" s="25"/>
      <c r="AA226" s="25"/>
      <c r="AB226" s="25"/>
      <c r="AC226" s="25"/>
      <c r="AD226" s="178"/>
    </row>
    <row r="227" spans="18:30" x14ac:dyDescent="0.25">
      <c r="R227" s="25"/>
      <c r="S227" s="25"/>
      <c r="T227" s="25"/>
      <c r="U227" s="25"/>
      <c r="V227" s="25"/>
      <c r="W227" s="25"/>
      <c r="X227" s="25"/>
      <c r="Y227" s="25"/>
      <c r="Z227" s="25"/>
      <c r="AA227" s="25"/>
      <c r="AB227" s="25"/>
      <c r="AC227" s="25"/>
      <c r="AD227" s="178"/>
    </row>
    <row r="228" spans="18:30" x14ac:dyDescent="0.25">
      <c r="R228" s="25"/>
      <c r="S228" s="25"/>
      <c r="T228" s="25"/>
      <c r="U228" s="25"/>
      <c r="V228" s="25"/>
      <c r="W228" s="25"/>
      <c r="X228" s="25"/>
      <c r="Y228" s="25"/>
      <c r="Z228" s="25"/>
      <c r="AA228" s="25"/>
      <c r="AB228" s="25"/>
      <c r="AC228" s="25"/>
      <c r="AD228" s="178"/>
    </row>
    <row r="229" spans="18:30" x14ac:dyDescent="0.25">
      <c r="R229" s="25"/>
      <c r="S229" s="25"/>
      <c r="T229" s="25"/>
      <c r="U229" s="25"/>
      <c r="V229" s="25"/>
      <c r="W229" s="25"/>
      <c r="X229" s="25"/>
      <c r="Y229" s="25"/>
      <c r="Z229" s="25"/>
      <c r="AA229" s="25"/>
      <c r="AB229" s="25"/>
      <c r="AC229" s="25"/>
      <c r="AD229" s="178"/>
    </row>
    <row r="230" spans="18:30" x14ac:dyDescent="0.25">
      <c r="R230" s="25"/>
      <c r="S230" s="25"/>
      <c r="T230" s="25"/>
      <c r="U230" s="25"/>
      <c r="V230" s="25"/>
      <c r="W230" s="25"/>
      <c r="X230" s="25"/>
      <c r="Y230" s="25"/>
      <c r="Z230" s="25"/>
      <c r="AA230" s="25"/>
      <c r="AB230" s="25"/>
      <c r="AC230" s="25"/>
      <c r="AD230" s="178"/>
    </row>
    <row r="231" spans="18:30" x14ac:dyDescent="0.25">
      <c r="R231" s="25"/>
      <c r="S231" s="25"/>
      <c r="T231" s="25"/>
      <c r="U231" s="25"/>
      <c r="V231" s="25"/>
      <c r="W231" s="25"/>
      <c r="X231" s="25"/>
      <c r="Y231" s="25"/>
      <c r="Z231" s="25"/>
      <c r="AA231" s="25"/>
      <c r="AB231" s="25"/>
      <c r="AC231" s="25"/>
      <c r="AD231" s="178"/>
    </row>
    <row r="232" spans="18:30" x14ac:dyDescent="0.25">
      <c r="R232" s="25"/>
      <c r="S232" s="25"/>
      <c r="T232" s="25"/>
      <c r="U232" s="25"/>
      <c r="V232" s="25"/>
      <c r="W232" s="25"/>
      <c r="X232" s="25"/>
      <c r="Y232" s="25"/>
      <c r="Z232" s="25"/>
      <c r="AA232" s="25"/>
      <c r="AB232" s="25"/>
      <c r="AC232" s="25"/>
      <c r="AD232" s="178"/>
    </row>
    <row r="233" spans="18:30" x14ac:dyDescent="0.25">
      <c r="R233" s="25"/>
      <c r="S233" s="25"/>
      <c r="T233" s="25"/>
      <c r="U233" s="25"/>
      <c r="V233" s="25"/>
      <c r="W233" s="25"/>
      <c r="X233" s="25"/>
      <c r="Y233" s="25"/>
      <c r="Z233" s="25"/>
      <c r="AA233" s="25"/>
      <c r="AB233" s="25"/>
      <c r="AC233" s="25"/>
      <c r="AD233" s="178"/>
    </row>
    <row r="234" spans="18:30" x14ac:dyDescent="0.25">
      <c r="R234" s="25"/>
      <c r="S234" s="25"/>
      <c r="T234" s="25"/>
      <c r="U234" s="25"/>
      <c r="V234" s="25"/>
      <c r="W234" s="25"/>
      <c r="X234" s="25"/>
      <c r="Y234" s="25"/>
      <c r="Z234" s="25"/>
      <c r="AA234" s="25"/>
      <c r="AB234" s="25"/>
      <c r="AC234" s="25"/>
      <c r="AD234" s="178"/>
    </row>
    <row r="235" spans="18:30" x14ac:dyDescent="0.25">
      <c r="R235" s="25"/>
      <c r="S235" s="25"/>
      <c r="T235" s="25"/>
      <c r="U235" s="25"/>
      <c r="V235" s="25"/>
      <c r="W235" s="25"/>
      <c r="X235" s="25"/>
      <c r="Y235" s="25"/>
      <c r="Z235" s="25"/>
      <c r="AA235" s="25"/>
      <c r="AB235" s="25"/>
      <c r="AC235" s="25"/>
      <c r="AD235" s="178"/>
    </row>
    <row r="236" spans="18:30" x14ac:dyDescent="0.25">
      <c r="R236" s="25"/>
      <c r="S236" s="25"/>
      <c r="T236" s="25"/>
      <c r="U236" s="25"/>
      <c r="V236" s="25"/>
      <c r="W236" s="25"/>
      <c r="X236" s="25"/>
      <c r="Y236" s="25"/>
      <c r="Z236" s="25"/>
      <c r="AA236" s="25"/>
      <c r="AB236" s="25"/>
      <c r="AC236" s="25"/>
      <c r="AD236" s="178"/>
    </row>
    <row r="237" spans="18:30" x14ac:dyDescent="0.25">
      <c r="R237" s="25"/>
      <c r="S237" s="25"/>
      <c r="T237" s="25"/>
      <c r="U237" s="25"/>
      <c r="V237" s="25"/>
      <c r="W237" s="25"/>
      <c r="X237" s="25"/>
      <c r="Y237" s="25"/>
      <c r="Z237" s="25"/>
      <c r="AA237" s="25"/>
      <c r="AB237" s="25"/>
      <c r="AC237" s="25"/>
      <c r="AD237" s="178"/>
    </row>
    <row r="238" spans="18:30" x14ac:dyDescent="0.25">
      <c r="R238" s="25"/>
      <c r="S238" s="25"/>
      <c r="T238" s="25"/>
      <c r="U238" s="25"/>
      <c r="V238" s="25"/>
      <c r="W238" s="25"/>
      <c r="X238" s="25"/>
      <c r="Y238" s="25"/>
      <c r="Z238" s="25"/>
      <c r="AA238" s="25"/>
      <c r="AB238" s="25"/>
      <c r="AC238" s="25"/>
      <c r="AD238" s="178"/>
    </row>
    <row r="239" spans="18:30" x14ac:dyDescent="0.25">
      <c r="R239" s="25"/>
      <c r="S239" s="25"/>
      <c r="T239" s="25"/>
      <c r="U239" s="25"/>
      <c r="V239" s="25"/>
      <c r="W239" s="25"/>
      <c r="X239" s="25"/>
      <c r="Y239" s="25"/>
      <c r="Z239" s="25"/>
      <c r="AA239" s="25"/>
      <c r="AB239" s="25"/>
      <c r="AC239" s="25"/>
      <c r="AD239" s="178"/>
    </row>
    <row r="240" spans="18:30" x14ac:dyDescent="0.25">
      <c r="R240" s="25"/>
      <c r="S240" s="25"/>
      <c r="T240" s="25"/>
      <c r="U240" s="25"/>
      <c r="V240" s="25"/>
      <c r="W240" s="25"/>
      <c r="X240" s="25"/>
      <c r="Y240" s="25"/>
      <c r="Z240" s="25"/>
      <c r="AA240" s="25"/>
      <c r="AB240" s="25"/>
      <c r="AC240" s="25"/>
      <c r="AD240" s="178"/>
    </row>
    <row r="241" spans="18:30" x14ac:dyDescent="0.25">
      <c r="R241" s="25"/>
      <c r="S241" s="25"/>
      <c r="T241" s="25"/>
      <c r="U241" s="25"/>
      <c r="V241" s="25"/>
      <c r="W241" s="25"/>
      <c r="X241" s="25"/>
      <c r="Y241" s="25"/>
      <c r="Z241" s="25"/>
      <c r="AA241" s="25"/>
      <c r="AB241" s="25"/>
      <c r="AC241" s="25"/>
      <c r="AD241" s="178"/>
    </row>
    <row r="242" spans="18:30" x14ac:dyDescent="0.25">
      <c r="R242" s="25"/>
      <c r="S242" s="25"/>
      <c r="T242" s="25"/>
      <c r="U242" s="25"/>
      <c r="V242" s="25"/>
      <c r="W242" s="25"/>
      <c r="X242" s="25"/>
      <c r="Y242" s="25"/>
      <c r="Z242" s="25"/>
      <c r="AA242" s="25"/>
      <c r="AB242" s="25"/>
      <c r="AC242" s="25"/>
      <c r="AD242" s="178"/>
    </row>
    <row r="243" spans="18:30" x14ac:dyDescent="0.25">
      <c r="R243" s="25"/>
      <c r="S243" s="25"/>
      <c r="T243" s="25"/>
      <c r="U243" s="25"/>
      <c r="V243" s="25"/>
      <c r="W243" s="25"/>
      <c r="X243" s="25"/>
      <c r="Y243" s="25"/>
      <c r="Z243" s="25"/>
      <c r="AA243" s="25"/>
      <c r="AB243" s="25"/>
      <c r="AC243" s="25"/>
      <c r="AD243" s="178"/>
    </row>
    <row r="244" spans="18:30" x14ac:dyDescent="0.25">
      <c r="R244" s="25"/>
      <c r="S244" s="25"/>
      <c r="T244" s="25"/>
      <c r="U244" s="25"/>
      <c r="V244" s="25"/>
      <c r="W244" s="25"/>
      <c r="X244" s="25"/>
      <c r="Y244" s="25"/>
      <c r="Z244" s="25"/>
      <c r="AA244" s="25"/>
      <c r="AB244" s="25"/>
      <c r="AC244" s="25"/>
      <c r="AD244" s="178"/>
    </row>
    <row r="245" spans="18:30" x14ac:dyDescent="0.25">
      <c r="R245" s="25"/>
      <c r="S245" s="25"/>
      <c r="T245" s="25"/>
      <c r="U245" s="25"/>
      <c r="V245" s="25"/>
      <c r="W245" s="25"/>
      <c r="X245" s="25"/>
      <c r="Y245" s="25"/>
      <c r="Z245" s="25"/>
      <c r="AA245" s="25"/>
      <c r="AB245" s="25"/>
      <c r="AC245" s="25"/>
      <c r="AD245" s="178"/>
    </row>
    <row r="246" spans="18:30" x14ac:dyDescent="0.25">
      <c r="R246" s="25"/>
      <c r="S246" s="25"/>
      <c r="T246" s="25"/>
      <c r="U246" s="25"/>
      <c r="V246" s="25"/>
      <c r="W246" s="25"/>
      <c r="X246" s="25"/>
      <c r="Y246" s="25"/>
      <c r="Z246" s="25"/>
      <c r="AA246" s="25"/>
      <c r="AB246" s="25"/>
      <c r="AC246" s="25"/>
      <c r="AD246" s="178"/>
    </row>
    <row r="247" spans="18:30" x14ac:dyDescent="0.25">
      <c r="R247" s="25"/>
      <c r="S247" s="25"/>
      <c r="T247" s="25"/>
      <c r="U247" s="25"/>
      <c r="V247" s="25"/>
      <c r="W247" s="25"/>
      <c r="X247" s="25"/>
      <c r="Y247" s="25"/>
      <c r="Z247" s="25"/>
      <c r="AA247" s="25"/>
      <c r="AB247" s="25"/>
      <c r="AC247" s="25"/>
      <c r="AD247" s="178"/>
    </row>
    <row r="248" spans="18:30" x14ac:dyDescent="0.25">
      <c r="R248" s="25"/>
      <c r="S248" s="25"/>
      <c r="T248" s="25"/>
      <c r="U248" s="25"/>
      <c r="V248" s="25"/>
      <c r="W248" s="25"/>
      <c r="X248" s="25"/>
      <c r="Y248" s="25"/>
      <c r="Z248" s="25"/>
      <c r="AA248" s="25"/>
      <c r="AB248" s="25"/>
      <c r="AC248" s="25"/>
      <c r="AD248" s="178"/>
    </row>
    <row r="249" spans="18:30" x14ac:dyDescent="0.25">
      <c r="R249" s="25"/>
      <c r="S249" s="25"/>
      <c r="T249" s="25"/>
      <c r="U249" s="25"/>
      <c r="V249" s="25"/>
      <c r="W249" s="25"/>
      <c r="X249" s="25"/>
      <c r="Y249" s="25"/>
      <c r="Z249" s="25"/>
      <c r="AA249" s="25"/>
      <c r="AB249" s="25"/>
      <c r="AC249" s="25"/>
      <c r="AD249" s="178"/>
    </row>
    <row r="250" spans="18:30" x14ac:dyDescent="0.25">
      <c r="R250" s="25"/>
      <c r="S250" s="25"/>
      <c r="T250" s="25"/>
      <c r="U250" s="25"/>
      <c r="V250" s="25"/>
      <c r="W250" s="25"/>
      <c r="X250" s="25"/>
      <c r="Y250" s="25"/>
      <c r="Z250" s="25"/>
      <c r="AA250" s="25"/>
      <c r="AB250" s="25"/>
      <c r="AC250" s="25"/>
      <c r="AD250" s="178"/>
    </row>
    <row r="251" spans="18:30" x14ac:dyDescent="0.25">
      <c r="R251" s="25"/>
      <c r="S251" s="25"/>
      <c r="T251" s="25"/>
      <c r="U251" s="25"/>
      <c r="V251" s="25"/>
      <c r="W251" s="25"/>
      <c r="X251" s="25"/>
      <c r="Y251" s="25"/>
      <c r="Z251" s="25"/>
      <c r="AA251" s="25"/>
      <c r="AB251" s="25"/>
      <c r="AC251" s="25"/>
      <c r="AD251" s="178"/>
    </row>
    <row r="252" spans="18:30" x14ac:dyDescent="0.25">
      <c r="R252" s="25"/>
      <c r="S252" s="25"/>
      <c r="T252" s="25"/>
      <c r="U252" s="25"/>
      <c r="V252" s="25"/>
      <c r="W252" s="25"/>
      <c r="X252" s="25"/>
      <c r="Y252" s="25"/>
      <c r="Z252" s="25"/>
      <c r="AA252" s="25"/>
      <c r="AB252" s="25"/>
      <c r="AC252" s="25"/>
      <c r="AD252" s="178"/>
    </row>
    <row r="253" spans="18:30" x14ac:dyDescent="0.25">
      <c r="R253" s="25"/>
      <c r="S253" s="25"/>
      <c r="T253" s="25"/>
      <c r="U253" s="25"/>
      <c r="V253" s="25"/>
      <c r="W253" s="25"/>
      <c r="X253" s="25"/>
      <c r="Y253" s="25"/>
      <c r="Z253" s="25"/>
      <c r="AA253" s="25"/>
      <c r="AB253" s="25"/>
      <c r="AC253" s="25"/>
      <c r="AD253" s="178"/>
    </row>
    <row r="254" spans="18:30" x14ac:dyDescent="0.25">
      <c r="R254" s="25"/>
      <c r="S254" s="25"/>
      <c r="T254" s="25"/>
      <c r="U254" s="25"/>
      <c r="V254" s="25"/>
      <c r="W254" s="25"/>
      <c r="X254" s="25"/>
      <c r="Y254" s="25"/>
      <c r="Z254" s="25"/>
      <c r="AA254" s="25"/>
      <c r="AB254" s="25"/>
      <c r="AC254" s="25"/>
      <c r="AD254" s="178"/>
    </row>
    <row r="255" spans="18:30" x14ac:dyDescent="0.25">
      <c r="R255" s="25"/>
      <c r="S255" s="25"/>
      <c r="T255" s="25"/>
      <c r="U255" s="25"/>
      <c r="V255" s="25"/>
      <c r="W255" s="25"/>
      <c r="X255" s="25"/>
      <c r="Y255" s="25"/>
      <c r="Z255" s="25"/>
      <c r="AA255" s="25"/>
      <c r="AB255" s="25"/>
      <c r="AC255" s="25"/>
      <c r="AD255" s="178"/>
    </row>
    <row r="256" spans="18:30" x14ac:dyDescent="0.25">
      <c r="R256" s="25"/>
      <c r="S256" s="25"/>
      <c r="T256" s="25"/>
      <c r="U256" s="25"/>
      <c r="V256" s="25"/>
      <c r="W256" s="25"/>
      <c r="X256" s="25"/>
      <c r="Y256" s="25"/>
      <c r="Z256" s="25"/>
      <c r="AA256" s="25"/>
      <c r="AB256" s="25"/>
      <c r="AC256" s="25"/>
      <c r="AD256" s="178"/>
    </row>
    <row r="257" spans="18:30" x14ac:dyDescent="0.25">
      <c r="R257" s="25"/>
      <c r="S257" s="25"/>
      <c r="T257" s="25"/>
      <c r="U257" s="25"/>
      <c r="V257" s="25"/>
      <c r="W257" s="25"/>
      <c r="X257" s="25"/>
      <c r="Y257" s="25"/>
      <c r="Z257" s="25"/>
      <c r="AA257" s="25"/>
      <c r="AB257" s="25"/>
      <c r="AC257" s="25"/>
      <c r="AD257" s="178"/>
    </row>
    <row r="258" spans="18:30" x14ac:dyDescent="0.25">
      <c r="R258" s="25"/>
      <c r="S258" s="25"/>
      <c r="T258" s="25"/>
      <c r="U258" s="25"/>
      <c r="V258" s="25"/>
      <c r="W258" s="25"/>
      <c r="X258" s="25"/>
      <c r="Y258" s="25"/>
      <c r="Z258" s="25"/>
      <c r="AA258" s="25"/>
      <c r="AB258" s="25"/>
      <c r="AC258" s="25"/>
      <c r="AD258" s="178"/>
    </row>
    <row r="259" spans="18:30" x14ac:dyDescent="0.25">
      <c r="R259" s="25"/>
      <c r="S259" s="25"/>
      <c r="T259" s="25"/>
      <c r="U259" s="25"/>
      <c r="V259" s="25"/>
      <c r="W259" s="25"/>
      <c r="X259" s="25"/>
      <c r="Y259" s="25"/>
      <c r="Z259" s="25"/>
      <c r="AA259" s="25"/>
      <c r="AB259" s="25"/>
      <c r="AC259" s="25"/>
      <c r="AD259" s="178"/>
    </row>
    <row r="260" spans="18:30" x14ac:dyDescent="0.25">
      <c r="R260" s="25"/>
      <c r="S260" s="25"/>
      <c r="T260" s="25"/>
      <c r="U260" s="25"/>
      <c r="V260" s="25"/>
      <c r="W260" s="25"/>
      <c r="X260" s="25"/>
      <c r="Y260" s="25"/>
      <c r="Z260" s="25"/>
      <c r="AA260" s="25"/>
      <c r="AB260" s="25"/>
      <c r="AC260" s="25"/>
      <c r="AD260" s="178"/>
    </row>
    <row r="261" spans="18:30" x14ac:dyDescent="0.25">
      <c r="R261" s="25"/>
      <c r="S261" s="25"/>
      <c r="T261" s="25"/>
      <c r="U261" s="25"/>
      <c r="V261" s="25"/>
      <c r="W261" s="25"/>
      <c r="X261" s="25"/>
      <c r="Y261" s="25"/>
      <c r="Z261" s="25"/>
      <c r="AA261" s="25"/>
      <c r="AB261" s="25"/>
      <c r="AC261" s="25"/>
      <c r="AD261" s="178"/>
    </row>
    <row r="262" spans="18:30" x14ac:dyDescent="0.25">
      <c r="R262" s="25"/>
      <c r="S262" s="25"/>
      <c r="T262" s="25"/>
      <c r="U262" s="25"/>
      <c r="V262" s="25"/>
      <c r="W262" s="25"/>
      <c r="X262" s="25"/>
      <c r="Y262" s="25"/>
      <c r="Z262" s="25"/>
      <c r="AA262" s="25"/>
      <c r="AB262" s="25"/>
      <c r="AC262" s="25"/>
      <c r="AD262" s="178"/>
    </row>
    <row r="263" spans="18:30" x14ac:dyDescent="0.25">
      <c r="R263" s="25"/>
      <c r="S263" s="25"/>
      <c r="T263" s="25"/>
      <c r="U263" s="25"/>
      <c r="V263" s="25"/>
      <c r="W263" s="25"/>
      <c r="X263" s="25"/>
      <c r="Y263" s="25"/>
      <c r="Z263" s="25"/>
      <c r="AA263" s="25"/>
      <c r="AB263" s="25"/>
      <c r="AC263" s="25"/>
      <c r="AD263" s="178"/>
    </row>
    <row r="264" spans="18:30" x14ac:dyDescent="0.25">
      <c r="R264" s="25"/>
      <c r="S264" s="25"/>
      <c r="T264" s="25"/>
      <c r="U264" s="25"/>
      <c r="V264" s="25"/>
      <c r="W264" s="25"/>
      <c r="X264" s="25"/>
      <c r="Y264" s="25"/>
      <c r="Z264" s="25"/>
      <c r="AA264" s="25"/>
      <c r="AB264" s="25"/>
      <c r="AC264" s="25"/>
      <c r="AD264" s="178"/>
    </row>
    <row r="265" spans="18:30" x14ac:dyDescent="0.25">
      <c r="R265" s="25"/>
      <c r="S265" s="25"/>
      <c r="T265" s="25"/>
      <c r="U265" s="25"/>
      <c r="V265" s="25"/>
      <c r="W265" s="25"/>
      <c r="X265" s="25"/>
      <c r="Y265" s="25"/>
      <c r="Z265" s="25"/>
      <c r="AA265" s="25"/>
      <c r="AB265" s="25"/>
      <c r="AC265" s="25"/>
      <c r="AD265" s="178"/>
    </row>
    <row r="266" spans="18:30" x14ac:dyDescent="0.25">
      <c r="R266" s="25"/>
      <c r="S266" s="25"/>
      <c r="T266" s="25"/>
      <c r="U266" s="25"/>
      <c r="V266" s="25"/>
      <c r="W266" s="25"/>
      <c r="X266" s="25"/>
      <c r="Y266" s="25"/>
      <c r="Z266" s="25"/>
      <c r="AA266" s="25"/>
      <c r="AB266" s="25"/>
      <c r="AC266" s="25"/>
      <c r="AD266" s="178"/>
    </row>
    <row r="267" spans="18:30" x14ac:dyDescent="0.25">
      <c r="R267" s="25"/>
      <c r="S267" s="25"/>
      <c r="T267" s="25"/>
      <c r="U267" s="25"/>
      <c r="V267" s="25"/>
      <c r="W267" s="25"/>
      <c r="X267" s="25"/>
      <c r="Y267" s="25"/>
      <c r="Z267" s="25"/>
      <c r="AA267" s="25"/>
      <c r="AB267" s="25"/>
      <c r="AC267" s="25"/>
      <c r="AD267" s="178"/>
    </row>
    <row r="268" spans="18:30" x14ac:dyDescent="0.25">
      <c r="R268" s="25"/>
      <c r="S268" s="25"/>
      <c r="T268" s="25"/>
      <c r="U268" s="25"/>
      <c r="V268" s="25"/>
      <c r="W268" s="25"/>
      <c r="X268" s="25"/>
      <c r="Y268" s="25"/>
      <c r="Z268" s="25"/>
      <c r="AA268" s="25"/>
      <c r="AB268" s="25"/>
      <c r="AC268" s="25"/>
      <c r="AD268" s="178"/>
    </row>
    <row r="269" spans="18:30" x14ac:dyDescent="0.25">
      <c r="R269" s="25"/>
      <c r="S269" s="25"/>
      <c r="T269" s="25"/>
      <c r="U269" s="25"/>
      <c r="V269" s="25"/>
      <c r="W269" s="25"/>
      <c r="X269" s="25"/>
      <c r="Y269" s="25"/>
      <c r="Z269" s="25"/>
      <c r="AA269" s="25"/>
      <c r="AB269" s="25"/>
      <c r="AC269" s="25"/>
      <c r="AD269" s="178"/>
    </row>
    <row r="270" spans="18:30" x14ac:dyDescent="0.25">
      <c r="R270" s="25"/>
      <c r="S270" s="25"/>
      <c r="T270" s="25"/>
      <c r="U270" s="25"/>
      <c r="V270" s="25"/>
      <c r="W270" s="25"/>
      <c r="X270" s="25"/>
      <c r="Y270" s="25"/>
      <c r="Z270" s="25"/>
      <c r="AA270" s="25"/>
      <c r="AB270" s="25"/>
      <c r="AC270" s="25"/>
      <c r="AD270" s="178"/>
    </row>
    <row r="271" spans="18:30" x14ac:dyDescent="0.25">
      <c r="R271" s="25"/>
      <c r="S271" s="25"/>
      <c r="T271" s="25"/>
      <c r="U271" s="25"/>
      <c r="V271" s="25"/>
      <c r="W271" s="25"/>
      <c r="X271" s="25"/>
      <c r="Y271" s="25"/>
      <c r="Z271" s="25"/>
      <c r="AA271" s="25"/>
      <c r="AB271" s="25"/>
      <c r="AC271" s="25"/>
      <c r="AD271" s="178"/>
    </row>
    <row r="272" spans="18:30" x14ac:dyDescent="0.25">
      <c r="R272" s="25"/>
      <c r="S272" s="25"/>
      <c r="T272" s="25"/>
      <c r="U272" s="25"/>
      <c r="V272" s="25"/>
      <c r="W272" s="25"/>
      <c r="X272" s="25"/>
      <c r="Y272" s="25"/>
      <c r="Z272" s="25"/>
      <c r="AA272" s="25"/>
      <c r="AB272" s="25"/>
      <c r="AC272" s="25"/>
      <c r="AD272" s="178"/>
    </row>
    <row r="273" spans="18:30" x14ac:dyDescent="0.25">
      <c r="R273" s="25"/>
      <c r="S273" s="25"/>
      <c r="T273" s="25"/>
      <c r="U273" s="25"/>
      <c r="V273" s="25"/>
      <c r="W273" s="25"/>
      <c r="X273" s="25"/>
      <c r="Y273" s="25"/>
      <c r="Z273" s="25"/>
      <c r="AA273" s="25"/>
      <c r="AB273" s="25"/>
      <c r="AC273" s="25"/>
      <c r="AD273" s="178"/>
    </row>
    <row r="274" spans="18:30" x14ac:dyDescent="0.25">
      <c r="R274" s="25"/>
      <c r="S274" s="25"/>
      <c r="T274" s="25"/>
      <c r="U274" s="25"/>
      <c r="V274" s="25"/>
      <c r="W274" s="25"/>
      <c r="X274" s="25"/>
      <c r="Y274" s="25"/>
      <c r="Z274" s="25"/>
      <c r="AA274" s="25"/>
      <c r="AB274" s="25"/>
      <c r="AC274" s="25"/>
      <c r="AD274" s="178"/>
    </row>
    <row r="275" spans="18:30" x14ac:dyDescent="0.25">
      <c r="R275" s="25"/>
      <c r="S275" s="25"/>
      <c r="T275" s="25"/>
      <c r="U275" s="25"/>
      <c r="V275" s="25"/>
      <c r="W275" s="25"/>
      <c r="X275" s="25"/>
      <c r="Y275" s="25"/>
      <c r="Z275" s="25"/>
      <c r="AA275" s="25"/>
      <c r="AB275" s="25"/>
      <c r="AC275" s="25"/>
      <c r="AD275" s="178"/>
    </row>
    <row r="276" spans="18:30" x14ac:dyDescent="0.25">
      <c r="R276" s="25"/>
      <c r="S276" s="25"/>
      <c r="T276" s="25"/>
      <c r="U276" s="25"/>
      <c r="V276" s="25"/>
      <c r="W276" s="25"/>
      <c r="X276" s="25"/>
      <c r="Y276" s="25"/>
      <c r="Z276" s="25"/>
      <c r="AA276" s="25"/>
      <c r="AB276" s="25"/>
      <c r="AC276" s="25"/>
      <c r="AD276" s="178"/>
    </row>
    <row r="277" spans="18:30" x14ac:dyDescent="0.25">
      <c r="R277" s="25"/>
      <c r="S277" s="25"/>
      <c r="T277" s="25"/>
      <c r="U277" s="25"/>
      <c r="V277" s="25"/>
      <c r="W277" s="25"/>
      <c r="X277" s="25"/>
      <c r="Y277" s="25"/>
      <c r="Z277" s="25"/>
      <c r="AA277" s="25"/>
      <c r="AB277" s="25"/>
      <c r="AC277" s="25"/>
      <c r="AD277" s="178"/>
    </row>
    <row r="278" spans="18:30" x14ac:dyDescent="0.25">
      <c r="R278" s="25"/>
      <c r="S278" s="25"/>
      <c r="T278" s="25"/>
      <c r="U278" s="25"/>
      <c r="V278" s="25"/>
      <c r="W278" s="25"/>
      <c r="X278" s="25"/>
      <c r="Y278" s="25"/>
      <c r="Z278" s="25"/>
      <c r="AA278" s="25"/>
      <c r="AB278" s="25"/>
      <c r="AC278" s="25"/>
      <c r="AD278" s="178"/>
    </row>
    <row r="279" spans="18:30" x14ac:dyDescent="0.25">
      <c r="R279" s="25"/>
      <c r="S279" s="25"/>
      <c r="T279" s="25"/>
      <c r="U279" s="25"/>
      <c r="V279" s="25"/>
      <c r="W279" s="25"/>
      <c r="X279" s="25"/>
      <c r="Y279" s="25"/>
      <c r="Z279" s="25"/>
      <c r="AA279" s="25"/>
      <c r="AB279" s="25"/>
      <c r="AC279" s="25"/>
      <c r="AD279" s="178"/>
    </row>
    <row r="280" spans="18:30" x14ac:dyDescent="0.25">
      <c r="R280" s="25"/>
      <c r="S280" s="25"/>
      <c r="T280" s="25"/>
      <c r="U280" s="25"/>
      <c r="V280" s="25"/>
      <c r="W280" s="25"/>
      <c r="X280" s="25"/>
      <c r="Y280" s="25"/>
      <c r="Z280" s="25"/>
      <c r="AA280" s="25"/>
      <c r="AB280" s="25"/>
      <c r="AC280" s="25"/>
      <c r="AD280" s="178"/>
    </row>
    <row r="281" spans="18:30" x14ac:dyDescent="0.25">
      <c r="R281" s="25"/>
      <c r="S281" s="25"/>
      <c r="T281" s="25"/>
      <c r="U281" s="25"/>
      <c r="V281" s="25"/>
      <c r="W281" s="25"/>
      <c r="X281" s="25"/>
      <c r="Y281" s="25"/>
      <c r="Z281" s="25"/>
      <c r="AA281" s="25"/>
      <c r="AB281" s="25"/>
      <c r="AC281" s="25"/>
      <c r="AD281" s="178"/>
    </row>
    <row r="282" spans="18:30" x14ac:dyDescent="0.25">
      <c r="R282" s="25"/>
      <c r="S282" s="25"/>
      <c r="T282" s="25"/>
      <c r="U282" s="25"/>
      <c r="V282" s="25"/>
      <c r="W282" s="25"/>
      <c r="X282" s="25"/>
      <c r="Y282" s="25"/>
      <c r="Z282" s="25"/>
      <c r="AA282" s="25"/>
      <c r="AB282" s="25"/>
      <c r="AC282" s="25"/>
      <c r="AD282" s="178"/>
    </row>
    <row r="283" spans="18:30" x14ac:dyDescent="0.25">
      <c r="R283" s="25"/>
      <c r="S283" s="25"/>
      <c r="T283" s="25"/>
      <c r="U283" s="25"/>
      <c r="V283" s="25"/>
      <c r="W283" s="25"/>
      <c r="X283" s="25"/>
      <c r="Y283" s="25"/>
      <c r="Z283" s="25"/>
      <c r="AA283" s="25"/>
      <c r="AB283" s="25"/>
      <c r="AC283" s="25"/>
      <c r="AD283" s="178"/>
    </row>
    <row r="284" spans="18:30" x14ac:dyDescent="0.25">
      <c r="R284" s="25"/>
      <c r="S284" s="25"/>
      <c r="T284" s="25"/>
      <c r="U284" s="25"/>
      <c r="V284" s="25"/>
      <c r="W284" s="25"/>
      <c r="X284" s="25"/>
      <c r="Y284" s="25"/>
      <c r="Z284" s="25"/>
      <c r="AA284" s="25"/>
      <c r="AB284" s="25"/>
      <c r="AC284" s="25"/>
      <c r="AD284" s="178"/>
    </row>
    <row r="285" spans="18:30" x14ac:dyDescent="0.25">
      <c r="R285" s="25"/>
      <c r="S285" s="25"/>
      <c r="T285" s="25"/>
      <c r="U285" s="25"/>
      <c r="V285" s="25"/>
      <c r="W285" s="25"/>
      <c r="X285" s="25"/>
      <c r="Y285" s="25"/>
      <c r="Z285" s="25"/>
      <c r="AA285" s="25"/>
      <c r="AB285" s="25"/>
      <c r="AC285" s="25"/>
      <c r="AD285" s="178"/>
    </row>
    <row r="286" spans="18:30" x14ac:dyDescent="0.25">
      <c r="R286" s="25"/>
      <c r="S286" s="25"/>
      <c r="T286" s="25"/>
      <c r="U286" s="25"/>
      <c r="V286" s="25"/>
      <c r="W286" s="25"/>
      <c r="X286" s="25"/>
      <c r="Y286" s="25"/>
      <c r="Z286" s="25"/>
      <c r="AA286" s="25"/>
      <c r="AB286" s="25"/>
      <c r="AC286" s="25"/>
      <c r="AD286" s="178"/>
    </row>
    <row r="287" spans="18:30" x14ac:dyDescent="0.25">
      <c r="R287" s="25"/>
      <c r="S287" s="25"/>
      <c r="T287" s="25"/>
      <c r="U287" s="25"/>
      <c r="V287" s="25"/>
      <c r="W287" s="25"/>
      <c r="X287" s="25"/>
      <c r="Y287" s="25"/>
      <c r="Z287" s="25"/>
      <c r="AA287" s="25"/>
      <c r="AB287" s="25"/>
      <c r="AC287" s="25"/>
      <c r="AD287" s="178"/>
    </row>
    <row r="288" spans="18:30" x14ac:dyDescent="0.25">
      <c r="R288" s="25"/>
      <c r="S288" s="25"/>
      <c r="T288" s="25"/>
      <c r="U288" s="25"/>
      <c r="V288" s="25"/>
      <c r="W288" s="25"/>
      <c r="X288" s="25"/>
      <c r="Y288" s="25"/>
      <c r="Z288" s="25"/>
      <c r="AA288" s="25"/>
      <c r="AB288" s="25"/>
      <c r="AC288" s="25"/>
      <c r="AD288" s="178"/>
    </row>
    <row r="289" spans="18:30" x14ac:dyDescent="0.25">
      <c r="R289" s="25"/>
      <c r="S289" s="25"/>
      <c r="T289" s="25"/>
      <c r="U289" s="25"/>
      <c r="V289" s="25"/>
      <c r="W289" s="25"/>
      <c r="X289" s="25"/>
      <c r="Y289" s="25"/>
      <c r="Z289" s="25"/>
      <c r="AA289" s="25"/>
      <c r="AB289" s="25"/>
      <c r="AC289" s="25"/>
      <c r="AD289" s="178"/>
    </row>
    <row r="290" spans="18:30" x14ac:dyDescent="0.25">
      <c r="R290" s="25"/>
      <c r="S290" s="25"/>
      <c r="T290" s="25"/>
      <c r="U290" s="25"/>
      <c r="V290" s="25"/>
      <c r="W290" s="25"/>
      <c r="X290" s="25"/>
      <c r="Y290" s="25"/>
      <c r="Z290" s="25"/>
      <c r="AA290" s="25"/>
      <c r="AB290" s="25"/>
      <c r="AC290" s="25"/>
      <c r="AD290" s="178"/>
    </row>
    <row r="291" spans="18:30" x14ac:dyDescent="0.25">
      <c r="R291" s="25"/>
      <c r="S291" s="25"/>
      <c r="T291" s="25"/>
      <c r="U291" s="25"/>
      <c r="V291" s="25"/>
      <c r="W291" s="25"/>
      <c r="X291" s="25"/>
      <c r="Y291" s="25"/>
      <c r="Z291" s="25"/>
      <c r="AA291" s="25"/>
      <c r="AB291" s="25"/>
      <c r="AC291" s="25"/>
      <c r="AD291" s="178"/>
    </row>
    <row r="292" spans="18:30" x14ac:dyDescent="0.25">
      <c r="R292" s="25"/>
      <c r="S292" s="25"/>
      <c r="T292" s="25"/>
      <c r="U292" s="25"/>
      <c r="V292" s="25"/>
      <c r="W292" s="25"/>
      <c r="X292" s="25"/>
      <c r="Y292" s="25"/>
      <c r="Z292" s="25"/>
      <c r="AA292" s="25"/>
      <c r="AB292" s="25"/>
      <c r="AC292" s="25"/>
      <c r="AD292" s="178"/>
    </row>
    <row r="293" spans="18:30" x14ac:dyDescent="0.25">
      <c r="R293" s="25"/>
      <c r="S293" s="25"/>
      <c r="T293" s="25"/>
      <c r="U293" s="25"/>
      <c r="V293" s="25"/>
      <c r="W293" s="25"/>
      <c r="X293" s="25"/>
      <c r="Y293" s="25"/>
      <c r="Z293" s="25"/>
      <c r="AA293" s="25"/>
      <c r="AB293" s="25"/>
      <c r="AC293" s="25"/>
      <c r="AD293" s="178"/>
    </row>
    <row r="294" spans="18:30" x14ac:dyDescent="0.25">
      <c r="R294" s="25"/>
      <c r="S294" s="25"/>
      <c r="T294" s="25"/>
      <c r="U294" s="25"/>
      <c r="V294" s="25"/>
      <c r="W294" s="25"/>
      <c r="X294" s="25"/>
      <c r="Y294" s="25"/>
      <c r="Z294" s="25"/>
      <c r="AA294" s="25"/>
      <c r="AB294" s="25"/>
      <c r="AC294" s="25"/>
      <c r="AD294" s="178"/>
    </row>
    <row r="295" spans="18:30" x14ac:dyDescent="0.25">
      <c r="R295" s="25"/>
      <c r="S295" s="25"/>
      <c r="T295" s="25"/>
      <c r="U295" s="25"/>
      <c r="V295" s="25"/>
      <c r="W295" s="25"/>
      <c r="X295" s="25"/>
      <c r="Y295" s="25"/>
      <c r="Z295" s="25"/>
      <c r="AA295" s="25"/>
      <c r="AB295" s="25"/>
      <c r="AC295" s="25"/>
      <c r="AD295" s="178"/>
    </row>
    <row r="296" spans="18:30" x14ac:dyDescent="0.25">
      <c r="R296" s="25"/>
      <c r="S296" s="25"/>
      <c r="T296" s="25"/>
      <c r="U296" s="25"/>
      <c r="V296" s="25"/>
      <c r="W296" s="25"/>
      <c r="X296" s="25"/>
      <c r="Y296" s="25"/>
      <c r="Z296" s="25"/>
      <c r="AA296" s="25"/>
      <c r="AB296" s="25"/>
      <c r="AC296" s="25"/>
      <c r="AD296" s="178"/>
    </row>
    <row r="297" spans="18:30" x14ac:dyDescent="0.25">
      <c r="R297" s="25"/>
      <c r="S297" s="25"/>
      <c r="T297" s="25"/>
      <c r="U297" s="25"/>
      <c r="V297" s="25"/>
      <c r="W297" s="25"/>
      <c r="X297" s="25"/>
      <c r="Y297" s="25"/>
      <c r="Z297" s="25"/>
      <c r="AA297" s="25"/>
      <c r="AB297" s="25"/>
      <c r="AC297" s="25"/>
      <c r="AD297" s="178"/>
    </row>
    <row r="298" spans="18:30" x14ac:dyDescent="0.25">
      <c r="R298" s="25"/>
      <c r="S298" s="25"/>
      <c r="T298" s="25"/>
      <c r="U298" s="25"/>
      <c r="V298" s="25"/>
      <c r="W298" s="25"/>
      <c r="X298" s="25"/>
      <c r="Y298" s="25"/>
      <c r="Z298" s="25"/>
      <c r="AA298" s="25"/>
      <c r="AB298" s="25"/>
      <c r="AC298" s="25"/>
      <c r="AD298" s="178"/>
    </row>
    <row r="299" spans="18:30" x14ac:dyDescent="0.25">
      <c r="R299" s="25"/>
      <c r="S299" s="25"/>
      <c r="T299" s="25"/>
      <c r="U299" s="25"/>
      <c r="V299" s="25"/>
      <c r="W299" s="25"/>
      <c r="X299" s="25"/>
      <c r="Y299" s="25"/>
      <c r="Z299" s="25"/>
      <c r="AA299" s="25"/>
      <c r="AB299" s="25"/>
      <c r="AC299" s="25"/>
      <c r="AD299" s="178"/>
    </row>
    <row r="300" spans="18:30" x14ac:dyDescent="0.25">
      <c r="R300" s="25"/>
      <c r="S300" s="25"/>
      <c r="T300" s="25"/>
      <c r="U300" s="25"/>
      <c r="V300" s="25"/>
      <c r="W300" s="25"/>
      <c r="X300" s="25"/>
      <c r="Y300" s="25"/>
      <c r="Z300" s="25"/>
      <c r="AA300" s="25"/>
      <c r="AB300" s="25"/>
      <c r="AC300" s="25"/>
      <c r="AD300" s="178"/>
    </row>
    <row r="301" spans="18:30" x14ac:dyDescent="0.25">
      <c r="R301" s="25"/>
      <c r="S301" s="25"/>
      <c r="T301" s="25"/>
      <c r="U301" s="25"/>
      <c r="V301" s="25"/>
      <c r="W301" s="25"/>
      <c r="X301" s="25"/>
      <c r="Y301" s="25"/>
      <c r="Z301" s="25"/>
      <c r="AA301" s="25"/>
      <c r="AB301" s="25"/>
      <c r="AC301" s="25"/>
      <c r="AD301" s="178"/>
    </row>
    <row r="302" spans="18:30" x14ac:dyDescent="0.25">
      <c r="R302" s="25"/>
      <c r="S302" s="25"/>
      <c r="T302" s="25"/>
      <c r="U302" s="25"/>
      <c r="V302" s="25"/>
      <c r="W302" s="25"/>
      <c r="X302" s="25"/>
      <c r="Y302" s="25"/>
      <c r="Z302" s="25"/>
      <c r="AA302" s="25"/>
      <c r="AB302" s="25"/>
      <c r="AC302" s="25"/>
      <c r="AD302" s="178"/>
    </row>
    <row r="303" spans="18:30" x14ac:dyDescent="0.25">
      <c r="R303" s="25"/>
      <c r="S303" s="25"/>
      <c r="T303" s="25"/>
      <c r="U303" s="25"/>
      <c r="V303" s="25"/>
      <c r="W303" s="25"/>
      <c r="X303" s="25"/>
      <c r="Y303" s="25"/>
      <c r="Z303" s="25"/>
      <c r="AA303" s="25"/>
      <c r="AB303" s="25"/>
      <c r="AC303" s="25"/>
      <c r="AD303" s="178"/>
    </row>
    <row r="304" spans="18:30" x14ac:dyDescent="0.25">
      <c r="R304" s="25"/>
      <c r="S304" s="25"/>
      <c r="T304" s="25"/>
      <c r="U304" s="25"/>
      <c r="V304" s="25"/>
      <c r="W304" s="25"/>
      <c r="X304" s="25"/>
      <c r="Y304" s="25"/>
      <c r="Z304" s="25"/>
      <c r="AA304" s="25"/>
      <c r="AB304" s="25"/>
      <c r="AC304" s="25"/>
      <c r="AD304" s="178"/>
    </row>
    <row r="305" spans="18:30" x14ac:dyDescent="0.25">
      <c r="R305" s="25"/>
      <c r="S305" s="25"/>
      <c r="T305" s="25"/>
      <c r="U305" s="25"/>
      <c r="V305" s="25"/>
      <c r="W305" s="25"/>
      <c r="X305" s="25"/>
      <c r="Y305" s="25"/>
      <c r="Z305" s="25"/>
      <c r="AA305" s="25"/>
      <c r="AB305" s="25"/>
      <c r="AC305" s="25"/>
      <c r="AD305" s="178"/>
    </row>
    <row r="306" spans="18:30" x14ac:dyDescent="0.25">
      <c r="R306" s="25"/>
      <c r="S306" s="25"/>
      <c r="T306" s="25"/>
      <c r="U306" s="25"/>
      <c r="V306" s="25"/>
      <c r="W306" s="25"/>
      <c r="X306" s="25"/>
      <c r="Y306" s="25"/>
      <c r="Z306" s="25"/>
      <c r="AA306" s="25"/>
      <c r="AB306" s="25"/>
      <c r="AC306" s="25"/>
      <c r="AD306" s="178"/>
    </row>
    <row r="307" spans="18:30" x14ac:dyDescent="0.25">
      <c r="R307" s="25"/>
      <c r="S307" s="25"/>
      <c r="T307" s="25"/>
      <c r="U307" s="25"/>
      <c r="V307" s="25"/>
      <c r="W307" s="25"/>
      <c r="X307" s="25"/>
      <c r="Y307" s="25"/>
      <c r="Z307" s="25"/>
      <c r="AA307" s="25"/>
      <c r="AB307" s="25"/>
      <c r="AC307" s="25"/>
      <c r="AD307" s="178"/>
    </row>
    <row r="308" spans="18:30" x14ac:dyDescent="0.25">
      <c r="R308" s="25"/>
      <c r="S308" s="25"/>
      <c r="T308" s="25"/>
      <c r="U308" s="25"/>
      <c r="V308" s="25"/>
      <c r="W308" s="25"/>
      <c r="X308" s="25"/>
      <c r="Y308" s="25"/>
      <c r="Z308" s="25"/>
      <c r="AA308" s="25"/>
      <c r="AB308" s="25"/>
      <c r="AC308" s="25"/>
      <c r="AD308" s="178"/>
    </row>
    <row r="309" spans="18:30" x14ac:dyDescent="0.25">
      <c r="R309" s="25"/>
      <c r="S309" s="25"/>
      <c r="T309" s="25"/>
      <c r="U309" s="25"/>
      <c r="V309" s="25"/>
      <c r="W309" s="25"/>
      <c r="X309" s="25"/>
      <c r="Y309" s="25"/>
      <c r="Z309" s="25"/>
      <c r="AA309" s="25"/>
      <c r="AB309" s="25"/>
      <c r="AC309" s="25"/>
      <c r="AD309" s="178"/>
    </row>
    <row r="310" spans="18:30" x14ac:dyDescent="0.25">
      <c r="R310" s="25"/>
      <c r="S310" s="25"/>
      <c r="T310" s="25"/>
      <c r="U310" s="25"/>
      <c r="V310" s="25"/>
      <c r="W310" s="25"/>
      <c r="X310" s="25"/>
      <c r="Y310" s="25"/>
      <c r="Z310" s="25"/>
      <c r="AA310" s="25"/>
      <c r="AB310" s="25"/>
      <c r="AC310" s="25"/>
      <c r="AD310" s="178"/>
    </row>
    <row r="311" spans="18:30" x14ac:dyDescent="0.25">
      <c r="R311" s="25"/>
      <c r="S311" s="25"/>
      <c r="T311" s="25"/>
      <c r="U311" s="25"/>
      <c r="V311" s="25"/>
      <c r="W311" s="25"/>
      <c r="X311" s="25"/>
      <c r="Y311" s="25"/>
      <c r="Z311" s="25"/>
      <c r="AA311" s="25"/>
      <c r="AB311" s="25"/>
      <c r="AC311" s="25"/>
      <c r="AD311" s="178"/>
    </row>
    <row r="312" spans="18:30" x14ac:dyDescent="0.25">
      <c r="R312" s="25"/>
      <c r="S312" s="25"/>
      <c r="T312" s="25"/>
      <c r="U312" s="25"/>
      <c r="V312" s="25"/>
      <c r="W312" s="25"/>
      <c r="X312" s="25"/>
      <c r="Y312" s="25"/>
      <c r="Z312" s="25"/>
      <c r="AA312" s="25"/>
      <c r="AB312" s="25"/>
      <c r="AC312" s="25"/>
      <c r="AD312" s="178"/>
    </row>
    <row r="313" spans="18:30" x14ac:dyDescent="0.25">
      <c r="R313" s="25"/>
      <c r="S313" s="25"/>
      <c r="T313" s="25"/>
      <c r="U313" s="25"/>
      <c r="V313" s="25"/>
      <c r="W313" s="25"/>
      <c r="X313" s="25"/>
      <c r="Y313" s="25"/>
      <c r="Z313" s="25"/>
      <c r="AA313" s="25"/>
      <c r="AB313" s="25"/>
      <c r="AC313" s="25"/>
      <c r="AD313" s="178"/>
    </row>
    <row r="314" spans="18:30" x14ac:dyDescent="0.25">
      <c r="R314" s="25"/>
      <c r="S314" s="25"/>
      <c r="T314" s="25"/>
      <c r="U314" s="25"/>
      <c r="V314" s="25"/>
      <c r="W314" s="25"/>
      <c r="X314" s="25"/>
      <c r="Y314" s="25"/>
      <c r="Z314" s="25"/>
      <c r="AA314" s="25"/>
      <c r="AB314" s="25"/>
      <c r="AC314" s="25"/>
      <c r="AD314" s="178"/>
    </row>
    <row r="315" spans="18:30" x14ac:dyDescent="0.25">
      <c r="R315" s="25"/>
      <c r="S315" s="25"/>
      <c r="T315" s="25"/>
      <c r="U315" s="25"/>
      <c r="V315" s="25"/>
      <c r="W315" s="25"/>
      <c r="X315" s="25"/>
      <c r="Y315" s="25"/>
      <c r="Z315" s="25"/>
      <c r="AA315" s="25"/>
      <c r="AB315" s="25"/>
      <c r="AC315" s="25"/>
      <c r="AD315" s="178"/>
    </row>
    <row r="316" spans="18:30" x14ac:dyDescent="0.25">
      <c r="R316" s="25"/>
      <c r="S316" s="25"/>
      <c r="T316" s="25"/>
      <c r="U316" s="25"/>
      <c r="V316" s="25"/>
      <c r="W316" s="25"/>
      <c r="X316" s="25"/>
      <c r="Y316" s="25"/>
      <c r="Z316" s="25"/>
      <c r="AA316" s="25"/>
      <c r="AB316" s="25"/>
      <c r="AC316" s="25"/>
      <c r="AD316" s="178"/>
    </row>
    <row r="317" spans="18:30" x14ac:dyDescent="0.25">
      <c r="R317" s="25"/>
      <c r="S317" s="25"/>
      <c r="T317" s="25"/>
      <c r="U317" s="25"/>
      <c r="V317" s="25"/>
      <c r="W317" s="25"/>
      <c r="X317" s="25"/>
      <c r="Y317" s="25"/>
      <c r="Z317" s="25"/>
      <c r="AA317" s="25"/>
      <c r="AB317" s="25"/>
      <c r="AC317" s="25"/>
      <c r="AD317" s="178"/>
    </row>
    <row r="318" spans="18:30" x14ac:dyDescent="0.25">
      <c r="R318" s="25"/>
      <c r="S318" s="25"/>
      <c r="T318" s="25"/>
      <c r="U318" s="25"/>
      <c r="V318" s="25"/>
      <c r="W318" s="25"/>
      <c r="X318" s="25"/>
      <c r="Y318" s="25"/>
      <c r="Z318" s="25"/>
      <c r="AA318" s="25"/>
      <c r="AB318" s="25"/>
      <c r="AC318" s="25"/>
      <c r="AD318" s="178"/>
    </row>
    <row r="319" spans="18:30" x14ac:dyDescent="0.25">
      <c r="R319" s="25"/>
      <c r="S319" s="25"/>
      <c r="T319" s="25"/>
      <c r="U319" s="25"/>
      <c r="V319" s="25"/>
      <c r="W319" s="25"/>
      <c r="X319" s="25"/>
      <c r="Y319" s="25"/>
      <c r="Z319" s="25"/>
      <c r="AA319" s="25"/>
      <c r="AB319" s="25"/>
      <c r="AC319" s="25"/>
      <c r="AD319" s="178"/>
    </row>
    <row r="320" spans="18:30" x14ac:dyDescent="0.25">
      <c r="R320" s="25"/>
      <c r="S320" s="25"/>
      <c r="T320" s="25"/>
      <c r="U320" s="25"/>
      <c r="V320" s="25"/>
      <c r="W320" s="25"/>
      <c r="X320" s="25"/>
      <c r="Y320" s="25"/>
      <c r="Z320" s="25"/>
      <c r="AA320" s="25"/>
      <c r="AB320" s="25"/>
      <c r="AC320" s="25"/>
      <c r="AD320" s="178"/>
    </row>
    <row r="321" spans="18:30" x14ac:dyDescent="0.25">
      <c r="R321" s="25"/>
      <c r="S321" s="25"/>
      <c r="T321" s="25"/>
      <c r="U321" s="25"/>
      <c r="V321" s="25"/>
      <c r="W321" s="25"/>
      <c r="X321" s="25"/>
      <c r="Y321" s="25"/>
      <c r="Z321" s="25"/>
      <c r="AA321" s="25"/>
      <c r="AB321" s="25"/>
      <c r="AC321" s="25"/>
      <c r="AD321" s="178"/>
    </row>
    <row r="322" spans="18:30" x14ac:dyDescent="0.25">
      <c r="R322" s="25"/>
      <c r="S322" s="25"/>
      <c r="T322" s="25"/>
      <c r="U322" s="25"/>
      <c r="V322" s="25"/>
      <c r="W322" s="25"/>
      <c r="X322" s="25"/>
      <c r="Y322" s="25"/>
      <c r="Z322" s="25"/>
      <c r="AA322" s="25"/>
      <c r="AB322" s="25"/>
      <c r="AC322" s="25"/>
      <c r="AD322" s="178"/>
    </row>
    <row r="323" spans="18:30" x14ac:dyDescent="0.25">
      <c r="R323" s="25"/>
      <c r="S323" s="25"/>
      <c r="T323" s="25"/>
      <c r="U323" s="25"/>
      <c r="V323" s="25"/>
      <c r="W323" s="25"/>
      <c r="X323" s="25"/>
      <c r="Y323" s="25"/>
      <c r="Z323" s="25"/>
      <c r="AA323" s="25"/>
      <c r="AB323" s="25"/>
      <c r="AC323" s="25"/>
      <c r="AD323" s="178"/>
    </row>
    <row r="324" spans="18:30" x14ac:dyDescent="0.25">
      <c r="R324" s="25"/>
      <c r="S324" s="25"/>
      <c r="T324" s="25"/>
      <c r="U324" s="25"/>
      <c r="V324" s="25"/>
      <c r="W324" s="25"/>
      <c r="X324" s="25"/>
      <c r="Y324" s="25"/>
      <c r="Z324" s="25"/>
      <c r="AA324" s="25"/>
      <c r="AB324" s="25"/>
      <c r="AC324" s="25"/>
      <c r="AD324" s="178"/>
    </row>
    <row r="325" spans="18:30" x14ac:dyDescent="0.25">
      <c r="R325" s="25"/>
      <c r="S325" s="25"/>
      <c r="T325" s="25"/>
      <c r="U325" s="25"/>
      <c r="V325" s="25"/>
      <c r="W325" s="25"/>
      <c r="X325" s="25"/>
      <c r="Y325" s="25"/>
      <c r="Z325" s="25"/>
      <c r="AA325" s="25"/>
      <c r="AB325" s="25"/>
      <c r="AC325" s="25"/>
      <c r="AD325" s="178"/>
    </row>
    <row r="326" spans="18:30" x14ac:dyDescent="0.25">
      <c r="R326" s="25"/>
      <c r="S326" s="25"/>
      <c r="T326" s="25"/>
      <c r="U326" s="25"/>
      <c r="V326" s="25"/>
      <c r="W326" s="25"/>
      <c r="X326" s="25"/>
      <c r="Y326" s="25"/>
      <c r="Z326" s="25"/>
      <c r="AA326" s="25"/>
      <c r="AB326" s="25"/>
      <c r="AC326" s="25"/>
      <c r="AD326" s="178"/>
    </row>
    <row r="327" spans="18:30" x14ac:dyDescent="0.25">
      <c r="R327" s="25"/>
      <c r="S327" s="25"/>
      <c r="T327" s="25"/>
      <c r="U327" s="25"/>
      <c r="V327" s="25"/>
      <c r="W327" s="25"/>
      <c r="X327" s="25"/>
      <c r="Y327" s="25"/>
      <c r="Z327" s="25"/>
      <c r="AA327" s="25"/>
      <c r="AB327" s="25"/>
      <c r="AC327" s="25"/>
      <c r="AD327" s="178"/>
    </row>
    <row r="328" spans="18:30" x14ac:dyDescent="0.25">
      <c r="R328" s="25"/>
      <c r="S328" s="25"/>
      <c r="T328" s="25"/>
      <c r="U328" s="25"/>
      <c r="V328" s="25"/>
      <c r="W328" s="25"/>
      <c r="X328" s="25"/>
      <c r="Y328" s="25"/>
      <c r="Z328" s="25"/>
      <c r="AA328" s="25"/>
      <c r="AB328" s="25"/>
      <c r="AC328" s="25"/>
      <c r="AD328" s="178"/>
    </row>
    <row r="329" spans="18:30" x14ac:dyDescent="0.25">
      <c r="R329" s="25"/>
      <c r="S329" s="25"/>
      <c r="T329" s="25"/>
      <c r="U329" s="25"/>
      <c r="V329" s="25"/>
      <c r="W329" s="25"/>
      <c r="X329" s="25"/>
      <c r="Y329" s="25"/>
      <c r="Z329" s="25"/>
      <c r="AA329" s="25"/>
      <c r="AB329" s="25"/>
      <c r="AC329" s="25"/>
      <c r="AD329" s="178"/>
    </row>
    <row r="330" spans="18:30" x14ac:dyDescent="0.25">
      <c r="R330" s="25"/>
      <c r="S330" s="25"/>
      <c r="T330" s="25"/>
      <c r="U330" s="25"/>
      <c r="V330" s="25"/>
      <c r="W330" s="25"/>
      <c r="X330" s="25"/>
      <c r="Y330" s="25"/>
      <c r="Z330" s="25"/>
      <c r="AA330" s="25"/>
      <c r="AB330" s="25"/>
      <c r="AC330" s="25"/>
      <c r="AD330" s="178"/>
    </row>
    <row r="331" spans="18:30" x14ac:dyDescent="0.25">
      <c r="R331" s="25"/>
      <c r="S331" s="25"/>
      <c r="T331" s="25"/>
      <c r="U331" s="25"/>
      <c r="V331" s="25"/>
      <c r="W331" s="25"/>
      <c r="X331" s="25"/>
      <c r="Y331" s="25"/>
      <c r="Z331" s="25"/>
      <c r="AA331" s="25"/>
      <c r="AB331" s="25"/>
      <c r="AC331" s="25"/>
      <c r="AD331" s="178"/>
    </row>
    <row r="332" spans="18:30" x14ac:dyDescent="0.25">
      <c r="R332" s="25"/>
      <c r="S332" s="25"/>
      <c r="T332" s="25"/>
      <c r="U332" s="25"/>
      <c r="V332" s="25"/>
      <c r="W332" s="25"/>
      <c r="X332" s="25"/>
      <c r="Y332" s="25"/>
      <c r="Z332" s="25"/>
      <c r="AA332" s="25"/>
      <c r="AB332" s="25"/>
      <c r="AC332" s="25"/>
      <c r="AD332" s="178"/>
    </row>
    <row r="333" spans="18:30" x14ac:dyDescent="0.25">
      <c r="R333" s="25"/>
      <c r="S333" s="25"/>
      <c r="T333" s="25"/>
      <c r="U333" s="25"/>
      <c r="V333" s="25"/>
      <c r="W333" s="25"/>
      <c r="X333" s="25"/>
      <c r="Y333" s="25"/>
      <c r="Z333" s="25"/>
      <c r="AA333" s="25"/>
      <c r="AB333" s="25"/>
      <c r="AC333" s="25"/>
      <c r="AD333" s="178"/>
    </row>
    <row r="334" spans="18:30" x14ac:dyDescent="0.25">
      <c r="R334" s="25"/>
      <c r="S334" s="25"/>
      <c r="T334" s="25"/>
      <c r="U334" s="25"/>
      <c r="V334" s="25"/>
      <c r="W334" s="25"/>
      <c r="X334" s="25"/>
      <c r="Y334" s="25"/>
      <c r="Z334" s="25"/>
      <c r="AA334" s="25"/>
      <c r="AB334" s="25"/>
      <c r="AC334" s="25"/>
      <c r="AD334" s="178"/>
    </row>
    <row r="335" spans="18:30" x14ac:dyDescent="0.25">
      <c r="R335" s="25"/>
      <c r="S335" s="25"/>
      <c r="T335" s="25"/>
      <c r="U335" s="25"/>
      <c r="V335" s="25"/>
      <c r="W335" s="25"/>
      <c r="X335" s="25"/>
      <c r="Y335" s="25"/>
      <c r="Z335" s="25"/>
      <c r="AA335" s="25"/>
      <c r="AB335" s="25"/>
      <c r="AC335" s="25"/>
      <c r="AD335" s="178"/>
    </row>
    <row r="336" spans="18:30" x14ac:dyDescent="0.25">
      <c r="R336" s="25"/>
      <c r="S336" s="25"/>
      <c r="T336" s="25"/>
      <c r="U336" s="25"/>
      <c r="V336" s="25"/>
      <c r="W336" s="25"/>
      <c r="X336" s="25"/>
      <c r="Y336" s="25"/>
      <c r="Z336" s="25"/>
      <c r="AA336" s="25"/>
      <c r="AB336" s="25"/>
      <c r="AC336" s="25"/>
      <c r="AD336" s="178"/>
    </row>
    <row r="337" spans="18:30" x14ac:dyDescent="0.25">
      <c r="R337" s="25"/>
      <c r="S337" s="25"/>
      <c r="T337" s="25"/>
      <c r="U337" s="25"/>
      <c r="V337" s="25"/>
      <c r="W337" s="25"/>
      <c r="X337" s="25"/>
      <c r="Y337" s="25"/>
      <c r="Z337" s="25"/>
      <c r="AA337" s="25"/>
      <c r="AB337" s="25"/>
      <c r="AC337" s="25"/>
      <c r="AD337" s="178"/>
    </row>
    <row r="338" spans="18:30" x14ac:dyDescent="0.25">
      <c r="R338" s="25"/>
      <c r="S338" s="25"/>
      <c r="T338" s="25"/>
      <c r="U338" s="25"/>
      <c r="V338" s="25"/>
      <c r="W338" s="25"/>
      <c r="X338" s="25"/>
      <c r="Y338" s="25"/>
      <c r="Z338" s="25"/>
      <c r="AA338" s="25"/>
      <c r="AB338" s="25"/>
      <c r="AC338" s="25"/>
      <c r="AD338" s="178"/>
    </row>
    <row r="339" spans="18:30" x14ac:dyDescent="0.25">
      <c r="R339" s="25"/>
      <c r="S339" s="25"/>
      <c r="T339" s="25"/>
      <c r="U339" s="25"/>
      <c r="V339" s="25"/>
      <c r="W339" s="25"/>
      <c r="X339" s="25"/>
      <c r="Y339" s="25"/>
      <c r="Z339" s="25"/>
      <c r="AA339" s="25"/>
      <c r="AB339" s="25"/>
      <c r="AC339" s="25"/>
      <c r="AD339" s="178"/>
    </row>
    <row r="340" spans="18:30" x14ac:dyDescent="0.25">
      <c r="R340" s="25"/>
      <c r="S340" s="25"/>
      <c r="T340" s="25"/>
      <c r="U340" s="25"/>
      <c r="V340" s="25"/>
      <c r="W340" s="25"/>
      <c r="X340" s="25"/>
      <c r="Y340" s="25"/>
      <c r="Z340" s="25"/>
      <c r="AA340" s="25"/>
      <c r="AB340" s="25"/>
      <c r="AC340" s="25"/>
      <c r="AD340" s="178"/>
    </row>
    <row r="341" spans="18:30" x14ac:dyDescent="0.25">
      <c r="R341" s="25"/>
      <c r="S341" s="25"/>
      <c r="T341" s="25"/>
      <c r="U341" s="25"/>
      <c r="V341" s="25"/>
      <c r="W341" s="25"/>
      <c r="X341" s="25"/>
      <c r="Y341" s="25"/>
      <c r="Z341" s="25"/>
      <c r="AA341" s="25"/>
      <c r="AB341" s="25"/>
      <c r="AC341" s="25"/>
      <c r="AD341" s="178"/>
    </row>
    <row r="342" spans="18:30" x14ac:dyDescent="0.25">
      <c r="R342" s="25"/>
      <c r="S342" s="25"/>
      <c r="T342" s="25"/>
      <c r="U342" s="25"/>
      <c r="V342" s="25"/>
      <c r="W342" s="25"/>
      <c r="X342" s="25"/>
      <c r="Y342" s="25"/>
      <c r="Z342" s="25"/>
      <c r="AA342" s="25"/>
      <c r="AB342" s="25"/>
      <c r="AC342" s="25"/>
      <c r="AD342" s="178"/>
    </row>
    <row r="343" spans="18:30" x14ac:dyDescent="0.25">
      <c r="R343" s="25"/>
      <c r="S343" s="25"/>
      <c r="T343" s="25"/>
      <c r="U343" s="25"/>
      <c r="V343" s="25"/>
      <c r="W343" s="25"/>
      <c r="X343" s="25"/>
      <c r="Y343" s="25"/>
      <c r="Z343" s="25"/>
      <c r="AA343" s="25"/>
      <c r="AB343" s="25"/>
      <c r="AC343" s="25"/>
      <c r="AD343" s="178"/>
    </row>
    <row r="344" spans="18:30" x14ac:dyDescent="0.25">
      <c r="R344" s="25"/>
      <c r="S344" s="25"/>
      <c r="T344" s="25"/>
      <c r="U344" s="25"/>
      <c r="V344" s="25"/>
      <c r="W344" s="25"/>
      <c r="X344" s="25"/>
      <c r="Y344" s="25"/>
      <c r="Z344" s="25"/>
      <c r="AA344" s="25"/>
      <c r="AB344" s="25"/>
      <c r="AC344" s="25"/>
      <c r="AD344" s="178"/>
    </row>
    <row r="345" spans="18:30" x14ac:dyDescent="0.25">
      <c r="R345" s="25"/>
      <c r="S345" s="25"/>
      <c r="T345" s="25"/>
      <c r="U345" s="25"/>
      <c r="V345" s="25"/>
      <c r="W345" s="25"/>
      <c r="X345" s="25"/>
      <c r="Y345" s="25"/>
      <c r="Z345" s="25"/>
      <c r="AA345" s="25"/>
      <c r="AB345" s="25"/>
      <c r="AC345" s="25"/>
      <c r="AD345" s="178"/>
    </row>
    <row r="346" spans="18:30" x14ac:dyDescent="0.25">
      <c r="R346" s="25"/>
      <c r="S346" s="25"/>
      <c r="T346" s="25"/>
      <c r="U346" s="25"/>
      <c r="V346" s="25"/>
      <c r="W346" s="25"/>
      <c r="X346" s="25"/>
      <c r="Y346" s="25"/>
      <c r="Z346" s="25"/>
      <c r="AA346" s="25"/>
      <c r="AB346" s="25"/>
      <c r="AC346" s="25"/>
      <c r="AD346" s="178"/>
    </row>
    <row r="347" spans="18:30" x14ac:dyDescent="0.25">
      <c r="R347" s="25"/>
      <c r="S347" s="25"/>
      <c r="T347" s="25"/>
      <c r="U347" s="25"/>
      <c r="V347" s="25"/>
      <c r="W347" s="25"/>
      <c r="X347" s="25"/>
      <c r="Y347" s="25"/>
      <c r="Z347" s="25"/>
      <c r="AA347" s="25"/>
      <c r="AB347" s="25"/>
      <c r="AC347" s="25"/>
      <c r="AD347" s="178"/>
    </row>
    <row r="348" spans="18:30" x14ac:dyDescent="0.25">
      <c r="R348" s="25"/>
      <c r="S348" s="25"/>
      <c r="T348" s="25"/>
      <c r="U348" s="25"/>
      <c r="V348" s="25"/>
      <c r="W348" s="25"/>
      <c r="X348" s="25"/>
      <c r="Y348" s="25"/>
      <c r="Z348" s="25"/>
      <c r="AA348" s="25"/>
      <c r="AB348" s="25"/>
      <c r="AC348" s="25"/>
      <c r="AD348" s="178"/>
    </row>
    <row r="349" spans="18:30" x14ac:dyDescent="0.25">
      <c r="R349" s="25"/>
      <c r="S349" s="25"/>
      <c r="T349" s="25"/>
      <c r="U349" s="25"/>
      <c r="V349" s="25"/>
      <c r="W349" s="25"/>
      <c r="X349" s="25"/>
      <c r="Y349" s="25"/>
      <c r="Z349" s="25"/>
      <c r="AA349" s="25"/>
      <c r="AB349" s="25"/>
      <c r="AC349" s="25"/>
      <c r="AD349" s="178"/>
    </row>
    <row r="350" spans="18:30" x14ac:dyDescent="0.25">
      <c r="R350" s="25"/>
      <c r="S350" s="25"/>
      <c r="T350" s="25"/>
      <c r="U350" s="25"/>
      <c r="V350" s="25"/>
      <c r="W350" s="25"/>
      <c r="X350" s="25"/>
      <c r="Y350" s="25"/>
      <c r="Z350" s="25"/>
      <c r="AA350" s="25"/>
      <c r="AB350" s="25"/>
      <c r="AC350" s="25"/>
      <c r="AD350" s="178"/>
    </row>
    <row r="351" spans="18:30" x14ac:dyDescent="0.25">
      <c r="R351" s="25"/>
      <c r="S351" s="25"/>
      <c r="T351" s="25"/>
      <c r="U351" s="25"/>
      <c r="V351" s="25"/>
      <c r="W351" s="25"/>
      <c r="X351" s="25"/>
      <c r="Y351" s="25"/>
      <c r="Z351" s="25"/>
      <c r="AA351" s="25"/>
      <c r="AB351" s="25"/>
      <c r="AC351" s="25"/>
      <c r="AD351" s="178"/>
    </row>
    <row r="352" spans="18:30" x14ac:dyDescent="0.25">
      <c r="R352" s="25"/>
      <c r="S352" s="25"/>
      <c r="T352" s="25"/>
      <c r="U352" s="25"/>
      <c r="V352" s="25"/>
      <c r="W352" s="25"/>
      <c r="X352" s="25"/>
      <c r="Y352" s="25"/>
      <c r="Z352" s="25"/>
      <c r="AA352" s="25"/>
      <c r="AB352" s="25"/>
      <c r="AC352" s="25"/>
      <c r="AD352" s="178"/>
    </row>
    <row r="353" spans="18:30" x14ac:dyDescent="0.25">
      <c r="R353" s="25"/>
      <c r="S353" s="25"/>
      <c r="T353" s="25"/>
      <c r="U353" s="25"/>
      <c r="V353" s="25"/>
      <c r="W353" s="25"/>
      <c r="X353" s="25"/>
      <c r="Y353" s="25"/>
      <c r="Z353" s="25"/>
      <c r="AA353" s="25"/>
      <c r="AB353" s="25"/>
      <c r="AC353" s="25"/>
      <c r="AD353" s="178"/>
    </row>
    <row r="354" spans="18:30" x14ac:dyDescent="0.25">
      <c r="R354" s="25"/>
      <c r="S354" s="25"/>
      <c r="T354" s="25"/>
      <c r="U354" s="25"/>
      <c r="V354" s="25"/>
      <c r="W354" s="25"/>
      <c r="X354" s="25"/>
      <c r="Y354" s="25"/>
      <c r="Z354" s="25"/>
      <c r="AA354" s="25"/>
      <c r="AB354" s="25"/>
      <c r="AC354" s="25"/>
      <c r="AD354" s="178"/>
    </row>
    <row r="355" spans="18:30" x14ac:dyDescent="0.25">
      <c r="R355" s="25"/>
      <c r="S355" s="25"/>
      <c r="T355" s="25"/>
      <c r="U355" s="25"/>
      <c r="V355" s="25"/>
      <c r="W355" s="25"/>
      <c r="X355" s="25"/>
      <c r="Y355" s="25"/>
      <c r="Z355" s="25"/>
      <c r="AA355" s="25"/>
      <c r="AB355" s="25"/>
      <c r="AC355" s="25"/>
      <c r="AD355" s="178"/>
    </row>
    <row r="356" spans="18:30" x14ac:dyDescent="0.25">
      <c r="R356" s="25"/>
      <c r="S356" s="25"/>
      <c r="T356" s="25"/>
      <c r="U356" s="25"/>
      <c r="V356" s="25"/>
      <c r="W356" s="25"/>
      <c r="X356" s="25"/>
      <c r="Y356" s="25"/>
      <c r="Z356" s="25"/>
      <c r="AA356" s="25"/>
      <c r="AB356" s="25"/>
      <c r="AC356" s="25"/>
      <c r="AD356" s="178"/>
    </row>
    <row r="357" spans="18:30" x14ac:dyDescent="0.25">
      <c r="R357" s="25"/>
      <c r="S357" s="25"/>
      <c r="T357" s="25"/>
      <c r="U357" s="25"/>
      <c r="V357" s="25"/>
      <c r="W357" s="25"/>
      <c r="X357" s="25"/>
      <c r="Y357" s="25"/>
      <c r="Z357" s="25"/>
      <c r="AA357" s="25"/>
      <c r="AB357" s="25"/>
      <c r="AC357" s="25"/>
      <c r="AD357" s="178"/>
    </row>
    <row r="358" spans="18:30" x14ac:dyDescent="0.25">
      <c r="R358" s="25"/>
      <c r="S358" s="25"/>
      <c r="T358" s="25"/>
      <c r="U358" s="25"/>
      <c r="V358" s="25"/>
      <c r="W358" s="25"/>
      <c r="X358" s="25"/>
      <c r="Y358" s="25"/>
      <c r="Z358" s="25"/>
      <c r="AA358" s="25"/>
      <c r="AB358" s="25"/>
      <c r="AC358" s="25"/>
      <c r="AD358" s="178"/>
    </row>
    <row r="359" spans="18:30" x14ac:dyDescent="0.25">
      <c r="R359" s="25"/>
      <c r="S359" s="25"/>
      <c r="T359" s="25"/>
      <c r="U359" s="25"/>
      <c r="V359" s="25"/>
      <c r="W359" s="25"/>
      <c r="X359" s="25"/>
      <c r="Y359" s="25"/>
      <c r="Z359" s="25"/>
      <c r="AA359" s="25"/>
      <c r="AB359" s="25"/>
      <c r="AC359" s="25"/>
      <c r="AD359" s="178"/>
    </row>
    <row r="360" spans="18:30" x14ac:dyDescent="0.25">
      <c r="R360" s="25"/>
      <c r="S360" s="25"/>
      <c r="T360" s="25"/>
      <c r="U360" s="25"/>
      <c r="V360" s="25"/>
      <c r="W360" s="25"/>
      <c r="X360" s="25"/>
      <c r="Y360" s="25"/>
      <c r="Z360" s="25"/>
      <c r="AA360" s="25"/>
      <c r="AB360" s="25"/>
      <c r="AC360" s="25"/>
      <c r="AD360" s="178"/>
    </row>
    <row r="361" spans="18:30" x14ac:dyDescent="0.25">
      <c r="R361" s="25"/>
      <c r="S361" s="25"/>
      <c r="T361" s="25"/>
      <c r="U361" s="25"/>
      <c r="V361" s="25"/>
      <c r="W361" s="25"/>
      <c r="X361" s="25"/>
      <c r="Y361" s="25"/>
      <c r="Z361" s="25"/>
      <c r="AA361" s="25"/>
      <c r="AB361" s="25"/>
      <c r="AC361" s="25"/>
      <c r="AD361" s="178"/>
    </row>
    <row r="362" spans="18:30" x14ac:dyDescent="0.25">
      <c r="R362" s="25"/>
      <c r="S362" s="25"/>
      <c r="T362" s="25"/>
      <c r="U362" s="25"/>
      <c r="V362" s="25"/>
      <c r="W362" s="25"/>
      <c r="X362" s="25"/>
      <c r="Y362" s="25"/>
      <c r="Z362" s="25"/>
      <c r="AA362" s="25"/>
      <c r="AB362" s="25"/>
      <c r="AC362" s="25"/>
      <c r="AD362" s="178"/>
    </row>
    <row r="363" spans="18:30" x14ac:dyDescent="0.25">
      <c r="R363" s="25"/>
      <c r="S363" s="25"/>
      <c r="T363" s="25"/>
      <c r="U363" s="25"/>
      <c r="V363" s="25"/>
      <c r="W363" s="25"/>
      <c r="X363" s="25"/>
      <c r="Y363" s="25"/>
      <c r="Z363" s="25"/>
      <c r="AA363" s="25"/>
      <c r="AB363" s="25"/>
      <c r="AC363" s="25"/>
      <c r="AD363" s="178"/>
    </row>
    <row r="364" spans="18:30" x14ac:dyDescent="0.25">
      <c r="R364" s="25"/>
      <c r="S364" s="25"/>
      <c r="T364" s="25"/>
      <c r="U364" s="25"/>
      <c r="V364" s="25"/>
      <c r="W364" s="25"/>
      <c r="X364" s="25"/>
      <c r="Y364" s="25"/>
      <c r="Z364" s="25"/>
      <c r="AA364" s="25"/>
      <c r="AB364" s="25"/>
      <c r="AC364" s="25"/>
      <c r="AD364" s="178"/>
    </row>
    <row r="365" spans="18:30" x14ac:dyDescent="0.25">
      <c r="R365" s="25"/>
      <c r="S365" s="25"/>
      <c r="T365" s="25"/>
      <c r="U365" s="25"/>
      <c r="V365" s="25"/>
      <c r="W365" s="25"/>
      <c r="X365" s="25"/>
      <c r="Y365" s="25"/>
      <c r="Z365" s="25"/>
      <c r="AA365" s="25"/>
      <c r="AB365" s="25"/>
      <c r="AC365" s="25"/>
      <c r="AD365" s="178"/>
    </row>
    <row r="366" spans="18:30" x14ac:dyDescent="0.25">
      <c r="R366" s="25"/>
      <c r="S366" s="25"/>
      <c r="T366" s="25"/>
      <c r="U366" s="25"/>
      <c r="V366" s="25"/>
      <c r="W366" s="25"/>
      <c r="X366" s="25"/>
      <c r="Y366" s="25"/>
      <c r="Z366" s="25"/>
      <c r="AA366" s="25"/>
      <c r="AB366" s="25"/>
      <c r="AC366" s="25"/>
      <c r="AD366" s="178"/>
    </row>
    <row r="367" spans="18:30" x14ac:dyDescent="0.25">
      <c r="R367" s="25"/>
      <c r="S367" s="25"/>
      <c r="T367" s="25"/>
      <c r="U367" s="25"/>
      <c r="V367" s="25"/>
      <c r="W367" s="25"/>
      <c r="X367" s="25"/>
      <c r="Y367" s="25"/>
      <c r="Z367" s="25"/>
      <c r="AA367" s="25"/>
      <c r="AB367" s="25"/>
      <c r="AC367" s="25"/>
      <c r="AD367" s="178"/>
    </row>
    <row r="368" spans="18:30" x14ac:dyDescent="0.25">
      <c r="R368" s="25"/>
      <c r="S368" s="25"/>
      <c r="T368" s="25"/>
      <c r="U368" s="25"/>
      <c r="V368" s="25"/>
      <c r="W368" s="25"/>
      <c r="X368" s="25"/>
      <c r="Y368" s="25"/>
      <c r="Z368" s="25"/>
      <c r="AA368" s="25"/>
      <c r="AB368" s="25"/>
      <c r="AC368" s="25"/>
      <c r="AD368" s="178"/>
    </row>
    <row r="369" spans="18:30" x14ac:dyDescent="0.25">
      <c r="R369" s="25"/>
      <c r="S369" s="25"/>
      <c r="T369" s="25"/>
      <c r="U369" s="25"/>
      <c r="V369" s="25"/>
      <c r="W369" s="25"/>
      <c r="X369" s="25"/>
      <c r="Y369" s="25"/>
      <c r="Z369" s="25"/>
      <c r="AA369" s="25"/>
      <c r="AB369" s="25"/>
      <c r="AC369" s="25"/>
      <c r="AD369" s="178"/>
    </row>
    <row r="370" spans="18:30" x14ac:dyDescent="0.25">
      <c r="R370" s="25"/>
      <c r="S370" s="25"/>
      <c r="T370" s="25"/>
      <c r="U370" s="25"/>
      <c r="V370" s="25"/>
      <c r="W370" s="25"/>
      <c r="X370" s="25"/>
      <c r="Y370" s="25"/>
      <c r="Z370" s="25"/>
      <c r="AA370" s="25"/>
      <c r="AB370" s="25"/>
      <c r="AC370" s="25"/>
      <c r="AD370" s="178"/>
    </row>
    <row r="371" spans="18:30" x14ac:dyDescent="0.25">
      <c r="R371" s="25"/>
      <c r="S371" s="25"/>
      <c r="T371" s="25"/>
      <c r="U371" s="25"/>
      <c r="V371" s="25"/>
      <c r="W371" s="25"/>
      <c r="X371" s="25"/>
      <c r="Y371" s="25"/>
      <c r="Z371" s="25"/>
      <c r="AA371" s="25"/>
      <c r="AB371" s="25"/>
      <c r="AC371" s="25"/>
      <c r="AD371" s="178"/>
    </row>
    <row r="372" spans="18:30" x14ac:dyDescent="0.25">
      <c r="R372" s="25"/>
      <c r="S372" s="25"/>
      <c r="T372" s="25"/>
      <c r="U372" s="25"/>
      <c r="V372" s="25"/>
      <c r="W372" s="25"/>
      <c r="X372" s="25"/>
      <c r="Y372" s="25"/>
      <c r="Z372" s="25"/>
      <c r="AA372" s="25"/>
      <c r="AB372" s="25"/>
      <c r="AC372" s="25"/>
      <c r="AD372" s="178"/>
    </row>
    <row r="373" spans="18:30" x14ac:dyDescent="0.25">
      <c r="R373" s="25"/>
      <c r="S373" s="25"/>
      <c r="T373" s="25"/>
      <c r="U373" s="25"/>
      <c r="V373" s="25"/>
      <c r="W373" s="25"/>
      <c r="X373" s="25"/>
      <c r="Y373" s="25"/>
      <c r="Z373" s="25"/>
      <c r="AA373" s="25"/>
      <c r="AB373" s="25"/>
      <c r="AC373" s="25"/>
      <c r="AD373" s="178"/>
    </row>
    <row r="374" spans="18:30" x14ac:dyDescent="0.25">
      <c r="R374" s="25"/>
      <c r="S374" s="25"/>
      <c r="T374" s="25"/>
      <c r="U374" s="25"/>
      <c r="V374" s="25"/>
      <c r="W374" s="25"/>
      <c r="X374" s="25"/>
      <c r="Y374" s="25"/>
      <c r="Z374" s="25"/>
      <c r="AA374" s="25"/>
      <c r="AB374" s="25"/>
      <c r="AC374" s="25"/>
      <c r="AD374" s="178"/>
    </row>
    <row r="375" spans="18:30" x14ac:dyDescent="0.25">
      <c r="R375" s="25"/>
      <c r="S375" s="25"/>
      <c r="T375" s="25"/>
      <c r="U375" s="25"/>
      <c r="V375" s="25"/>
      <c r="W375" s="25"/>
      <c r="X375" s="25"/>
      <c r="Y375" s="25"/>
      <c r="Z375" s="25"/>
      <c r="AA375" s="25"/>
      <c r="AB375" s="25"/>
      <c r="AC375" s="25"/>
      <c r="AD375" s="178"/>
    </row>
    <row r="376" spans="18:30" x14ac:dyDescent="0.25">
      <c r="R376" s="25"/>
      <c r="S376" s="25"/>
      <c r="T376" s="25"/>
      <c r="U376" s="25"/>
      <c r="V376" s="25"/>
      <c r="W376" s="25"/>
      <c r="X376" s="25"/>
      <c r="Y376" s="25"/>
      <c r="Z376" s="25"/>
      <c r="AA376" s="25"/>
      <c r="AB376" s="25"/>
      <c r="AC376" s="25"/>
      <c r="AD376" s="178"/>
    </row>
    <row r="377" spans="18:30" x14ac:dyDescent="0.25">
      <c r="R377" s="25"/>
      <c r="S377" s="25"/>
      <c r="T377" s="25"/>
      <c r="U377" s="25"/>
      <c r="V377" s="25"/>
      <c r="W377" s="25"/>
      <c r="X377" s="25"/>
      <c r="Y377" s="25"/>
      <c r="Z377" s="25"/>
      <c r="AA377" s="25"/>
      <c r="AB377" s="25"/>
      <c r="AC377" s="25"/>
      <c r="AD377" s="178"/>
    </row>
    <row r="378" spans="18:30" x14ac:dyDescent="0.25">
      <c r="R378" s="25"/>
      <c r="S378" s="25"/>
      <c r="T378" s="25"/>
      <c r="U378" s="25"/>
      <c r="V378" s="25"/>
      <c r="W378" s="25"/>
      <c r="X378" s="25"/>
      <c r="Y378" s="25"/>
      <c r="Z378" s="25"/>
      <c r="AA378" s="25"/>
      <c r="AB378" s="25"/>
      <c r="AC378" s="25"/>
      <c r="AD378" s="178"/>
    </row>
    <row r="379" spans="18:30" x14ac:dyDescent="0.25">
      <c r="R379" s="25"/>
      <c r="S379" s="25"/>
      <c r="T379" s="25"/>
      <c r="U379" s="25"/>
      <c r="V379" s="25"/>
      <c r="W379" s="25"/>
      <c r="X379" s="25"/>
      <c r="Y379" s="25"/>
      <c r="Z379" s="25"/>
      <c r="AA379" s="25"/>
      <c r="AB379" s="25"/>
      <c r="AC379" s="25"/>
      <c r="AD379" s="178"/>
    </row>
    <row r="380" spans="18:30" x14ac:dyDescent="0.25">
      <c r="R380" s="25"/>
      <c r="S380" s="25"/>
      <c r="T380" s="25"/>
      <c r="U380" s="25"/>
      <c r="V380" s="25"/>
      <c r="W380" s="25"/>
      <c r="X380" s="25"/>
      <c r="Y380" s="25"/>
      <c r="Z380" s="25"/>
      <c r="AA380" s="25"/>
      <c r="AB380" s="25"/>
      <c r="AC380" s="25"/>
      <c r="AD380" s="178"/>
    </row>
    <row r="381" spans="18:30" x14ac:dyDescent="0.25">
      <c r="R381" s="25"/>
      <c r="S381" s="25"/>
      <c r="T381" s="25"/>
      <c r="U381" s="25"/>
      <c r="V381" s="25"/>
      <c r="W381" s="25"/>
      <c r="X381" s="25"/>
      <c r="Y381" s="25"/>
      <c r="Z381" s="25"/>
      <c r="AA381" s="25"/>
      <c r="AB381" s="25"/>
      <c r="AC381" s="25"/>
      <c r="AD381" s="178"/>
    </row>
    <row r="382" spans="18:30" x14ac:dyDescent="0.25">
      <c r="R382" s="25"/>
      <c r="S382" s="25"/>
      <c r="T382" s="25"/>
      <c r="U382" s="25"/>
      <c r="V382" s="25"/>
      <c r="W382" s="25"/>
      <c r="X382" s="25"/>
      <c r="Y382" s="25"/>
      <c r="Z382" s="25"/>
      <c r="AA382" s="25"/>
      <c r="AB382" s="25"/>
      <c r="AC382" s="25"/>
      <c r="AD382" s="178"/>
    </row>
    <row r="383" spans="18:30" x14ac:dyDescent="0.25">
      <c r="R383" s="25"/>
      <c r="S383" s="25"/>
      <c r="T383" s="25"/>
      <c r="U383" s="25"/>
      <c r="V383" s="25"/>
      <c r="W383" s="25"/>
      <c r="X383" s="25"/>
      <c r="Y383" s="25"/>
      <c r="Z383" s="25"/>
      <c r="AA383" s="25"/>
      <c r="AB383" s="25"/>
      <c r="AC383" s="25"/>
      <c r="AD383" s="178"/>
    </row>
    <row r="384" spans="18:30" x14ac:dyDescent="0.25">
      <c r="R384" s="25"/>
      <c r="S384" s="25"/>
      <c r="T384" s="25"/>
      <c r="U384" s="25"/>
      <c r="V384" s="25"/>
      <c r="W384" s="25"/>
      <c r="X384" s="25"/>
      <c r="Y384" s="25"/>
      <c r="Z384" s="25"/>
      <c r="AA384" s="25"/>
      <c r="AB384" s="25"/>
      <c r="AC384" s="25"/>
      <c r="AD384" s="178"/>
    </row>
    <row r="385" spans="18:30" x14ac:dyDescent="0.25">
      <c r="R385" s="25"/>
      <c r="S385" s="25"/>
      <c r="T385" s="25"/>
      <c r="U385" s="25"/>
      <c r="V385" s="25"/>
      <c r="W385" s="25"/>
      <c r="X385" s="25"/>
      <c r="Y385" s="25"/>
      <c r="Z385" s="25"/>
      <c r="AA385" s="25"/>
      <c r="AB385" s="25"/>
      <c r="AC385" s="25"/>
      <c r="AD385" s="178"/>
    </row>
    <row r="386" spans="18:30" x14ac:dyDescent="0.25">
      <c r="R386" s="25"/>
      <c r="S386" s="25"/>
      <c r="T386" s="25"/>
      <c r="U386" s="25"/>
      <c r="V386" s="25"/>
      <c r="W386" s="25"/>
      <c r="X386" s="25"/>
      <c r="Y386" s="25"/>
      <c r="Z386" s="25"/>
      <c r="AA386" s="25"/>
      <c r="AB386" s="25"/>
      <c r="AC386" s="25"/>
      <c r="AD386" s="178"/>
    </row>
    <row r="387" spans="18:30" x14ac:dyDescent="0.25">
      <c r="R387" s="25"/>
      <c r="S387" s="25"/>
      <c r="T387" s="25"/>
      <c r="U387" s="25"/>
      <c r="V387" s="25"/>
      <c r="W387" s="25"/>
      <c r="X387" s="25"/>
      <c r="Y387" s="25"/>
      <c r="Z387" s="25"/>
      <c r="AA387" s="25"/>
      <c r="AB387" s="25"/>
      <c r="AC387" s="25"/>
      <c r="AD387" s="178"/>
    </row>
    <row r="388" spans="18:30" x14ac:dyDescent="0.25">
      <c r="R388" s="25"/>
      <c r="S388" s="25"/>
      <c r="T388" s="25"/>
      <c r="U388" s="25"/>
      <c r="V388" s="25"/>
      <c r="W388" s="25"/>
      <c r="X388" s="25"/>
      <c r="Y388" s="25"/>
      <c r="Z388" s="25"/>
      <c r="AA388" s="25"/>
      <c r="AB388" s="25"/>
      <c r="AC388" s="25"/>
      <c r="AD388" s="178"/>
    </row>
    <row r="389" spans="18:30" x14ac:dyDescent="0.25">
      <c r="R389" s="25"/>
      <c r="S389" s="25"/>
      <c r="T389" s="25"/>
      <c r="U389" s="25"/>
      <c r="V389" s="25"/>
      <c r="W389" s="25"/>
      <c r="X389" s="25"/>
      <c r="Y389" s="25"/>
      <c r="Z389" s="25"/>
      <c r="AA389" s="25"/>
      <c r="AB389" s="25"/>
      <c r="AC389" s="25"/>
      <c r="AD389" s="178"/>
    </row>
    <row r="390" spans="18:30" x14ac:dyDescent="0.25">
      <c r="R390" s="25"/>
      <c r="S390" s="25"/>
      <c r="T390" s="25"/>
      <c r="U390" s="25"/>
      <c r="V390" s="25"/>
      <c r="W390" s="25"/>
      <c r="X390" s="25"/>
      <c r="Y390" s="25"/>
      <c r="Z390" s="25"/>
      <c r="AA390" s="25"/>
      <c r="AB390" s="25"/>
      <c r="AC390" s="25"/>
      <c r="AD390" s="178"/>
    </row>
    <row r="391" spans="18:30" x14ac:dyDescent="0.25">
      <c r="R391" s="25"/>
      <c r="S391" s="25"/>
      <c r="T391" s="25"/>
      <c r="U391" s="25"/>
      <c r="V391" s="25"/>
      <c r="W391" s="25"/>
      <c r="X391" s="25"/>
      <c r="Y391" s="25"/>
      <c r="Z391" s="25"/>
      <c r="AA391" s="25"/>
      <c r="AB391" s="25"/>
      <c r="AC391" s="25"/>
      <c r="AD391" s="178"/>
    </row>
    <row r="392" spans="18:30" x14ac:dyDescent="0.25">
      <c r="R392" s="25"/>
      <c r="S392" s="25"/>
      <c r="T392" s="25"/>
      <c r="U392" s="25"/>
      <c r="V392" s="25"/>
      <c r="W392" s="25"/>
      <c r="X392" s="25"/>
      <c r="Y392" s="25"/>
      <c r="Z392" s="25"/>
      <c r="AA392" s="25"/>
      <c r="AB392" s="25"/>
      <c r="AC392" s="25"/>
      <c r="AD392" s="178"/>
    </row>
    <row r="393" spans="18:30" x14ac:dyDescent="0.25">
      <c r="R393" s="25"/>
      <c r="S393" s="25"/>
      <c r="T393" s="25"/>
      <c r="U393" s="25"/>
      <c r="V393" s="25"/>
      <c r="W393" s="25"/>
      <c r="X393" s="25"/>
      <c r="Y393" s="25"/>
      <c r="Z393" s="25"/>
      <c r="AA393" s="25"/>
      <c r="AB393" s="25"/>
      <c r="AC393" s="25"/>
      <c r="AD393" s="178"/>
    </row>
    <row r="394" spans="18:30" x14ac:dyDescent="0.25">
      <c r="R394" s="25"/>
      <c r="S394" s="25"/>
      <c r="T394" s="25"/>
      <c r="U394" s="25"/>
      <c r="V394" s="25"/>
      <c r="W394" s="25"/>
      <c r="X394" s="25"/>
      <c r="Y394" s="25"/>
      <c r="Z394" s="25"/>
      <c r="AA394" s="25"/>
      <c r="AB394" s="25"/>
      <c r="AC394" s="25"/>
      <c r="AD394" s="178"/>
    </row>
    <row r="395" spans="18:30" x14ac:dyDescent="0.25">
      <c r="R395" s="25"/>
      <c r="S395" s="25"/>
      <c r="T395" s="25"/>
      <c r="U395" s="25"/>
      <c r="V395" s="25"/>
      <c r="W395" s="25"/>
      <c r="X395" s="25"/>
      <c r="Y395" s="25"/>
      <c r="Z395" s="25"/>
      <c r="AA395" s="25"/>
      <c r="AB395" s="25"/>
      <c r="AC395" s="25"/>
      <c r="AD395" s="178"/>
    </row>
    <row r="396" spans="18:30" x14ac:dyDescent="0.25">
      <c r="R396" s="25"/>
      <c r="S396" s="25"/>
      <c r="T396" s="25"/>
      <c r="U396" s="25"/>
      <c r="V396" s="25"/>
      <c r="W396" s="25"/>
      <c r="X396" s="25"/>
      <c r="Y396" s="25"/>
      <c r="Z396" s="25"/>
      <c r="AA396" s="25"/>
      <c r="AB396" s="25"/>
      <c r="AC396" s="25"/>
      <c r="AD396" s="178"/>
    </row>
    <row r="397" spans="18:30" x14ac:dyDescent="0.25">
      <c r="R397" s="25"/>
      <c r="S397" s="25"/>
      <c r="T397" s="25"/>
      <c r="U397" s="25"/>
      <c r="V397" s="25"/>
      <c r="W397" s="25"/>
      <c r="X397" s="25"/>
      <c r="Y397" s="25"/>
      <c r="Z397" s="25"/>
      <c r="AA397" s="25"/>
      <c r="AB397" s="25"/>
      <c r="AC397" s="25"/>
      <c r="AD397" s="178"/>
    </row>
    <row r="398" spans="18:30" x14ac:dyDescent="0.25">
      <c r="R398" s="25"/>
      <c r="S398" s="25"/>
      <c r="T398" s="25"/>
      <c r="U398" s="25"/>
      <c r="V398" s="25"/>
      <c r="W398" s="25"/>
      <c r="X398" s="25"/>
      <c r="Y398" s="25"/>
      <c r="Z398" s="25"/>
      <c r="AA398" s="25"/>
      <c r="AB398" s="25"/>
      <c r="AC398" s="25"/>
      <c r="AD398" s="178"/>
    </row>
    <row r="399" spans="18:30" x14ac:dyDescent="0.25">
      <c r="R399" s="25"/>
      <c r="S399" s="25"/>
      <c r="T399" s="25"/>
      <c r="U399" s="25"/>
      <c r="V399" s="25"/>
      <c r="W399" s="25"/>
      <c r="X399" s="25"/>
      <c r="Y399" s="25"/>
      <c r="Z399" s="25"/>
      <c r="AA399" s="25"/>
      <c r="AB399" s="25"/>
      <c r="AC399" s="25"/>
      <c r="AD399" s="178"/>
    </row>
    <row r="400" spans="18:30" x14ac:dyDescent="0.25">
      <c r="R400" s="25"/>
      <c r="S400" s="25"/>
      <c r="T400" s="25"/>
      <c r="U400" s="25"/>
      <c r="V400" s="25"/>
      <c r="W400" s="25"/>
      <c r="X400" s="25"/>
      <c r="Y400" s="25"/>
      <c r="Z400" s="25"/>
      <c r="AA400" s="25"/>
      <c r="AB400" s="25"/>
      <c r="AC400" s="25"/>
      <c r="AD400" s="178"/>
    </row>
    <row r="401" spans="18:30" x14ac:dyDescent="0.25">
      <c r="R401" s="25"/>
      <c r="S401" s="25"/>
      <c r="T401" s="25"/>
      <c r="U401" s="25"/>
      <c r="V401" s="25"/>
      <c r="W401" s="25"/>
      <c r="X401" s="25"/>
      <c r="Y401" s="25"/>
      <c r="Z401" s="25"/>
      <c r="AA401" s="25"/>
      <c r="AB401" s="25"/>
      <c r="AC401" s="25"/>
      <c r="AD401" s="178"/>
    </row>
    <row r="402" spans="18:30" x14ac:dyDescent="0.25">
      <c r="R402" s="25"/>
      <c r="S402" s="25"/>
      <c r="T402" s="25"/>
      <c r="U402" s="25"/>
      <c r="V402" s="25"/>
      <c r="W402" s="25"/>
      <c r="X402" s="25"/>
      <c r="Y402" s="25"/>
      <c r="Z402" s="25"/>
      <c r="AA402" s="25"/>
      <c r="AB402" s="25"/>
      <c r="AC402" s="25"/>
      <c r="AD402" s="178"/>
    </row>
    <row r="403" spans="18:30" x14ac:dyDescent="0.25">
      <c r="R403" s="25"/>
      <c r="S403" s="25"/>
      <c r="T403" s="25"/>
      <c r="U403" s="25"/>
      <c r="V403" s="25"/>
      <c r="W403" s="25"/>
      <c r="X403" s="25"/>
      <c r="Y403" s="25"/>
      <c r="Z403" s="25"/>
      <c r="AA403" s="25"/>
      <c r="AB403" s="25"/>
      <c r="AC403" s="25"/>
      <c r="AD403" s="178"/>
    </row>
    <row r="404" spans="18:30" x14ac:dyDescent="0.25">
      <c r="R404" s="25"/>
      <c r="S404" s="25"/>
      <c r="T404" s="25"/>
      <c r="U404" s="25"/>
      <c r="V404" s="25"/>
      <c r="W404" s="25"/>
      <c r="X404" s="25"/>
      <c r="Y404" s="25"/>
      <c r="Z404" s="25"/>
      <c r="AA404" s="25"/>
      <c r="AB404" s="25"/>
      <c r="AC404" s="25"/>
      <c r="AD404" s="178"/>
    </row>
    <row r="405" spans="18:30" x14ac:dyDescent="0.25">
      <c r="R405" s="25"/>
      <c r="S405" s="25"/>
      <c r="T405" s="25"/>
      <c r="U405" s="25"/>
      <c r="V405" s="25"/>
      <c r="W405" s="25"/>
      <c r="X405" s="25"/>
      <c r="Y405" s="25"/>
      <c r="Z405" s="25"/>
      <c r="AA405" s="25"/>
      <c r="AB405" s="25"/>
      <c r="AC405" s="25"/>
      <c r="AD405" s="178"/>
    </row>
    <row r="406" spans="18:30" x14ac:dyDescent="0.25">
      <c r="R406" s="25"/>
      <c r="S406" s="25"/>
      <c r="T406" s="25"/>
      <c r="U406" s="25"/>
      <c r="V406" s="25"/>
      <c r="W406" s="25"/>
      <c r="X406" s="25"/>
      <c r="Y406" s="25"/>
      <c r="Z406" s="25"/>
      <c r="AA406" s="25"/>
      <c r="AB406" s="25"/>
      <c r="AC406" s="25"/>
      <c r="AD406" s="178"/>
    </row>
    <row r="407" spans="18:30" x14ac:dyDescent="0.25">
      <c r="R407" s="25"/>
      <c r="S407" s="25"/>
      <c r="T407" s="25"/>
      <c r="U407" s="25"/>
      <c r="V407" s="25"/>
      <c r="W407" s="25"/>
      <c r="X407" s="25"/>
      <c r="Y407" s="25"/>
      <c r="Z407" s="25"/>
      <c r="AA407" s="25"/>
      <c r="AB407" s="25"/>
      <c r="AC407" s="25"/>
      <c r="AD407" s="178"/>
    </row>
    <row r="408" spans="18:30" x14ac:dyDescent="0.25">
      <c r="R408" s="25"/>
      <c r="S408" s="25"/>
      <c r="T408" s="25"/>
      <c r="U408" s="25"/>
      <c r="V408" s="25"/>
      <c r="W408" s="25"/>
      <c r="X408" s="25"/>
      <c r="Y408" s="25"/>
      <c r="Z408" s="25"/>
      <c r="AA408" s="25"/>
      <c r="AB408" s="25"/>
      <c r="AC408" s="25"/>
      <c r="AD408" s="178"/>
    </row>
    <row r="409" spans="18:30" x14ac:dyDescent="0.25">
      <c r="R409" s="25"/>
      <c r="S409" s="25"/>
      <c r="T409" s="25"/>
      <c r="U409" s="25"/>
      <c r="V409" s="25"/>
      <c r="W409" s="25"/>
      <c r="X409" s="25"/>
      <c r="Y409" s="25"/>
      <c r="Z409" s="25"/>
      <c r="AA409" s="25"/>
      <c r="AB409" s="25"/>
      <c r="AC409" s="25"/>
      <c r="AD409" s="178"/>
    </row>
    <row r="410" spans="18:30" x14ac:dyDescent="0.25">
      <c r="R410" s="25"/>
      <c r="S410" s="25"/>
      <c r="T410" s="25"/>
      <c r="U410" s="25"/>
      <c r="V410" s="25"/>
      <c r="W410" s="25"/>
      <c r="X410" s="25"/>
      <c r="Y410" s="25"/>
      <c r="Z410" s="25"/>
      <c r="AA410" s="25"/>
      <c r="AB410" s="25"/>
      <c r="AC410" s="25"/>
      <c r="AD410" s="178"/>
    </row>
    <row r="411" spans="18:30" x14ac:dyDescent="0.25">
      <c r="R411" s="25"/>
      <c r="S411" s="25"/>
      <c r="T411" s="25"/>
      <c r="U411" s="25"/>
      <c r="V411" s="25"/>
      <c r="W411" s="25"/>
      <c r="X411" s="25"/>
      <c r="Y411" s="25"/>
      <c r="Z411" s="25"/>
      <c r="AA411" s="25"/>
      <c r="AB411" s="25"/>
      <c r="AC411" s="25"/>
      <c r="AD411" s="178"/>
    </row>
    <row r="412" spans="18:30" x14ac:dyDescent="0.25">
      <c r="R412" s="25"/>
      <c r="S412" s="25"/>
      <c r="T412" s="25"/>
      <c r="U412" s="25"/>
      <c r="V412" s="25"/>
      <c r="W412" s="25"/>
      <c r="X412" s="25"/>
      <c r="Y412" s="25"/>
      <c r="Z412" s="25"/>
      <c r="AA412" s="25"/>
      <c r="AB412" s="25"/>
      <c r="AC412" s="25"/>
      <c r="AD412" s="178"/>
    </row>
    <row r="413" spans="18:30" x14ac:dyDescent="0.25">
      <c r="R413" s="25"/>
      <c r="S413" s="25"/>
      <c r="T413" s="25"/>
      <c r="U413" s="25"/>
      <c r="V413" s="25"/>
      <c r="W413" s="25"/>
      <c r="X413" s="25"/>
      <c r="Y413" s="25"/>
      <c r="Z413" s="25"/>
      <c r="AA413" s="25"/>
      <c r="AB413" s="25"/>
      <c r="AC413" s="25"/>
      <c r="AD413" s="178"/>
    </row>
    <row r="414" spans="18:30" x14ac:dyDescent="0.25">
      <c r="R414" s="25"/>
      <c r="S414" s="25"/>
      <c r="T414" s="25"/>
      <c r="U414" s="25"/>
      <c r="V414" s="25"/>
      <c r="W414" s="25"/>
      <c r="X414" s="25"/>
      <c r="Y414" s="25"/>
      <c r="Z414" s="25"/>
      <c r="AA414" s="25"/>
      <c r="AB414" s="25"/>
      <c r="AC414" s="25"/>
      <c r="AD414" s="178"/>
    </row>
    <row r="415" spans="18:30" x14ac:dyDescent="0.25">
      <c r="R415" s="25"/>
      <c r="S415" s="25"/>
      <c r="T415" s="25"/>
      <c r="U415" s="25"/>
      <c r="V415" s="25"/>
      <c r="W415" s="25"/>
      <c r="X415" s="25"/>
      <c r="Y415" s="25"/>
      <c r="Z415" s="25"/>
      <c r="AA415" s="25"/>
      <c r="AB415" s="25"/>
      <c r="AC415" s="25"/>
      <c r="AD415" s="178"/>
    </row>
    <row r="416" spans="18:30" x14ac:dyDescent="0.25">
      <c r="R416" s="25"/>
      <c r="S416" s="25"/>
      <c r="T416" s="25"/>
      <c r="U416" s="25"/>
      <c r="V416" s="25"/>
      <c r="W416" s="25"/>
      <c r="X416" s="25"/>
      <c r="Y416" s="25"/>
      <c r="Z416" s="25"/>
      <c r="AA416" s="25"/>
      <c r="AB416" s="25"/>
      <c r="AC416" s="25"/>
      <c r="AD416" s="178"/>
    </row>
    <row r="417" spans="18:30" x14ac:dyDescent="0.25">
      <c r="R417" s="25"/>
      <c r="S417" s="25"/>
      <c r="T417" s="25"/>
      <c r="U417" s="25"/>
      <c r="V417" s="25"/>
      <c r="W417" s="25"/>
      <c r="X417" s="25"/>
      <c r="Y417" s="25"/>
      <c r="Z417" s="25"/>
      <c r="AA417" s="25"/>
      <c r="AB417" s="25"/>
      <c r="AC417" s="25"/>
      <c r="AD417" s="178"/>
    </row>
    <row r="418" spans="18:30" x14ac:dyDescent="0.25">
      <c r="R418" s="25"/>
      <c r="S418" s="25"/>
      <c r="T418" s="25"/>
      <c r="U418" s="25"/>
      <c r="V418" s="25"/>
      <c r="W418" s="25"/>
      <c r="X418" s="25"/>
      <c r="Y418" s="25"/>
      <c r="Z418" s="25"/>
      <c r="AA418" s="25"/>
      <c r="AB418" s="25"/>
      <c r="AC418" s="25"/>
      <c r="AD418" s="178"/>
    </row>
    <row r="419" spans="18:30" x14ac:dyDescent="0.25">
      <c r="R419" s="25"/>
      <c r="S419" s="25"/>
      <c r="T419" s="25"/>
      <c r="U419" s="25"/>
      <c r="V419" s="25"/>
      <c r="W419" s="25"/>
      <c r="X419" s="25"/>
      <c r="Y419" s="25"/>
      <c r="Z419" s="25"/>
      <c r="AA419" s="25"/>
      <c r="AB419" s="25"/>
      <c r="AC419" s="25"/>
      <c r="AD419" s="178"/>
    </row>
    <row r="420" spans="18:30" x14ac:dyDescent="0.25">
      <c r="R420" s="25"/>
      <c r="S420" s="25"/>
      <c r="T420" s="25"/>
      <c r="U420" s="25"/>
      <c r="V420" s="25"/>
      <c r="W420" s="25"/>
      <c r="X420" s="25"/>
      <c r="Y420" s="25"/>
      <c r="Z420" s="25"/>
      <c r="AA420" s="25"/>
      <c r="AB420" s="25"/>
      <c r="AC420" s="25"/>
      <c r="AD420" s="178"/>
    </row>
    <row r="421" spans="18:30" x14ac:dyDescent="0.25">
      <c r="R421" s="25"/>
      <c r="S421" s="25"/>
      <c r="T421" s="25"/>
      <c r="U421" s="25"/>
      <c r="V421" s="25"/>
      <c r="W421" s="25"/>
      <c r="X421" s="25"/>
      <c r="Y421" s="25"/>
      <c r="Z421" s="25"/>
      <c r="AA421" s="25"/>
      <c r="AB421" s="25"/>
      <c r="AC421" s="25"/>
      <c r="AD421" s="178"/>
    </row>
    <row r="422" spans="18:30" x14ac:dyDescent="0.25">
      <c r="R422" s="25"/>
      <c r="S422" s="25"/>
      <c r="T422" s="25"/>
      <c r="U422" s="25"/>
      <c r="V422" s="25"/>
      <c r="W422" s="25"/>
      <c r="X422" s="25"/>
      <c r="Y422" s="25"/>
      <c r="Z422" s="25"/>
      <c r="AA422" s="25"/>
      <c r="AB422" s="25"/>
      <c r="AC422" s="25"/>
      <c r="AD422" s="178"/>
    </row>
    <row r="423" spans="18:30" x14ac:dyDescent="0.25">
      <c r="R423" s="25"/>
      <c r="S423" s="25"/>
      <c r="T423" s="25"/>
      <c r="U423" s="25"/>
      <c r="V423" s="25"/>
      <c r="W423" s="25"/>
      <c r="X423" s="25"/>
      <c r="Y423" s="25"/>
      <c r="Z423" s="25"/>
      <c r="AA423" s="25"/>
      <c r="AB423" s="25"/>
      <c r="AC423" s="25"/>
      <c r="AD423" s="178"/>
    </row>
    <row r="424" spans="18:30" x14ac:dyDescent="0.25">
      <c r="R424" s="25"/>
      <c r="S424" s="25"/>
      <c r="T424" s="25"/>
      <c r="U424" s="25"/>
      <c r="V424" s="25"/>
      <c r="W424" s="25"/>
      <c r="X424" s="25"/>
      <c r="Y424" s="25"/>
      <c r="Z424" s="25"/>
      <c r="AA424" s="25"/>
      <c r="AB424" s="25"/>
      <c r="AC424" s="25"/>
      <c r="AD424" s="178"/>
    </row>
    <row r="425" spans="18:30" x14ac:dyDescent="0.25">
      <c r="R425" s="25"/>
      <c r="S425" s="25"/>
      <c r="T425" s="25"/>
      <c r="U425" s="25"/>
      <c r="V425" s="25"/>
      <c r="W425" s="25"/>
      <c r="X425" s="25"/>
      <c r="Y425" s="25"/>
      <c r="Z425" s="25"/>
      <c r="AA425" s="25"/>
      <c r="AB425" s="25"/>
      <c r="AC425" s="25"/>
      <c r="AD425" s="178"/>
    </row>
    <row r="426" spans="18:30" x14ac:dyDescent="0.25">
      <c r="R426" s="25"/>
      <c r="S426" s="25"/>
      <c r="T426" s="25"/>
      <c r="U426" s="25"/>
      <c r="V426" s="25"/>
      <c r="W426" s="25"/>
      <c r="X426" s="25"/>
      <c r="Y426" s="25"/>
      <c r="Z426" s="25"/>
      <c r="AA426" s="25"/>
      <c r="AB426" s="25"/>
      <c r="AC426" s="25"/>
      <c r="AD426" s="178"/>
    </row>
    <row r="427" spans="18:30" x14ac:dyDescent="0.25">
      <c r="R427" s="25"/>
      <c r="S427" s="25"/>
      <c r="T427" s="25"/>
      <c r="U427" s="25"/>
      <c r="V427" s="25"/>
      <c r="W427" s="25"/>
      <c r="X427" s="25"/>
      <c r="Y427" s="25"/>
      <c r="Z427" s="25"/>
      <c r="AA427" s="25"/>
      <c r="AB427" s="25"/>
      <c r="AC427" s="25"/>
      <c r="AD427" s="178"/>
    </row>
    <row r="428" spans="18:30" x14ac:dyDescent="0.25">
      <c r="R428" s="25"/>
      <c r="S428" s="25"/>
      <c r="T428" s="25"/>
      <c r="U428" s="25"/>
      <c r="V428" s="25"/>
      <c r="W428" s="25"/>
      <c r="X428" s="25"/>
      <c r="Y428" s="25"/>
      <c r="Z428" s="25"/>
      <c r="AA428" s="25"/>
      <c r="AB428" s="25"/>
      <c r="AC428" s="25"/>
      <c r="AD428" s="178"/>
    </row>
    <row r="429" spans="18:30" x14ac:dyDescent="0.25">
      <c r="R429" s="25"/>
      <c r="S429" s="25"/>
      <c r="T429" s="25"/>
      <c r="U429" s="25"/>
      <c r="V429" s="25"/>
      <c r="W429" s="25"/>
      <c r="X429" s="25"/>
      <c r="Y429" s="25"/>
      <c r="Z429" s="25"/>
      <c r="AA429" s="25"/>
      <c r="AB429" s="25"/>
      <c r="AC429" s="25"/>
      <c r="AD429" s="178"/>
    </row>
    <row r="430" spans="18:30" x14ac:dyDescent="0.25">
      <c r="R430" s="25"/>
      <c r="S430" s="25"/>
      <c r="T430" s="25"/>
      <c r="U430" s="25"/>
      <c r="V430" s="25"/>
      <c r="W430" s="25"/>
      <c r="X430" s="25"/>
      <c r="Y430" s="25"/>
      <c r="Z430" s="25"/>
      <c r="AA430" s="25"/>
      <c r="AB430" s="25"/>
      <c r="AC430" s="25"/>
      <c r="AD430" s="178"/>
    </row>
    <row r="431" spans="18:30" x14ac:dyDescent="0.25">
      <c r="R431" s="25"/>
      <c r="S431" s="25"/>
      <c r="T431" s="25"/>
      <c r="U431" s="25"/>
      <c r="V431" s="25"/>
      <c r="W431" s="25"/>
      <c r="X431" s="25"/>
      <c r="Y431" s="25"/>
      <c r="Z431" s="25"/>
      <c r="AA431" s="25"/>
      <c r="AB431" s="25"/>
      <c r="AC431" s="25"/>
      <c r="AD431" s="178"/>
    </row>
    <row r="432" spans="18:30" x14ac:dyDescent="0.25">
      <c r="R432" s="25"/>
      <c r="S432" s="25"/>
      <c r="T432" s="25"/>
      <c r="U432" s="25"/>
      <c r="V432" s="25"/>
      <c r="W432" s="25"/>
      <c r="X432" s="25"/>
      <c r="Y432" s="25"/>
      <c r="Z432" s="25"/>
      <c r="AA432" s="25"/>
      <c r="AB432" s="25"/>
      <c r="AC432" s="25"/>
      <c r="AD432" s="178"/>
    </row>
    <row r="433" spans="18:30" x14ac:dyDescent="0.25">
      <c r="R433" s="25"/>
      <c r="S433" s="25"/>
      <c r="T433" s="25"/>
      <c r="U433" s="25"/>
      <c r="V433" s="25"/>
      <c r="W433" s="25"/>
      <c r="X433" s="25"/>
      <c r="Y433" s="25"/>
      <c r="Z433" s="25"/>
      <c r="AA433" s="25"/>
      <c r="AB433" s="25"/>
      <c r="AC433" s="25"/>
      <c r="AD433" s="178"/>
    </row>
    <row r="434" spans="18:30" x14ac:dyDescent="0.25">
      <c r="R434" s="25"/>
      <c r="S434" s="25"/>
      <c r="T434" s="25"/>
      <c r="U434" s="25"/>
      <c r="V434" s="25"/>
      <c r="W434" s="25"/>
      <c r="X434" s="25"/>
      <c r="Y434" s="25"/>
      <c r="Z434" s="25"/>
      <c r="AA434" s="25"/>
      <c r="AB434" s="25"/>
      <c r="AC434" s="25"/>
      <c r="AD434" s="178"/>
    </row>
    <row r="435" spans="18:30" x14ac:dyDescent="0.25">
      <c r="R435" s="25"/>
      <c r="S435" s="25"/>
      <c r="T435" s="25"/>
      <c r="U435" s="25"/>
      <c r="V435" s="25"/>
      <c r="W435" s="25"/>
      <c r="X435" s="25"/>
      <c r="Y435" s="25"/>
      <c r="Z435" s="25"/>
      <c r="AA435" s="25"/>
      <c r="AB435" s="25"/>
      <c r="AC435" s="25"/>
      <c r="AD435" s="178"/>
    </row>
    <row r="436" spans="18:30" x14ac:dyDescent="0.25">
      <c r="R436" s="25"/>
      <c r="S436" s="25"/>
      <c r="T436" s="25"/>
      <c r="U436" s="25"/>
      <c r="V436" s="25"/>
      <c r="W436" s="25"/>
      <c r="X436" s="25"/>
      <c r="Y436" s="25"/>
      <c r="Z436" s="25"/>
      <c r="AA436" s="25"/>
      <c r="AB436" s="25"/>
      <c r="AC436" s="25"/>
      <c r="AD436" s="178"/>
    </row>
    <row r="437" spans="18:30" x14ac:dyDescent="0.25">
      <c r="R437" s="25"/>
      <c r="S437" s="25"/>
      <c r="T437" s="25"/>
      <c r="U437" s="25"/>
      <c r="V437" s="25"/>
      <c r="W437" s="25"/>
      <c r="X437" s="25"/>
      <c r="Y437" s="25"/>
      <c r="Z437" s="25"/>
      <c r="AA437" s="25"/>
      <c r="AB437" s="25"/>
      <c r="AC437" s="25"/>
      <c r="AD437" s="178"/>
    </row>
    <row r="438" spans="18:30" x14ac:dyDescent="0.25">
      <c r="R438" s="25"/>
      <c r="S438" s="25"/>
      <c r="T438" s="25"/>
      <c r="U438" s="25"/>
      <c r="V438" s="25"/>
      <c r="W438" s="25"/>
      <c r="X438" s="25"/>
      <c r="Y438" s="25"/>
      <c r="Z438" s="25"/>
      <c r="AA438" s="25"/>
      <c r="AB438" s="25"/>
      <c r="AC438" s="25"/>
      <c r="AD438" s="178"/>
    </row>
    <row r="439" spans="18:30" x14ac:dyDescent="0.25">
      <c r="R439" s="25"/>
      <c r="S439" s="25"/>
      <c r="T439" s="25"/>
      <c r="U439" s="25"/>
      <c r="V439" s="25"/>
      <c r="W439" s="25"/>
      <c r="X439" s="25"/>
      <c r="Y439" s="25"/>
      <c r="Z439" s="25"/>
      <c r="AA439" s="25"/>
      <c r="AB439" s="25"/>
      <c r="AC439" s="25"/>
      <c r="AD439" s="178"/>
    </row>
    <row r="440" spans="18:30" x14ac:dyDescent="0.25">
      <c r="R440" s="25"/>
      <c r="S440" s="25"/>
      <c r="T440" s="25"/>
      <c r="U440" s="25"/>
      <c r="V440" s="25"/>
      <c r="W440" s="25"/>
      <c r="X440" s="25"/>
      <c r="Y440" s="25"/>
      <c r="Z440" s="25"/>
      <c r="AA440" s="25"/>
      <c r="AB440" s="25"/>
      <c r="AC440" s="25"/>
      <c r="AD440" s="178"/>
    </row>
    <row r="441" spans="18:30" x14ac:dyDescent="0.25">
      <c r="R441" s="25"/>
      <c r="S441" s="25"/>
      <c r="T441" s="25"/>
      <c r="U441" s="25"/>
      <c r="V441" s="25"/>
      <c r="W441" s="25"/>
      <c r="X441" s="25"/>
      <c r="Y441" s="25"/>
      <c r="Z441" s="25"/>
      <c r="AA441" s="25"/>
      <c r="AB441" s="25"/>
      <c r="AC441" s="25"/>
      <c r="AD441" s="178"/>
    </row>
    <row r="442" spans="18:30" x14ac:dyDescent="0.25">
      <c r="R442" s="25"/>
      <c r="S442" s="25"/>
      <c r="T442" s="25"/>
      <c r="U442" s="25"/>
      <c r="V442" s="25"/>
      <c r="W442" s="25"/>
      <c r="X442" s="25"/>
      <c r="Y442" s="25"/>
      <c r="Z442" s="25"/>
      <c r="AA442" s="25"/>
      <c r="AB442" s="25"/>
      <c r="AC442" s="25"/>
      <c r="AD442" s="178"/>
    </row>
    <row r="443" spans="18:30" x14ac:dyDescent="0.25">
      <c r="R443" s="25"/>
      <c r="S443" s="25"/>
      <c r="T443" s="25"/>
      <c r="U443" s="25"/>
      <c r="V443" s="25"/>
      <c r="W443" s="25"/>
      <c r="X443" s="25"/>
      <c r="Y443" s="25"/>
      <c r="Z443" s="25"/>
      <c r="AA443" s="25"/>
      <c r="AB443" s="25"/>
      <c r="AC443" s="25"/>
      <c r="AD443" s="178"/>
    </row>
    <row r="444" spans="18:30" x14ac:dyDescent="0.25">
      <c r="R444" s="25"/>
      <c r="S444" s="25"/>
      <c r="T444" s="25"/>
      <c r="U444" s="25"/>
      <c r="V444" s="25"/>
      <c r="W444" s="25"/>
      <c r="X444" s="25"/>
      <c r="Y444" s="25"/>
      <c r="Z444" s="25"/>
      <c r="AA444" s="25"/>
      <c r="AB444" s="25"/>
      <c r="AC444" s="25"/>
      <c r="AD444" s="178"/>
    </row>
    <row r="445" spans="18:30" x14ac:dyDescent="0.25">
      <c r="R445" s="25"/>
      <c r="S445" s="25"/>
      <c r="T445" s="25"/>
      <c r="U445" s="25"/>
      <c r="V445" s="25"/>
      <c r="W445" s="25"/>
      <c r="X445" s="25"/>
      <c r="Y445" s="25"/>
      <c r="Z445" s="25"/>
      <c r="AA445" s="25"/>
      <c r="AB445" s="25"/>
      <c r="AC445" s="25"/>
      <c r="AD445" s="178"/>
    </row>
    <row r="446" spans="18:30" x14ac:dyDescent="0.25">
      <c r="R446" s="25"/>
      <c r="S446" s="25"/>
      <c r="T446" s="25"/>
      <c r="U446" s="25"/>
      <c r="V446" s="25"/>
      <c r="W446" s="25"/>
      <c r="X446" s="25"/>
      <c r="Y446" s="25"/>
      <c r="Z446" s="25"/>
      <c r="AA446" s="25"/>
      <c r="AB446" s="25"/>
      <c r="AC446" s="25"/>
      <c r="AD446" s="178"/>
    </row>
    <row r="447" spans="18:30" x14ac:dyDescent="0.25">
      <c r="R447" s="25"/>
      <c r="S447" s="25"/>
      <c r="T447" s="25"/>
      <c r="U447" s="25"/>
      <c r="V447" s="25"/>
      <c r="W447" s="25"/>
      <c r="X447" s="25"/>
      <c r="Y447" s="25"/>
      <c r="Z447" s="25"/>
      <c r="AA447" s="25"/>
      <c r="AB447" s="25"/>
      <c r="AC447" s="25"/>
      <c r="AD447" s="178"/>
    </row>
    <row r="448" spans="18:30" x14ac:dyDescent="0.25">
      <c r="R448" s="25"/>
      <c r="S448" s="25"/>
      <c r="T448" s="25"/>
      <c r="U448" s="25"/>
      <c r="V448" s="25"/>
      <c r="W448" s="25"/>
      <c r="X448" s="25"/>
      <c r="Y448" s="25"/>
      <c r="Z448" s="25"/>
      <c r="AA448" s="25"/>
      <c r="AB448" s="25"/>
      <c r="AC448" s="25"/>
      <c r="AD448" s="178"/>
    </row>
    <row r="449" spans="18:30" x14ac:dyDescent="0.25">
      <c r="R449" s="25"/>
      <c r="S449" s="25"/>
      <c r="T449" s="25"/>
      <c r="U449" s="25"/>
      <c r="V449" s="25"/>
      <c r="W449" s="25"/>
      <c r="X449" s="25"/>
      <c r="Y449" s="25"/>
      <c r="Z449" s="25"/>
      <c r="AA449" s="25"/>
      <c r="AB449" s="25"/>
      <c r="AC449" s="25"/>
      <c r="AD449" s="178"/>
    </row>
    <row r="450" spans="18:30" x14ac:dyDescent="0.25">
      <c r="R450" s="25"/>
      <c r="S450" s="25"/>
      <c r="T450" s="25"/>
      <c r="U450" s="25"/>
      <c r="V450" s="25"/>
      <c r="W450" s="25"/>
      <c r="X450" s="25"/>
      <c r="Y450" s="25"/>
      <c r="Z450" s="25"/>
      <c r="AA450" s="25"/>
      <c r="AB450" s="25"/>
      <c r="AC450" s="25"/>
      <c r="AD450" s="178"/>
    </row>
    <row r="451" spans="18:30" x14ac:dyDescent="0.25">
      <c r="R451" s="25"/>
      <c r="S451" s="25"/>
      <c r="T451" s="25"/>
      <c r="U451" s="25"/>
      <c r="V451" s="25"/>
      <c r="W451" s="25"/>
      <c r="X451" s="25"/>
      <c r="Y451" s="25"/>
      <c r="Z451" s="25"/>
      <c r="AA451" s="25"/>
      <c r="AB451" s="25"/>
      <c r="AC451" s="25"/>
      <c r="AD451" s="178"/>
    </row>
    <row r="452" spans="18:30" x14ac:dyDescent="0.25">
      <c r="R452" s="25"/>
      <c r="S452" s="25"/>
      <c r="T452" s="25"/>
      <c r="U452" s="25"/>
      <c r="V452" s="25"/>
      <c r="W452" s="25"/>
      <c r="X452" s="25"/>
      <c r="Y452" s="25"/>
      <c r="Z452" s="25"/>
      <c r="AA452" s="25"/>
      <c r="AB452" s="25"/>
      <c r="AC452" s="25"/>
      <c r="AD452" s="178"/>
    </row>
    <row r="453" spans="18:30" x14ac:dyDescent="0.25">
      <c r="R453" s="25"/>
      <c r="S453" s="25"/>
      <c r="T453" s="25"/>
      <c r="U453" s="25"/>
      <c r="V453" s="25"/>
      <c r="W453" s="25"/>
      <c r="X453" s="25"/>
      <c r="Y453" s="25"/>
      <c r="Z453" s="25"/>
      <c r="AA453" s="25"/>
      <c r="AB453" s="25"/>
      <c r="AC453" s="25"/>
      <c r="AD453" s="178"/>
    </row>
    <row r="454" spans="18:30" x14ac:dyDescent="0.25">
      <c r="R454" s="25"/>
      <c r="S454" s="25"/>
      <c r="T454" s="25"/>
      <c r="U454" s="25"/>
      <c r="V454" s="25"/>
      <c r="W454" s="25"/>
      <c r="X454" s="25"/>
      <c r="Y454" s="25"/>
      <c r="Z454" s="25"/>
      <c r="AA454" s="25"/>
      <c r="AB454" s="25"/>
      <c r="AC454" s="25"/>
      <c r="AD454" s="178"/>
    </row>
    <row r="455" spans="18:30" x14ac:dyDescent="0.25">
      <c r="R455" s="25"/>
      <c r="S455" s="25"/>
      <c r="T455" s="25"/>
      <c r="U455" s="25"/>
      <c r="V455" s="25"/>
      <c r="W455" s="25"/>
      <c r="X455" s="25"/>
      <c r="Y455" s="25"/>
      <c r="Z455" s="25"/>
      <c r="AA455" s="25"/>
      <c r="AB455" s="25"/>
      <c r="AC455" s="25"/>
      <c r="AD455" s="178"/>
    </row>
    <row r="456" spans="18:30" x14ac:dyDescent="0.25">
      <c r="R456" s="25"/>
      <c r="S456" s="25"/>
      <c r="T456" s="25"/>
      <c r="U456" s="25"/>
      <c r="V456" s="25"/>
      <c r="W456" s="25"/>
      <c r="X456" s="25"/>
      <c r="Y456" s="25"/>
      <c r="Z456" s="25"/>
      <c r="AA456" s="25"/>
      <c r="AB456" s="25"/>
      <c r="AC456" s="25"/>
      <c r="AD456" s="178"/>
    </row>
    <row r="457" spans="18:30" x14ac:dyDescent="0.25">
      <c r="R457" s="25"/>
      <c r="S457" s="25"/>
      <c r="T457" s="25"/>
      <c r="U457" s="25"/>
      <c r="V457" s="25"/>
      <c r="W457" s="25"/>
      <c r="X457" s="25"/>
      <c r="Y457" s="25"/>
      <c r="Z457" s="25"/>
      <c r="AA457" s="25"/>
      <c r="AB457" s="25"/>
      <c r="AC457" s="25"/>
      <c r="AD457" s="178"/>
    </row>
    <row r="458" spans="18:30" x14ac:dyDescent="0.25">
      <c r="R458" s="25"/>
      <c r="S458" s="25"/>
      <c r="T458" s="25"/>
      <c r="U458" s="25"/>
      <c r="V458" s="25"/>
      <c r="W458" s="25"/>
      <c r="X458" s="25"/>
      <c r="Y458" s="25"/>
      <c r="Z458" s="25"/>
      <c r="AA458" s="25"/>
      <c r="AB458" s="25"/>
      <c r="AC458" s="25"/>
      <c r="AD458" s="178"/>
    </row>
    <row r="459" spans="18:30" x14ac:dyDescent="0.25">
      <c r="R459" s="25"/>
      <c r="S459" s="25"/>
      <c r="T459" s="25"/>
      <c r="U459" s="25"/>
      <c r="V459" s="25"/>
      <c r="W459" s="25"/>
      <c r="X459" s="25"/>
      <c r="Y459" s="25"/>
      <c r="Z459" s="25"/>
      <c r="AA459" s="25"/>
      <c r="AB459" s="25"/>
      <c r="AC459" s="25"/>
      <c r="AD459" s="178"/>
    </row>
    <row r="460" spans="18:30" x14ac:dyDescent="0.25">
      <c r="R460" s="25"/>
      <c r="S460" s="25"/>
      <c r="T460" s="25"/>
      <c r="U460" s="25"/>
      <c r="V460" s="25"/>
      <c r="W460" s="25"/>
      <c r="X460" s="25"/>
      <c r="Y460" s="25"/>
      <c r="Z460" s="25"/>
      <c r="AA460" s="25"/>
      <c r="AB460" s="25"/>
      <c r="AC460" s="25"/>
      <c r="AD460" s="178"/>
    </row>
    <row r="461" spans="18:30" x14ac:dyDescent="0.25">
      <c r="R461" s="25"/>
      <c r="S461" s="25"/>
      <c r="T461" s="25"/>
      <c r="U461" s="25"/>
      <c r="V461" s="25"/>
      <c r="W461" s="25"/>
      <c r="X461" s="25"/>
      <c r="Y461" s="25"/>
      <c r="Z461" s="25"/>
      <c r="AA461" s="25"/>
      <c r="AB461" s="25"/>
      <c r="AC461" s="25"/>
      <c r="AD461" s="178"/>
    </row>
    <row r="462" spans="18:30" x14ac:dyDescent="0.25">
      <c r="R462" s="25"/>
      <c r="S462" s="25"/>
      <c r="T462" s="25"/>
      <c r="U462" s="25"/>
      <c r="V462" s="25"/>
      <c r="W462" s="25"/>
      <c r="X462" s="25"/>
      <c r="Y462" s="25"/>
      <c r="Z462" s="25"/>
      <c r="AA462" s="25"/>
      <c r="AB462" s="25"/>
      <c r="AC462" s="25"/>
      <c r="AD462" s="178"/>
    </row>
    <row r="463" spans="18:30" x14ac:dyDescent="0.25">
      <c r="R463" s="25"/>
      <c r="S463" s="25"/>
      <c r="T463" s="25"/>
      <c r="U463" s="25"/>
      <c r="V463" s="25"/>
      <c r="W463" s="25"/>
      <c r="X463" s="25"/>
      <c r="Y463" s="25"/>
      <c r="Z463" s="25"/>
      <c r="AA463" s="25"/>
      <c r="AB463" s="25"/>
      <c r="AC463" s="25"/>
      <c r="AD463" s="178"/>
    </row>
    <row r="464" spans="18:30" x14ac:dyDescent="0.25">
      <c r="R464" s="25"/>
      <c r="S464" s="25"/>
      <c r="T464" s="25"/>
      <c r="U464" s="25"/>
      <c r="V464" s="25"/>
      <c r="W464" s="25"/>
      <c r="X464" s="25"/>
      <c r="Y464" s="25"/>
      <c r="Z464" s="25"/>
      <c r="AA464" s="25"/>
      <c r="AB464" s="25"/>
      <c r="AC464" s="25"/>
      <c r="AD464" s="178"/>
    </row>
    <row r="465" spans="18:30" x14ac:dyDescent="0.25">
      <c r="R465" s="25"/>
      <c r="S465" s="25"/>
      <c r="T465" s="25"/>
      <c r="U465" s="25"/>
      <c r="V465" s="25"/>
      <c r="W465" s="25"/>
      <c r="X465" s="25"/>
      <c r="Y465" s="25"/>
      <c r="Z465" s="25"/>
      <c r="AA465" s="25"/>
      <c r="AB465" s="25"/>
      <c r="AC465" s="25"/>
      <c r="AD465" s="178"/>
    </row>
    <row r="466" spans="18:30" x14ac:dyDescent="0.25">
      <c r="R466" s="25"/>
      <c r="S466" s="25"/>
      <c r="T466" s="25"/>
      <c r="U466" s="25"/>
      <c r="V466" s="25"/>
      <c r="W466" s="25"/>
      <c r="X466" s="25"/>
      <c r="Y466" s="25"/>
      <c r="Z466" s="25"/>
      <c r="AA466" s="25"/>
      <c r="AB466" s="25"/>
      <c r="AC466" s="25"/>
      <c r="AD466" s="178"/>
    </row>
    <row r="467" spans="18:30" x14ac:dyDescent="0.25">
      <c r="R467" s="25"/>
      <c r="S467" s="25"/>
      <c r="T467" s="25"/>
      <c r="U467" s="25"/>
      <c r="V467" s="25"/>
      <c r="W467" s="25"/>
      <c r="X467" s="25"/>
      <c r="Y467" s="25"/>
      <c r="Z467" s="25"/>
      <c r="AA467" s="25"/>
      <c r="AB467" s="25"/>
      <c r="AC467" s="25"/>
      <c r="AD467" s="178"/>
    </row>
    <row r="468" spans="18:30" x14ac:dyDescent="0.25">
      <c r="R468" s="25"/>
      <c r="S468" s="25"/>
      <c r="T468" s="25"/>
      <c r="U468" s="25"/>
      <c r="V468" s="25"/>
      <c r="W468" s="25"/>
      <c r="X468" s="25"/>
      <c r="Y468" s="25"/>
      <c r="Z468" s="25"/>
      <c r="AA468" s="25"/>
      <c r="AB468" s="25"/>
      <c r="AC468" s="25"/>
      <c r="AD468" s="178"/>
    </row>
    <row r="469" spans="18:30" x14ac:dyDescent="0.25">
      <c r="R469" s="25"/>
      <c r="S469" s="25"/>
      <c r="T469" s="25"/>
      <c r="U469" s="25"/>
      <c r="V469" s="25"/>
      <c r="W469" s="25"/>
      <c r="X469" s="25"/>
      <c r="Y469" s="25"/>
      <c r="Z469" s="25"/>
      <c r="AA469" s="25"/>
      <c r="AB469" s="25"/>
      <c r="AC469" s="25"/>
      <c r="AD469" s="178"/>
    </row>
    <row r="470" spans="18:30" x14ac:dyDescent="0.25">
      <c r="R470" s="25"/>
      <c r="S470" s="25"/>
      <c r="T470" s="25"/>
      <c r="U470" s="25"/>
      <c r="V470" s="25"/>
      <c r="W470" s="25"/>
      <c r="X470" s="25"/>
      <c r="Y470" s="25"/>
      <c r="Z470" s="25"/>
      <c r="AA470" s="25"/>
      <c r="AB470" s="25"/>
      <c r="AC470" s="25"/>
      <c r="AD470" s="178"/>
    </row>
    <row r="471" spans="18:30" x14ac:dyDescent="0.25">
      <c r="R471" s="25"/>
      <c r="S471" s="25"/>
      <c r="T471" s="25"/>
      <c r="U471" s="25"/>
      <c r="V471" s="25"/>
      <c r="W471" s="25"/>
      <c r="X471" s="25"/>
      <c r="Y471" s="25"/>
      <c r="Z471" s="25"/>
      <c r="AA471" s="25"/>
      <c r="AB471" s="25"/>
      <c r="AC471" s="25"/>
      <c r="AD471" s="178"/>
    </row>
    <row r="472" spans="18:30" x14ac:dyDescent="0.25">
      <c r="R472" s="25"/>
      <c r="S472" s="25"/>
      <c r="T472" s="25"/>
      <c r="U472" s="25"/>
      <c r="V472" s="25"/>
      <c r="W472" s="25"/>
      <c r="X472" s="25"/>
      <c r="Y472" s="25"/>
      <c r="Z472" s="25"/>
      <c r="AA472" s="25"/>
      <c r="AB472" s="25"/>
      <c r="AC472" s="25"/>
      <c r="AD472" s="178"/>
    </row>
    <row r="473" spans="18:30" x14ac:dyDescent="0.25">
      <c r="R473" s="25"/>
      <c r="S473" s="25"/>
      <c r="T473" s="25"/>
      <c r="U473" s="25"/>
      <c r="V473" s="25"/>
      <c r="W473" s="25"/>
      <c r="X473" s="25"/>
      <c r="Y473" s="25"/>
      <c r="Z473" s="25"/>
      <c r="AA473" s="25"/>
      <c r="AB473" s="25"/>
      <c r="AC473" s="25"/>
      <c r="AD473" s="178"/>
    </row>
    <row r="474" spans="18:30" x14ac:dyDescent="0.25">
      <c r="R474" s="25"/>
      <c r="S474" s="25"/>
      <c r="T474" s="25"/>
      <c r="U474" s="25"/>
      <c r="V474" s="25"/>
      <c r="W474" s="25"/>
      <c r="X474" s="25"/>
      <c r="Y474" s="25"/>
      <c r="Z474" s="25"/>
      <c r="AA474" s="25"/>
      <c r="AB474" s="25"/>
      <c r="AC474" s="25"/>
      <c r="AD474" s="178"/>
    </row>
    <row r="475" spans="18:30" x14ac:dyDescent="0.25">
      <c r="R475" s="25"/>
      <c r="S475" s="25"/>
      <c r="T475" s="25"/>
      <c r="U475" s="25"/>
      <c r="V475" s="25"/>
      <c r="W475" s="25"/>
      <c r="X475" s="25"/>
      <c r="Y475" s="25"/>
      <c r="Z475" s="25"/>
      <c r="AA475" s="25"/>
      <c r="AB475" s="25"/>
      <c r="AC475" s="25"/>
      <c r="AD475" s="178"/>
    </row>
    <row r="476" spans="18:30" x14ac:dyDescent="0.25">
      <c r="R476" s="25"/>
      <c r="S476" s="25"/>
      <c r="T476" s="25"/>
      <c r="U476" s="25"/>
      <c r="V476" s="25"/>
      <c r="W476" s="25"/>
      <c r="X476" s="25"/>
      <c r="Y476" s="25"/>
      <c r="Z476" s="25"/>
      <c r="AA476" s="25"/>
      <c r="AB476" s="25"/>
      <c r="AC476" s="25"/>
      <c r="AD476" s="178"/>
    </row>
    <row r="477" spans="18:30" x14ac:dyDescent="0.25">
      <c r="R477" s="25"/>
      <c r="S477" s="25"/>
      <c r="T477" s="25"/>
      <c r="U477" s="25"/>
      <c r="V477" s="25"/>
      <c r="W477" s="25"/>
      <c r="X477" s="25"/>
      <c r="Y477" s="25"/>
      <c r="Z477" s="25"/>
      <c r="AA477" s="25"/>
      <c r="AB477" s="25"/>
      <c r="AC477" s="25"/>
      <c r="AD477" s="178"/>
    </row>
    <row r="478" spans="18:30" x14ac:dyDescent="0.25">
      <c r="R478" s="25"/>
      <c r="S478" s="25"/>
      <c r="T478" s="25"/>
      <c r="U478" s="25"/>
      <c r="V478" s="25"/>
      <c r="W478" s="25"/>
      <c r="X478" s="25"/>
      <c r="Y478" s="25"/>
      <c r="Z478" s="25"/>
      <c r="AA478" s="25"/>
      <c r="AB478" s="25"/>
      <c r="AC478" s="25"/>
      <c r="AD478" s="178"/>
    </row>
    <row r="479" spans="18:30" x14ac:dyDescent="0.25">
      <c r="R479" s="25"/>
      <c r="S479" s="25"/>
      <c r="T479" s="25"/>
      <c r="U479" s="25"/>
      <c r="V479" s="25"/>
      <c r="W479" s="25"/>
      <c r="X479" s="25"/>
      <c r="Y479" s="25"/>
      <c r="Z479" s="25"/>
      <c r="AA479" s="25"/>
      <c r="AB479" s="25"/>
      <c r="AC479" s="25"/>
      <c r="AD479" s="178"/>
    </row>
    <row r="480" spans="18:30" x14ac:dyDescent="0.25">
      <c r="R480" s="25"/>
      <c r="S480" s="25"/>
      <c r="T480" s="25"/>
      <c r="U480" s="25"/>
      <c r="V480" s="25"/>
      <c r="W480" s="25"/>
      <c r="X480" s="25"/>
      <c r="Y480" s="25"/>
      <c r="Z480" s="25"/>
      <c r="AA480" s="25"/>
      <c r="AB480" s="25"/>
      <c r="AC480" s="25"/>
      <c r="AD480" s="178"/>
    </row>
    <row r="481" spans="18:30" x14ac:dyDescent="0.25">
      <c r="R481" s="25"/>
      <c r="S481" s="25"/>
      <c r="T481" s="25"/>
      <c r="U481" s="25"/>
      <c r="V481" s="25"/>
      <c r="W481" s="25"/>
      <c r="X481" s="25"/>
      <c r="Y481" s="25"/>
      <c r="Z481" s="25"/>
      <c r="AA481" s="25"/>
      <c r="AB481" s="25"/>
      <c r="AC481" s="25"/>
      <c r="AD481" s="178"/>
    </row>
    <row r="482" spans="18:30" x14ac:dyDescent="0.25">
      <c r="R482" s="25"/>
      <c r="S482" s="25"/>
      <c r="T482" s="25"/>
      <c r="U482" s="25"/>
      <c r="V482" s="25"/>
      <c r="W482" s="25"/>
      <c r="X482" s="25"/>
      <c r="Y482" s="25"/>
      <c r="Z482" s="25"/>
      <c r="AA482" s="25"/>
      <c r="AB482" s="25"/>
      <c r="AC482" s="25"/>
      <c r="AD482" s="178"/>
    </row>
    <row r="483" spans="18:30" x14ac:dyDescent="0.25">
      <c r="R483" s="25"/>
      <c r="S483" s="25"/>
      <c r="T483" s="25"/>
      <c r="U483" s="25"/>
      <c r="V483" s="25"/>
      <c r="W483" s="25"/>
      <c r="X483" s="25"/>
      <c r="Y483" s="25"/>
      <c r="Z483" s="25"/>
      <c r="AA483" s="25"/>
      <c r="AB483" s="25"/>
      <c r="AC483" s="25"/>
      <c r="AD483" s="178"/>
    </row>
    <row r="484" spans="18:30" x14ac:dyDescent="0.25">
      <c r="R484" s="25"/>
      <c r="S484" s="25"/>
      <c r="T484" s="25"/>
      <c r="U484" s="25"/>
      <c r="V484" s="25"/>
      <c r="W484" s="25"/>
      <c r="X484" s="25"/>
      <c r="Y484" s="25"/>
      <c r="Z484" s="25"/>
      <c r="AA484" s="25"/>
      <c r="AB484" s="25"/>
      <c r="AC484" s="25"/>
      <c r="AD484" s="178"/>
    </row>
    <row r="485" spans="18:30" x14ac:dyDescent="0.25">
      <c r="R485" s="25"/>
      <c r="S485" s="25"/>
      <c r="T485" s="25"/>
      <c r="U485" s="25"/>
      <c r="V485" s="25"/>
      <c r="W485" s="25"/>
      <c r="X485" s="25"/>
      <c r="Y485" s="25"/>
      <c r="Z485" s="25"/>
      <c r="AA485" s="25"/>
      <c r="AB485" s="25"/>
      <c r="AC485" s="25"/>
      <c r="AD485" s="178"/>
    </row>
    <row r="486" spans="18:30" x14ac:dyDescent="0.25">
      <c r="R486" s="25"/>
      <c r="S486" s="25"/>
      <c r="T486" s="25"/>
      <c r="U486" s="25"/>
      <c r="V486" s="25"/>
      <c r="W486" s="25"/>
      <c r="X486" s="25"/>
      <c r="Y486" s="25"/>
      <c r="Z486" s="25"/>
      <c r="AA486" s="25"/>
      <c r="AB486" s="25"/>
      <c r="AC486" s="25"/>
      <c r="AD486" s="178"/>
    </row>
    <row r="487" spans="18:30" x14ac:dyDescent="0.25">
      <c r="R487" s="25"/>
      <c r="S487" s="25"/>
      <c r="T487" s="25"/>
      <c r="U487" s="25"/>
      <c r="V487" s="25"/>
      <c r="W487" s="25"/>
      <c r="X487" s="25"/>
      <c r="Y487" s="25"/>
      <c r="Z487" s="25"/>
      <c r="AA487" s="25"/>
      <c r="AB487" s="25"/>
      <c r="AC487" s="25"/>
      <c r="AD487" s="178"/>
    </row>
    <row r="488" spans="18:30" x14ac:dyDescent="0.25">
      <c r="R488" s="25"/>
      <c r="S488" s="25"/>
      <c r="T488" s="25"/>
      <c r="U488" s="25"/>
      <c r="V488" s="25"/>
      <c r="W488" s="25"/>
      <c r="X488" s="25"/>
      <c r="Y488" s="25"/>
      <c r="Z488" s="25"/>
      <c r="AA488" s="25"/>
      <c r="AB488" s="25"/>
      <c r="AC488" s="25"/>
      <c r="AD488" s="178"/>
    </row>
    <row r="489" spans="18:30" x14ac:dyDescent="0.25">
      <c r="R489" s="25"/>
      <c r="S489" s="25"/>
      <c r="T489" s="25"/>
      <c r="U489" s="25"/>
      <c r="V489" s="25"/>
      <c r="W489" s="25"/>
      <c r="X489" s="25"/>
      <c r="Y489" s="25"/>
      <c r="Z489" s="25"/>
      <c r="AA489" s="25"/>
      <c r="AB489" s="25"/>
      <c r="AC489" s="25"/>
      <c r="AD489" s="178"/>
    </row>
    <row r="490" spans="18:30" x14ac:dyDescent="0.25">
      <c r="R490" s="25"/>
      <c r="S490" s="25"/>
      <c r="T490" s="25"/>
      <c r="U490" s="25"/>
      <c r="V490" s="25"/>
      <c r="W490" s="25"/>
      <c r="X490" s="25"/>
      <c r="Y490" s="25"/>
      <c r="Z490" s="25"/>
      <c r="AA490" s="25"/>
      <c r="AB490" s="25"/>
      <c r="AC490" s="25"/>
      <c r="AD490" s="178"/>
    </row>
    <row r="491" spans="18:30" x14ac:dyDescent="0.25">
      <c r="R491" s="25"/>
      <c r="S491" s="25"/>
      <c r="T491" s="25"/>
      <c r="U491" s="25"/>
      <c r="V491" s="25"/>
      <c r="W491" s="25"/>
      <c r="X491" s="25"/>
      <c r="Y491" s="25"/>
      <c r="Z491" s="25"/>
      <c r="AA491" s="25"/>
      <c r="AB491" s="25"/>
      <c r="AC491" s="25"/>
      <c r="AD491" s="178"/>
    </row>
    <row r="492" spans="18:30" x14ac:dyDescent="0.25">
      <c r="R492" s="25"/>
      <c r="S492" s="25"/>
      <c r="T492" s="25"/>
      <c r="U492" s="25"/>
      <c r="V492" s="25"/>
      <c r="W492" s="25"/>
      <c r="X492" s="25"/>
      <c r="Y492" s="25"/>
      <c r="Z492" s="25"/>
      <c r="AA492" s="25"/>
      <c r="AB492" s="25"/>
      <c r="AC492" s="25"/>
      <c r="AD492" s="178"/>
    </row>
    <row r="493" spans="18:30" x14ac:dyDescent="0.25">
      <c r="R493" s="25"/>
      <c r="S493" s="25"/>
      <c r="T493" s="25"/>
      <c r="U493" s="25"/>
      <c r="V493" s="25"/>
      <c r="W493" s="25"/>
      <c r="X493" s="25"/>
      <c r="Y493" s="25"/>
      <c r="Z493" s="25"/>
      <c r="AA493" s="25"/>
      <c r="AB493" s="25"/>
      <c r="AC493" s="25"/>
      <c r="AD493" s="178"/>
    </row>
    <row r="494" spans="18:30" x14ac:dyDescent="0.25">
      <c r="R494" s="25"/>
      <c r="S494" s="25"/>
      <c r="T494" s="25"/>
      <c r="U494" s="25"/>
      <c r="V494" s="25"/>
      <c r="W494" s="25"/>
      <c r="X494" s="25"/>
      <c r="Y494" s="25"/>
      <c r="Z494" s="25"/>
      <c r="AA494" s="25"/>
      <c r="AB494" s="25"/>
      <c r="AC494" s="25"/>
      <c r="AD494" s="178"/>
    </row>
    <row r="495" spans="18:30" x14ac:dyDescent="0.25">
      <c r="R495" s="25"/>
      <c r="S495" s="25"/>
      <c r="T495" s="25"/>
      <c r="U495" s="25"/>
      <c r="V495" s="25"/>
      <c r="W495" s="25"/>
      <c r="X495" s="25"/>
      <c r="Y495" s="25"/>
      <c r="Z495" s="25"/>
      <c r="AA495" s="25"/>
      <c r="AB495" s="25"/>
      <c r="AC495" s="25"/>
      <c r="AD495" s="178"/>
    </row>
    <row r="496" spans="18:30" x14ac:dyDescent="0.25">
      <c r="R496" s="25"/>
      <c r="S496" s="25"/>
      <c r="T496" s="25"/>
      <c r="U496" s="25"/>
      <c r="V496" s="25"/>
      <c r="W496" s="25"/>
      <c r="X496" s="25"/>
      <c r="Y496" s="25"/>
      <c r="Z496" s="25"/>
      <c r="AA496" s="25"/>
      <c r="AB496" s="25"/>
      <c r="AC496" s="25"/>
      <c r="AD496" s="178"/>
    </row>
    <row r="497" spans="18:30" x14ac:dyDescent="0.25">
      <c r="R497" s="25"/>
      <c r="S497" s="25"/>
      <c r="T497" s="25"/>
      <c r="U497" s="25"/>
      <c r="V497" s="25"/>
      <c r="W497" s="25"/>
      <c r="X497" s="25"/>
      <c r="Y497" s="25"/>
      <c r="Z497" s="25"/>
      <c r="AA497" s="25"/>
      <c r="AB497" s="25"/>
      <c r="AC497" s="25"/>
      <c r="AD497" s="178"/>
    </row>
    <row r="498" spans="18:30" x14ac:dyDescent="0.25">
      <c r="R498" s="25"/>
      <c r="S498" s="25"/>
      <c r="T498" s="25"/>
      <c r="U498" s="25"/>
      <c r="V498" s="25"/>
      <c r="W498" s="25"/>
      <c r="X498" s="25"/>
      <c r="Y498" s="25"/>
      <c r="Z498" s="25"/>
      <c r="AA498" s="25"/>
      <c r="AB498" s="25"/>
      <c r="AC498" s="25"/>
      <c r="AD498" s="178"/>
    </row>
    <row r="499" spans="18:30" x14ac:dyDescent="0.25">
      <c r="R499" s="25"/>
      <c r="S499" s="25"/>
      <c r="T499" s="25"/>
      <c r="U499" s="25"/>
      <c r="V499" s="25"/>
      <c r="W499" s="25"/>
      <c r="X499" s="25"/>
      <c r="Y499" s="25"/>
      <c r="Z499" s="25"/>
      <c r="AA499" s="25"/>
      <c r="AB499" s="25"/>
      <c r="AC499" s="25"/>
      <c r="AD499" s="178"/>
    </row>
    <row r="500" spans="18:30" x14ac:dyDescent="0.25">
      <c r="R500" s="25"/>
      <c r="S500" s="25"/>
      <c r="T500" s="25"/>
      <c r="U500" s="25"/>
      <c r="V500" s="25"/>
      <c r="W500" s="25"/>
      <c r="X500" s="25"/>
      <c r="Y500" s="25"/>
      <c r="Z500" s="25"/>
      <c r="AA500" s="25"/>
      <c r="AB500" s="25"/>
      <c r="AC500" s="25"/>
      <c r="AD500" s="178"/>
    </row>
    <row r="501" spans="18:30" x14ac:dyDescent="0.25">
      <c r="R501" s="25"/>
      <c r="S501" s="25"/>
      <c r="T501" s="25"/>
      <c r="U501" s="25"/>
      <c r="V501" s="25"/>
      <c r="W501" s="25"/>
      <c r="X501" s="25"/>
      <c r="Y501" s="25"/>
      <c r="Z501" s="25"/>
      <c r="AA501" s="25"/>
      <c r="AB501" s="25"/>
      <c r="AC501" s="25"/>
      <c r="AD501" s="178"/>
    </row>
    <row r="502" spans="18:30" x14ac:dyDescent="0.25">
      <c r="R502" s="25"/>
      <c r="S502" s="25"/>
      <c r="T502" s="25"/>
      <c r="U502" s="25"/>
      <c r="V502" s="25"/>
      <c r="W502" s="25"/>
      <c r="X502" s="25"/>
      <c r="Y502" s="25"/>
      <c r="Z502" s="25"/>
      <c r="AA502" s="25"/>
      <c r="AB502" s="25"/>
      <c r="AC502" s="25"/>
      <c r="AD502" s="178"/>
    </row>
    <row r="503" spans="18:30" x14ac:dyDescent="0.25">
      <c r="R503" s="25"/>
      <c r="S503" s="25"/>
      <c r="T503" s="25"/>
      <c r="U503" s="25"/>
      <c r="V503" s="25"/>
      <c r="W503" s="25"/>
      <c r="X503" s="25"/>
      <c r="Y503" s="25"/>
      <c r="Z503" s="25"/>
      <c r="AA503" s="25"/>
      <c r="AB503" s="25"/>
      <c r="AC503" s="25"/>
      <c r="AD503" s="178"/>
    </row>
    <row r="504" spans="18:30" x14ac:dyDescent="0.25">
      <c r="R504" s="25"/>
      <c r="S504" s="25"/>
      <c r="T504" s="25"/>
      <c r="U504" s="25"/>
      <c r="V504" s="25"/>
      <c r="W504" s="25"/>
      <c r="X504" s="25"/>
      <c r="Y504" s="25"/>
      <c r="Z504" s="25"/>
      <c r="AA504" s="25"/>
      <c r="AB504" s="25"/>
      <c r="AC504" s="25"/>
      <c r="AD504" s="178"/>
    </row>
    <row r="505" spans="18:30" x14ac:dyDescent="0.25">
      <c r="R505" s="25"/>
      <c r="S505" s="25"/>
      <c r="T505" s="25"/>
      <c r="U505" s="25"/>
      <c r="V505" s="25"/>
      <c r="W505" s="25"/>
      <c r="X505" s="25"/>
      <c r="Y505" s="25"/>
      <c r="Z505" s="25"/>
      <c r="AA505" s="25"/>
      <c r="AB505" s="25"/>
      <c r="AC505" s="25"/>
      <c r="AD505" s="178"/>
    </row>
    <row r="506" spans="18:30" x14ac:dyDescent="0.25">
      <c r="R506" s="25"/>
      <c r="S506" s="25"/>
      <c r="T506" s="25"/>
      <c r="U506" s="25"/>
      <c r="V506" s="25"/>
      <c r="W506" s="25"/>
      <c r="X506" s="25"/>
      <c r="Y506" s="25"/>
      <c r="Z506" s="25"/>
      <c r="AA506" s="25"/>
      <c r="AB506" s="25"/>
      <c r="AC506" s="25"/>
      <c r="AD506" s="178"/>
    </row>
    <row r="507" spans="18:30" x14ac:dyDescent="0.25">
      <c r="R507" s="25"/>
      <c r="S507" s="25"/>
      <c r="T507" s="25"/>
      <c r="U507" s="25"/>
      <c r="V507" s="25"/>
      <c r="W507" s="25"/>
      <c r="X507" s="25"/>
      <c r="Y507" s="25"/>
      <c r="Z507" s="25"/>
      <c r="AA507" s="25"/>
      <c r="AB507" s="25"/>
      <c r="AC507" s="25"/>
      <c r="AD507" s="178"/>
    </row>
    <row r="508" spans="18:30" x14ac:dyDescent="0.25">
      <c r="R508" s="25"/>
      <c r="S508" s="25"/>
      <c r="T508" s="25"/>
      <c r="U508" s="25"/>
      <c r="V508" s="25"/>
      <c r="W508" s="25"/>
      <c r="X508" s="25"/>
      <c r="Y508" s="25"/>
      <c r="Z508" s="25"/>
      <c r="AA508" s="25"/>
      <c r="AB508" s="25"/>
      <c r="AC508" s="25"/>
      <c r="AD508" s="178"/>
    </row>
    <row r="509" spans="18:30" x14ac:dyDescent="0.25">
      <c r="R509" s="25"/>
      <c r="S509" s="25"/>
      <c r="T509" s="25"/>
      <c r="U509" s="25"/>
      <c r="V509" s="25"/>
      <c r="W509" s="25"/>
      <c r="X509" s="25"/>
      <c r="Y509" s="25"/>
      <c r="Z509" s="25"/>
      <c r="AA509" s="25"/>
      <c r="AB509" s="25"/>
      <c r="AC509" s="25"/>
      <c r="AD509" s="178"/>
    </row>
    <row r="510" spans="18:30" x14ac:dyDescent="0.25">
      <c r="R510" s="25"/>
      <c r="S510" s="25"/>
      <c r="T510" s="25"/>
      <c r="U510" s="25"/>
      <c r="V510" s="25"/>
      <c r="W510" s="25"/>
      <c r="X510" s="25"/>
      <c r="Y510" s="25"/>
      <c r="Z510" s="25"/>
      <c r="AA510" s="25"/>
      <c r="AB510" s="25"/>
      <c r="AC510" s="25"/>
      <c r="AD510" s="178"/>
    </row>
    <row r="511" spans="18:30" x14ac:dyDescent="0.25">
      <c r="R511" s="25"/>
      <c r="S511" s="25"/>
      <c r="T511" s="25"/>
      <c r="U511" s="25"/>
      <c r="V511" s="25"/>
      <c r="W511" s="25"/>
      <c r="X511" s="25"/>
      <c r="Y511" s="25"/>
      <c r="Z511" s="25"/>
      <c r="AA511" s="25"/>
      <c r="AB511" s="25"/>
      <c r="AC511" s="25"/>
      <c r="AD511" s="178"/>
    </row>
    <row r="512" spans="18:30" x14ac:dyDescent="0.25">
      <c r="R512" s="25"/>
      <c r="S512" s="25"/>
      <c r="T512" s="25"/>
      <c r="U512" s="25"/>
      <c r="V512" s="25"/>
      <c r="W512" s="25"/>
      <c r="X512" s="25"/>
      <c r="Y512" s="25"/>
      <c r="Z512" s="25"/>
      <c r="AA512" s="25"/>
      <c r="AB512" s="25"/>
      <c r="AC512" s="25"/>
      <c r="AD512" s="178"/>
    </row>
    <row r="513" spans="18:30" x14ac:dyDescent="0.25">
      <c r="R513" s="25"/>
      <c r="S513" s="25"/>
      <c r="T513" s="25"/>
      <c r="U513" s="25"/>
      <c r="V513" s="25"/>
      <c r="W513" s="25"/>
      <c r="X513" s="25"/>
      <c r="Y513" s="25"/>
      <c r="Z513" s="25"/>
      <c r="AA513" s="25"/>
      <c r="AB513" s="25"/>
      <c r="AC513" s="25"/>
      <c r="AD513" s="178"/>
    </row>
    <row r="514" spans="18:30" x14ac:dyDescent="0.25">
      <c r="R514" s="25"/>
      <c r="S514" s="25"/>
      <c r="T514" s="25"/>
      <c r="U514" s="25"/>
      <c r="V514" s="25"/>
      <c r="W514" s="25"/>
      <c r="X514" s="25"/>
      <c r="Y514" s="25"/>
      <c r="Z514" s="25"/>
      <c r="AA514" s="25"/>
      <c r="AB514" s="25"/>
      <c r="AC514" s="25"/>
      <c r="AD514" s="178"/>
    </row>
    <row r="515" spans="18:30" x14ac:dyDescent="0.25">
      <c r="R515" s="25"/>
      <c r="S515" s="25"/>
      <c r="T515" s="25"/>
      <c r="U515" s="25"/>
      <c r="V515" s="25"/>
      <c r="W515" s="25"/>
      <c r="X515" s="25"/>
      <c r="Y515" s="25"/>
      <c r="Z515" s="25"/>
      <c r="AA515" s="25"/>
      <c r="AB515" s="25"/>
      <c r="AC515" s="25"/>
      <c r="AD515" s="178"/>
    </row>
    <row r="516" spans="18:30" x14ac:dyDescent="0.25">
      <c r="R516" s="25"/>
      <c r="S516" s="25"/>
      <c r="T516" s="25"/>
      <c r="U516" s="25"/>
      <c r="V516" s="25"/>
      <c r="W516" s="25"/>
      <c r="X516" s="25"/>
      <c r="Y516" s="25"/>
      <c r="Z516" s="25"/>
      <c r="AA516" s="25"/>
      <c r="AB516" s="25"/>
      <c r="AC516" s="25"/>
      <c r="AD516" s="178"/>
    </row>
    <row r="517" spans="18:30" x14ac:dyDescent="0.25">
      <c r="R517" s="25"/>
      <c r="S517" s="25"/>
      <c r="T517" s="25"/>
      <c r="U517" s="25"/>
      <c r="V517" s="25"/>
      <c r="W517" s="25"/>
      <c r="X517" s="25"/>
      <c r="Y517" s="25"/>
      <c r="Z517" s="25"/>
      <c r="AA517" s="25"/>
      <c r="AB517" s="25"/>
      <c r="AC517" s="25"/>
      <c r="AD517" s="178"/>
    </row>
    <row r="518" spans="18:30" x14ac:dyDescent="0.25">
      <c r="R518" s="25"/>
      <c r="S518" s="25"/>
      <c r="T518" s="25"/>
      <c r="U518" s="25"/>
      <c r="V518" s="25"/>
      <c r="W518" s="25"/>
      <c r="X518" s="25"/>
      <c r="Y518" s="25"/>
      <c r="Z518" s="25"/>
      <c r="AA518" s="25"/>
      <c r="AB518" s="25"/>
      <c r="AC518" s="25"/>
      <c r="AD518" s="178"/>
    </row>
    <row r="519" spans="18:30" x14ac:dyDescent="0.25">
      <c r="R519" s="25"/>
      <c r="S519" s="25"/>
      <c r="T519" s="25"/>
      <c r="U519" s="25"/>
      <c r="V519" s="25"/>
      <c r="W519" s="25"/>
      <c r="X519" s="25"/>
      <c r="Y519" s="25"/>
      <c r="Z519" s="25"/>
      <c r="AA519" s="25"/>
      <c r="AB519" s="25"/>
      <c r="AC519" s="25"/>
      <c r="AD519" s="178"/>
    </row>
    <row r="520" spans="18:30" x14ac:dyDescent="0.25">
      <c r="R520" s="25"/>
      <c r="S520" s="25"/>
      <c r="T520" s="25"/>
      <c r="U520" s="25"/>
      <c r="V520" s="25"/>
      <c r="W520" s="25"/>
      <c r="X520" s="25"/>
      <c r="Y520" s="25"/>
      <c r="Z520" s="25"/>
      <c r="AA520" s="25"/>
      <c r="AB520" s="25"/>
      <c r="AC520" s="25"/>
      <c r="AD520" s="178"/>
    </row>
    <row r="521" spans="18:30" x14ac:dyDescent="0.25">
      <c r="R521" s="25"/>
      <c r="S521" s="25"/>
      <c r="T521" s="25"/>
      <c r="U521" s="25"/>
      <c r="V521" s="25"/>
      <c r="W521" s="25"/>
      <c r="X521" s="25"/>
      <c r="Y521" s="25"/>
      <c r="Z521" s="25"/>
      <c r="AA521" s="25"/>
      <c r="AB521" s="25"/>
      <c r="AC521" s="25"/>
      <c r="AD521" s="178"/>
    </row>
    <row r="522" spans="18:30" x14ac:dyDescent="0.25">
      <c r="R522" s="25"/>
      <c r="S522" s="25"/>
      <c r="T522" s="25"/>
      <c r="U522" s="25"/>
      <c r="V522" s="25"/>
      <c r="W522" s="25"/>
      <c r="X522" s="25"/>
      <c r="Y522" s="25"/>
      <c r="Z522" s="25"/>
      <c r="AA522" s="25"/>
      <c r="AB522" s="25"/>
      <c r="AC522" s="25"/>
      <c r="AD522" s="178"/>
    </row>
    <row r="523" spans="18:30" x14ac:dyDescent="0.25">
      <c r="R523" s="25"/>
      <c r="S523" s="25"/>
      <c r="T523" s="25"/>
      <c r="U523" s="25"/>
      <c r="V523" s="25"/>
      <c r="W523" s="25"/>
      <c r="X523" s="25"/>
      <c r="Y523" s="25"/>
      <c r="Z523" s="25"/>
      <c r="AA523" s="25"/>
      <c r="AB523" s="25"/>
      <c r="AC523" s="25"/>
      <c r="AD523" s="178"/>
    </row>
    <row r="524" spans="18:30" x14ac:dyDescent="0.25">
      <c r="R524" s="25"/>
      <c r="S524" s="25"/>
      <c r="T524" s="25"/>
      <c r="U524" s="25"/>
      <c r="V524" s="25"/>
      <c r="W524" s="25"/>
      <c r="X524" s="25"/>
      <c r="Y524" s="25"/>
      <c r="Z524" s="25"/>
      <c r="AA524" s="25"/>
      <c r="AB524" s="25"/>
      <c r="AC524" s="25"/>
      <c r="AD524" s="178"/>
    </row>
    <row r="525" spans="18:30" x14ac:dyDescent="0.25">
      <c r="R525" s="25"/>
      <c r="S525" s="25"/>
      <c r="T525" s="25"/>
      <c r="U525" s="25"/>
      <c r="V525" s="25"/>
      <c r="W525" s="25"/>
      <c r="X525" s="25"/>
      <c r="Y525" s="25"/>
      <c r="Z525" s="25"/>
      <c r="AA525" s="25"/>
      <c r="AB525" s="25"/>
      <c r="AC525" s="25"/>
      <c r="AD525" s="178"/>
    </row>
    <row r="526" spans="18:30" x14ac:dyDescent="0.25">
      <c r="R526" s="25"/>
      <c r="S526" s="25"/>
      <c r="T526" s="25"/>
      <c r="U526" s="25"/>
      <c r="V526" s="25"/>
      <c r="W526" s="25"/>
      <c r="X526" s="25"/>
      <c r="Y526" s="25"/>
      <c r="Z526" s="25"/>
      <c r="AA526" s="25"/>
      <c r="AB526" s="25"/>
      <c r="AC526" s="25"/>
      <c r="AD526" s="178"/>
    </row>
    <row r="527" spans="18:30" x14ac:dyDescent="0.25">
      <c r="R527" s="25"/>
      <c r="S527" s="25"/>
      <c r="T527" s="25"/>
      <c r="U527" s="25"/>
      <c r="V527" s="25"/>
      <c r="W527" s="25"/>
      <c r="X527" s="25"/>
      <c r="Y527" s="25"/>
      <c r="Z527" s="25"/>
      <c r="AA527" s="25"/>
      <c r="AB527" s="25"/>
      <c r="AC527" s="25"/>
      <c r="AD527" s="178"/>
    </row>
    <row r="528" spans="18:30" x14ac:dyDescent="0.25">
      <c r="R528" s="25"/>
      <c r="S528" s="25"/>
      <c r="T528" s="25"/>
      <c r="U528" s="25"/>
      <c r="V528" s="25"/>
      <c r="W528" s="25"/>
      <c r="X528" s="25"/>
      <c r="Y528" s="25"/>
      <c r="Z528" s="25"/>
      <c r="AA528" s="25"/>
      <c r="AB528" s="25"/>
      <c r="AC528" s="25"/>
      <c r="AD528" s="178"/>
    </row>
    <row r="529" spans="18:30" x14ac:dyDescent="0.25">
      <c r="R529" s="25"/>
      <c r="S529" s="25"/>
      <c r="T529" s="25"/>
      <c r="U529" s="25"/>
      <c r="V529" s="25"/>
      <c r="W529" s="25"/>
      <c r="X529" s="25"/>
      <c r="Y529" s="25"/>
      <c r="Z529" s="25"/>
      <c r="AA529" s="25"/>
      <c r="AB529" s="25"/>
      <c r="AC529" s="25"/>
      <c r="AD529" s="178"/>
    </row>
    <row r="530" spans="18:30" x14ac:dyDescent="0.25">
      <c r="R530" s="25"/>
      <c r="S530" s="25"/>
      <c r="T530" s="25"/>
      <c r="U530" s="25"/>
      <c r="V530" s="25"/>
      <c r="W530" s="25"/>
      <c r="X530" s="25"/>
      <c r="Y530" s="25"/>
      <c r="Z530" s="25"/>
      <c r="AA530" s="25"/>
      <c r="AB530" s="25"/>
      <c r="AC530" s="25"/>
      <c r="AD530" s="178"/>
    </row>
    <row r="531" spans="18:30" x14ac:dyDescent="0.25">
      <c r="R531" s="25"/>
      <c r="S531" s="25"/>
      <c r="T531" s="25"/>
      <c r="U531" s="25"/>
      <c r="V531" s="25"/>
      <c r="W531" s="25"/>
      <c r="X531" s="25"/>
      <c r="Y531" s="25"/>
      <c r="Z531" s="25"/>
      <c r="AA531" s="25"/>
      <c r="AB531" s="25"/>
      <c r="AC531" s="25"/>
      <c r="AD531" s="178"/>
    </row>
    <row r="532" spans="18:30" x14ac:dyDescent="0.25">
      <c r="R532" s="25"/>
      <c r="S532" s="25"/>
      <c r="T532" s="25"/>
      <c r="U532" s="25"/>
      <c r="V532" s="25"/>
      <c r="W532" s="25"/>
      <c r="X532" s="25"/>
      <c r="Y532" s="25"/>
      <c r="Z532" s="25"/>
      <c r="AA532" s="25"/>
      <c r="AB532" s="25"/>
      <c r="AC532" s="25"/>
      <c r="AD532" s="178"/>
    </row>
    <row r="533" spans="18:30" x14ac:dyDescent="0.25">
      <c r="R533" s="25"/>
      <c r="S533" s="25"/>
      <c r="T533" s="25"/>
      <c r="U533" s="25"/>
      <c r="V533" s="25"/>
      <c r="W533" s="25"/>
      <c r="X533" s="25"/>
      <c r="Y533" s="25"/>
      <c r="Z533" s="25"/>
      <c r="AA533" s="25"/>
      <c r="AB533" s="25"/>
      <c r="AC533" s="25"/>
      <c r="AD533" s="178"/>
    </row>
    <row r="534" spans="18:30" x14ac:dyDescent="0.25">
      <c r="R534" s="25"/>
      <c r="S534" s="25"/>
      <c r="T534" s="25"/>
      <c r="U534" s="25"/>
      <c r="V534" s="25"/>
      <c r="W534" s="25"/>
      <c r="X534" s="25"/>
      <c r="Y534" s="25"/>
      <c r="Z534" s="25"/>
      <c r="AA534" s="25"/>
      <c r="AB534" s="25"/>
      <c r="AC534" s="25"/>
      <c r="AD534" s="178"/>
    </row>
    <row r="535" spans="18:30" x14ac:dyDescent="0.25">
      <c r="R535" s="25"/>
      <c r="S535" s="25"/>
      <c r="T535" s="25"/>
      <c r="U535" s="25"/>
      <c r="V535" s="25"/>
      <c r="W535" s="25"/>
      <c r="X535" s="25"/>
      <c r="Y535" s="25"/>
      <c r="Z535" s="25"/>
      <c r="AA535" s="25"/>
      <c r="AB535" s="25"/>
      <c r="AC535" s="25"/>
      <c r="AD535" s="178"/>
    </row>
    <row r="536" spans="18:30" x14ac:dyDescent="0.25">
      <c r="R536" s="25"/>
      <c r="S536" s="25"/>
      <c r="T536" s="25"/>
      <c r="U536" s="25"/>
      <c r="V536" s="25"/>
      <c r="W536" s="25"/>
      <c r="X536" s="25"/>
      <c r="Y536" s="25"/>
      <c r="Z536" s="25"/>
      <c r="AA536" s="25"/>
      <c r="AB536" s="25"/>
      <c r="AC536" s="25"/>
      <c r="AD536" s="178"/>
    </row>
    <row r="537" spans="18:30" x14ac:dyDescent="0.25">
      <c r="R537" s="25"/>
      <c r="S537" s="25"/>
      <c r="T537" s="25"/>
      <c r="U537" s="25"/>
      <c r="V537" s="25"/>
      <c r="W537" s="25"/>
      <c r="X537" s="25"/>
      <c r="Y537" s="25"/>
      <c r="Z537" s="25"/>
      <c r="AA537" s="25"/>
      <c r="AB537" s="25"/>
      <c r="AC537" s="25"/>
      <c r="AD537" s="178"/>
    </row>
    <row r="538" spans="18:30" x14ac:dyDescent="0.25">
      <c r="R538" s="25"/>
      <c r="S538" s="25"/>
      <c r="T538" s="25"/>
      <c r="U538" s="25"/>
      <c r="V538" s="25"/>
      <c r="W538" s="25"/>
      <c r="X538" s="25"/>
      <c r="Y538" s="25"/>
      <c r="Z538" s="25"/>
      <c r="AA538" s="25"/>
      <c r="AB538" s="25"/>
      <c r="AC538" s="25"/>
      <c r="AD538" s="178"/>
    </row>
    <row r="539" spans="18:30" x14ac:dyDescent="0.25">
      <c r="R539" s="25"/>
      <c r="S539" s="25"/>
      <c r="T539" s="25"/>
      <c r="U539" s="25"/>
      <c r="V539" s="25"/>
      <c r="W539" s="25"/>
      <c r="X539" s="25"/>
      <c r="Y539" s="25"/>
      <c r="Z539" s="25"/>
      <c r="AA539" s="25"/>
      <c r="AB539" s="25"/>
      <c r="AC539" s="25"/>
      <c r="AD539" s="178"/>
    </row>
    <row r="540" spans="18:30" x14ac:dyDescent="0.25">
      <c r="R540" s="25"/>
      <c r="S540" s="25"/>
      <c r="T540" s="25"/>
      <c r="U540" s="25"/>
      <c r="V540" s="25"/>
      <c r="W540" s="25"/>
      <c r="X540" s="25"/>
      <c r="Y540" s="25"/>
      <c r="Z540" s="25"/>
      <c r="AA540" s="25"/>
      <c r="AB540" s="25"/>
      <c r="AC540" s="25"/>
      <c r="AD540" s="178"/>
    </row>
    <row r="541" spans="18:30" x14ac:dyDescent="0.25">
      <c r="R541" s="25"/>
      <c r="S541" s="25"/>
      <c r="T541" s="25"/>
      <c r="U541" s="25"/>
      <c r="V541" s="25"/>
      <c r="W541" s="25"/>
      <c r="X541" s="25"/>
      <c r="Y541" s="25"/>
      <c r="Z541" s="25"/>
      <c r="AA541" s="25"/>
      <c r="AB541" s="25"/>
      <c r="AC541" s="25"/>
      <c r="AD541" s="178"/>
    </row>
    <row r="542" spans="18:30" x14ac:dyDescent="0.25">
      <c r="R542" s="25"/>
      <c r="S542" s="25"/>
      <c r="T542" s="25"/>
      <c r="U542" s="25"/>
      <c r="V542" s="25"/>
      <c r="W542" s="25"/>
      <c r="X542" s="25"/>
      <c r="Y542" s="25"/>
      <c r="Z542" s="25"/>
      <c r="AA542" s="25"/>
      <c r="AB542" s="25"/>
      <c r="AC542" s="25"/>
      <c r="AD542" s="178"/>
    </row>
    <row r="543" spans="18:30" x14ac:dyDescent="0.25">
      <c r="R543" s="25"/>
      <c r="S543" s="25"/>
      <c r="T543" s="25"/>
      <c r="U543" s="25"/>
      <c r="V543" s="25"/>
      <c r="W543" s="25"/>
      <c r="X543" s="25"/>
      <c r="Y543" s="25"/>
      <c r="Z543" s="25"/>
      <c r="AA543" s="25"/>
      <c r="AB543" s="25"/>
      <c r="AC543" s="25"/>
      <c r="AD543" s="178"/>
    </row>
    <row r="544" spans="18:30" x14ac:dyDescent="0.25">
      <c r="R544" s="25"/>
      <c r="S544" s="25"/>
      <c r="T544" s="25"/>
      <c r="U544" s="25"/>
      <c r="V544" s="25"/>
      <c r="W544" s="25"/>
      <c r="X544" s="25"/>
      <c r="Y544" s="25"/>
      <c r="Z544" s="25"/>
      <c r="AA544" s="25"/>
      <c r="AB544" s="25"/>
      <c r="AC544" s="25"/>
      <c r="AD544" s="178"/>
    </row>
    <row r="545" spans="18:30" x14ac:dyDescent="0.25">
      <c r="R545" s="25"/>
      <c r="S545" s="25"/>
      <c r="T545" s="25"/>
      <c r="U545" s="25"/>
      <c r="V545" s="25"/>
      <c r="W545" s="25"/>
      <c r="X545" s="25"/>
      <c r="Y545" s="25"/>
      <c r="Z545" s="25"/>
      <c r="AA545" s="25"/>
      <c r="AB545" s="25"/>
      <c r="AC545" s="25"/>
      <c r="AD545" s="178"/>
    </row>
    <row r="546" spans="18:30" x14ac:dyDescent="0.25">
      <c r="R546" s="25"/>
      <c r="S546" s="25"/>
      <c r="T546" s="25"/>
      <c r="U546" s="25"/>
      <c r="V546" s="25"/>
      <c r="W546" s="25"/>
      <c r="X546" s="25"/>
      <c r="Y546" s="25"/>
      <c r="Z546" s="25"/>
      <c r="AA546" s="25"/>
      <c r="AB546" s="25"/>
      <c r="AC546" s="25"/>
      <c r="AD546" s="178"/>
    </row>
    <row r="547" spans="18:30" x14ac:dyDescent="0.25">
      <c r="R547" s="25"/>
      <c r="S547" s="25"/>
      <c r="T547" s="25"/>
      <c r="U547" s="25"/>
      <c r="V547" s="25"/>
      <c r="W547" s="25"/>
      <c r="X547" s="25"/>
      <c r="Y547" s="25"/>
      <c r="Z547" s="25"/>
      <c r="AA547" s="25"/>
      <c r="AB547" s="25"/>
      <c r="AC547" s="25"/>
      <c r="AD547" s="178"/>
    </row>
    <row r="548" spans="18:30" x14ac:dyDescent="0.25">
      <c r="R548" s="25"/>
      <c r="S548" s="25"/>
      <c r="T548" s="25"/>
      <c r="U548" s="25"/>
      <c r="V548" s="25"/>
      <c r="W548" s="25"/>
      <c r="X548" s="25"/>
      <c r="Y548" s="25"/>
      <c r="Z548" s="25"/>
      <c r="AA548" s="25"/>
      <c r="AB548" s="25"/>
      <c r="AC548" s="25"/>
      <c r="AD548" s="178"/>
    </row>
    <row r="549" spans="18:30" x14ac:dyDescent="0.25">
      <c r="R549" s="25"/>
      <c r="S549" s="25"/>
      <c r="T549" s="25"/>
      <c r="U549" s="25"/>
      <c r="V549" s="25"/>
      <c r="W549" s="25"/>
      <c r="X549" s="25"/>
      <c r="Y549" s="25"/>
      <c r="Z549" s="25"/>
      <c r="AA549" s="25"/>
      <c r="AB549" s="25"/>
      <c r="AC549" s="25"/>
      <c r="AD549" s="178"/>
    </row>
    <row r="550" spans="18:30" x14ac:dyDescent="0.25">
      <c r="R550" s="25"/>
      <c r="S550" s="25"/>
      <c r="T550" s="25"/>
      <c r="U550" s="25"/>
      <c r="V550" s="25"/>
      <c r="W550" s="25"/>
      <c r="X550" s="25"/>
      <c r="Y550" s="25"/>
      <c r="Z550" s="25"/>
      <c r="AA550" s="25"/>
      <c r="AB550" s="25"/>
      <c r="AC550" s="25"/>
      <c r="AD550" s="178"/>
    </row>
    <row r="551" spans="18:30" x14ac:dyDescent="0.25">
      <c r="R551" s="25"/>
      <c r="S551" s="25"/>
      <c r="T551" s="25"/>
      <c r="U551" s="25"/>
      <c r="V551" s="25"/>
      <c r="W551" s="25"/>
      <c r="X551" s="25"/>
      <c r="Y551" s="25"/>
      <c r="Z551" s="25"/>
      <c r="AA551" s="25"/>
      <c r="AB551" s="25"/>
      <c r="AC551" s="25"/>
      <c r="AD551" s="178"/>
    </row>
    <row r="552" spans="18:30" x14ac:dyDescent="0.25">
      <c r="R552" s="25"/>
      <c r="S552" s="25"/>
      <c r="T552" s="25"/>
      <c r="U552" s="25"/>
      <c r="V552" s="25"/>
      <c r="W552" s="25"/>
      <c r="X552" s="25"/>
      <c r="Y552" s="25"/>
      <c r="Z552" s="25"/>
      <c r="AA552" s="25"/>
      <c r="AB552" s="25"/>
      <c r="AC552" s="25"/>
      <c r="AD552" s="178"/>
    </row>
    <row r="553" spans="18:30" x14ac:dyDescent="0.25">
      <c r="R553" s="25"/>
      <c r="S553" s="25"/>
      <c r="T553" s="25"/>
      <c r="U553" s="25"/>
      <c r="V553" s="25"/>
      <c r="W553" s="25"/>
      <c r="X553" s="25"/>
      <c r="Y553" s="25"/>
      <c r="Z553" s="25"/>
      <c r="AA553" s="25"/>
      <c r="AB553" s="25"/>
      <c r="AC553" s="25"/>
      <c r="AD553" s="178"/>
    </row>
    <row r="554" spans="18:30" x14ac:dyDescent="0.25">
      <c r="R554" s="25"/>
      <c r="S554" s="25"/>
      <c r="T554" s="25"/>
      <c r="U554" s="25"/>
      <c r="V554" s="25"/>
      <c r="W554" s="25"/>
      <c r="X554" s="25"/>
      <c r="Y554" s="25"/>
      <c r="Z554" s="25"/>
      <c r="AA554" s="25"/>
      <c r="AB554" s="25"/>
      <c r="AC554" s="25"/>
      <c r="AD554" s="178"/>
    </row>
    <row r="555" spans="18:30" x14ac:dyDescent="0.25">
      <c r="R555" s="25"/>
      <c r="S555" s="25"/>
      <c r="T555" s="25"/>
      <c r="U555" s="25"/>
      <c r="V555" s="25"/>
      <c r="W555" s="25"/>
      <c r="X555" s="25"/>
      <c r="Y555" s="25"/>
      <c r="Z555" s="25"/>
      <c r="AA555" s="25"/>
      <c r="AB555" s="25"/>
      <c r="AC555" s="25"/>
      <c r="AD555" s="178"/>
    </row>
    <row r="556" spans="18:30" x14ac:dyDescent="0.25">
      <c r="R556" s="25"/>
      <c r="S556" s="25"/>
      <c r="T556" s="25"/>
      <c r="U556" s="25"/>
      <c r="V556" s="25"/>
      <c r="W556" s="25"/>
      <c r="X556" s="25"/>
      <c r="Y556" s="25"/>
      <c r="Z556" s="25"/>
      <c r="AA556" s="25"/>
      <c r="AB556" s="25"/>
      <c r="AC556" s="25"/>
      <c r="AD556" s="178"/>
    </row>
    <row r="557" spans="18:30" x14ac:dyDescent="0.25">
      <c r="R557" s="25"/>
      <c r="S557" s="25"/>
      <c r="T557" s="25"/>
      <c r="U557" s="25"/>
      <c r="V557" s="25"/>
      <c r="W557" s="25"/>
      <c r="X557" s="25"/>
      <c r="Y557" s="25"/>
      <c r="Z557" s="25"/>
      <c r="AA557" s="25"/>
      <c r="AB557" s="25"/>
      <c r="AC557" s="25"/>
      <c r="AD557" s="178"/>
    </row>
    <row r="558" spans="18:30" x14ac:dyDescent="0.25">
      <c r="R558" s="25"/>
      <c r="S558" s="25"/>
      <c r="T558" s="25"/>
      <c r="U558" s="25"/>
      <c r="V558" s="25"/>
      <c r="W558" s="25"/>
      <c r="X558" s="25"/>
      <c r="Y558" s="25"/>
      <c r="Z558" s="25"/>
      <c r="AA558" s="25"/>
      <c r="AB558" s="25"/>
      <c r="AC558" s="25"/>
      <c r="AD558" s="178"/>
    </row>
    <row r="559" spans="18:30" x14ac:dyDescent="0.25">
      <c r="R559" s="25"/>
      <c r="S559" s="25"/>
      <c r="T559" s="25"/>
      <c r="U559" s="25"/>
      <c r="V559" s="25"/>
      <c r="W559" s="25"/>
      <c r="X559" s="25"/>
      <c r="Y559" s="25"/>
      <c r="Z559" s="25"/>
      <c r="AA559" s="25"/>
      <c r="AB559" s="25"/>
      <c r="AC559" s="25"/>
      <c r="AD559" s="178"/>
    </row>
    <row r="560" spans="18:30" x14ac:dyDescent="0.25">
      <c r="R560" s="25"/>
      <c r="S560" s="25"/>
      <c r="T560" s="25"/>
      <c r="U560" s="25"/>
      <c r="V560" s="25"/>
      <c r="W560" s="25"/>
      <c r="X560" s="25"/>
      <c r="Y560" s="25"/>
      <c r="Z560" s="25"/>
      <c r="AA560" s="25"/>
      <c r="AB560" s="25"/>
      <c r="AC560" s="25"/>
      <c r="AD560" s="178"/>
    </row>
    <row r="561" spans="18:30" x14ac:dyDescent="0.25">
      <c r="R561" s="25"/>
      <c r="S561" s="25"/>
      <c r="T561" s="25"/>
      <c r="U561" s="25"/>
      <c r="V561" s="25"/>
      <c r="W561" s="25"/>
      <c r="X561" s="25"/>
      <c r="Y561" s="25"/>
      <c r="Z561" s="25"/>
      <c r="AA561" s="25"/>
      <c r="AB561" s="25"/>
      <c r="AC561" s="25"/>
      <c r="AD561" s="178"/>
    </row>
    <row r="562" spans="18:30" x14ac:dyDescent="0.25">
      <c r="R562" s="25"/>
      <c r="S562" s="25"/>
      <c r="T562" s="25"/>
      <c r="U562" s="25"/>
      <c r="V562" s="25"/>
      <c r="W562" s="25"/>
      <c r="X562" s="25"/>
      <c r="Y562" s="25"/>
      <c r="Z562" s="25"/>
      <c r="AA562" s="25"/>
      <c r="AB562" s="25"/>
      <c r="AC562" s="25"/>
      <c r="AD562" s="178"/>
    </row>
    <row r="563" spans="18:30" x14ac:dyDescent="0.25">
      <c r="R563" s="25"/>
      <c r="S563" s="25"/>
      <c r="T563" s="25"/>
      <c r="U563" s="25"/>
      <c r="V563" s="25"/>
      <c r="W563" s="25"/>
      <c r="X563" s="25"/>
      <c r="Y563" s="25"/>
      <c r="Z563" s="25"/>
      <c r="AA563" s="25"/>
      <c r="AB563" s="25"/>
      <c r="AC563" s="25"/>
      <c r="AD563" s="178"/>
    </row>
    <row r="564" spans="18:30" x14ac:dyDescent="0.25">
      <c r="R564" s="25"/>
      <c r="S564" s="25"/>
      <c r="T564" s="25"/>
      <c r="U564" s="25"/>
      <c r="V564" s="25"/>
      <c r="W564" s="25"/>
      <c r="X564" s="25"/>
      <c r="Y564" s="25"/>
      <c r="Z564" s="25"/>
      <c r="AA564" s="25"/>
      <c r="AB564" s="25"/>
      <c r="AC564" s="25"/>
      <c r="AD564" s="178"/>
    </row>
    <row r="565" spans="18:30" x14ac:dyDescent="0.25">
      <c r="R565" s="25"/>
      <c r="S565" s="25"/>
      <c r="T565" s="25"/>
      <c r="U565" s="25"/>
      <c r="V565" s="25"/>
      <c r="W565" s="25"/>
      <c r="X565" s="25"/>
      <c r="Y565" s="25"/>
      <c r="Z565" s="25"/>
      <c r="AA565" s="25"/>
      <c r="AB565" s="25"/>
      <c r="AC565" s="25"/>
      <c r="AD565" s="178"/>
    </row>
    <row r="566" spans="18:30" x14ac:dyDescent="0.25">
      <c r="R566" s="25"/>
      <c r="S566" s="25"/>
      <c r="T566" s="25"/>
      <c r="U566" s="25"/>
      <c r="V566" s="25"/>
      <c r="W566" s="25"/>
      <c r="X566" s="25"/>
      <c r="Y566" s="25"/>
      <c r="Z566" s="25"/>
      <c r="AA566" s="25"/>
      <c r="AB566" s="25"/>
      <c r="AC566" s="25"/>
      <c r="AD566" s="178"/>
    </row>
    <row r="567" spans="18:30" x14ac:dyDescent="0.25">
      <c r="R567" s="25"/>
      <c r="S567" s="25"/>
      <c r="T567" s="25"/>
      <c r="U567" s="25"/>
      <c r="V567" s="25"/>
      <c r="W567" s="25"/>
      <c r="X567" s="25"/>
      <c r="Y567" s="25"/>
      <c r="Z567" s="25"/>
      <c r="AA567" s="25"/>
      <c r="AB567" s="25"/>
      <c r="AC567" s="25"/>
      <c r="AD567" s="178"/>
    </row>
    <row r="568" spans="18:30" x14ac:dyDescent="0.25">
      <c r="R568" s="25"/>
      <c r="S568" s="25"/>
      <c r="T568" s="25"/>
      <c r="U568" s="25"/>
      <c r="V568" s="25"/>
      <c r="W568" s="25"/>
      <c r="X568" s="25"/>
      <c r="Y568" s="25"/>
      <c r="Z568" s="25"/>
      <c r="AA568" s="25"/>
      <c r="AB568" s="25"/>
      <c r="AC568" s="25"/>
      <c r="AD568" s="178"/>
    </row>
    <row r="569" spans="18:30" x14ac:dyDescent="0.25">
      <c r="R569" s="25"/>
      <c r="S569" s="25"/>
      <c r="T569" s="25"/>
      <c r="U569" s="25"/>
      <c r="V569" s="25"/>
      <c r="W569" s="25"/>
      <c r="X569" s="25"/>
      <c r="Y569" s="25"/>
      <c r="Z569" s="25"/>
      <c r="AA569" s="25"/>
      <c r="AB569" s="25"/>
      <c r="AC569" s="25"/>
      <c r="AD569" s="178"/>
    </row>
    <row r="570" spans="18:30" x14ac:dyDescent="0.25">
      <c r="R570" s="25"/>
      <c r="S570" s="25"/>
      <c r="T570" s="25"/>
      <c r="U570" s="25"/>
      <c r="V570" s="25"/>
      <c r="W570" s="25"/>
      <c r="X570" s="25"/>
      <c r="Y570" s="25"/>
      <c r="Z570" s="25"/>
      <c r="AA570" s="25"/>
      <c r="AB570" s="25"/>
      <c r="AC570" s="25"/>
      <c r="AD570" s="178"/>
    </row>
    <row r="571" spans="18:30" x14ac:dyDescent="0.25">
      <c r="R571" s="25"/>
      <c r="S571" s="25"/>
      <c r="T571" s="25"/>
      <c r="U571" s="25"/>
      <c r="V571" s="25"/>
      <c r="W571" s="25"/>
      <c r="X571" s="25"/>
      <c r="Y571" s="25"/>
      <c r="Z571" s="25"/>
      <c r="AA571" s="25"/>
      <c r="AB571" s="25"/>
      <c r="AC571" s="25"/>
      <c r="AD571" s="178"/>
    </row>
    <row r="572" spans="18:30" x14ac:dyDescent="0.25">
      <c r="R572" s="25"/>
      <c r="S572" s="25"/>
      <c r="T572" s="25"/>
      <c r="U572" s="25"/>
      <c r="V572" s="25"/>
      <c r="W572" s="25"/>
      <c r="X572" s="25"/>
      <c r="Y572" s="25"/>
      <c r="Z572" s="25"/>
      <c r="AA572" s="25"/>
      <c r="AB572" s="25"/>
      <c r="AC572" s="25"/>
      <c r="AD572" s="178"/>
    </row>
    <row r="573" spans="18:30" x14ac:dyDescent="0.25">
      <c r="R573" s="25"/>
      <c r="S573" s="25"/>
      <c r="T573" s="25"/>
      <c r="U573" s="25"/>
      <c r="V573" s="25"/>
      <c r="W573" s="25"/>
      <c r="X573" s="25"/>
      <c r="Y573" s="25"/>
      <c r="Z573" s="25"/>
      <c r="AA573" s="25"/>
      <c r="AB573" s="25"/>
      <c r="AC573" s="25"/>
      <c r="AD573" s="178"/>
    </row>
    <row r="574" spans="18:30" x14ac:dyDescent="0.25">
      <c r="R574" s="25"/>
      <c r="S574" s="25"/>
      <c r="T574" s="25"/>
      <c r="U574" s="25"/>
      <c r="V574" s="25"/>
      <c r="W574" s="25"/>
      <c r="X574" s="25"/>
      <c r="Y574" s="25"/>
      <c r="Z574" s="25"/>
      <c r="AA574" s="25"/>
      <c r="AB574" s="25"/>
      <c r="AC574" s="25"/>
      <c r="AD574" s="178"/>
    </row>
    <row r="575" spans="18:30" x14ac:dyDescent="0.25">
      <c r="R575" s="25"/>
      <c r="S575" s="25"/>
      <c r="T575" s="25"/>
      <c r="U575" s="25"/>
      <c r="V575" s="25"/>
      <c r="W575" s="25"/>
      <c r="X575" s="25"/>
      <c r="Y575" s="25"/>
      <c r="Z575" s="25"/>
      <c r="AA575" s="25"/>
      <c r="AB575" s="25"/>
      <c r="AC575" s="25"/>
      <c r="AD575" s="178"/>
    </row>
    <row r="576" spans="18:30" x14ac:dyDescent="0.25">
      <c r="R576" s="25"/>
      <c r="S576" s="25"/>
      <c r="T576" s="25"/>
      <c r="U576" s="25"/>
      <c r="V576" s="25"/>
      <c r="W576" s="25"/>
      <c r="X576" s="25"/>
      <c r="Y576" s="25"/>
      <c r="Z576" s="25"/>
      <c r="AA576" s="25"/>
      <c r="AB576" s="25"/>
      <c r="AC576" s="25"/>
      <c r="AD576" s="178"/>
    </row>
    <row r="577" spans="18:30" x14ac:dyDescent="0.25">
      <c r="R577" s="25"/>
      <c r="S577" s="25"/>
      <c r="T577" s="25"/>
      <c r="U577" s="25"/>
      <c r="V577" s="25"/>
      <c r="W577" s="25"/>
      <c r="X577" s="25"/>
      <c r="Y577" s="25"/>
      <c r="Z577" s="25"/>
      <c r="AA577" s="25"/>
      <c r="AB577" s="25"/>
      <c r="AC577" s="25"/>
      <c r="AD577" s="178"/>
    </row>
    <row r="578" spans="18:30" x14ac:dyDescent="0.25">
      <c r="R578" s="25"/>
      <c r="S578" s="25"/>
      <c r="T578" s="25"/>
      <c r="U578" s="25"/>
      <c r="V578" s="25"/>
      <c r="W578" s="25"/>
      <c r="X578" s="25"/>
      <c r="Y578" s="25"/>
      <c r="Z578" s="25"/>
      <c r="AA578" s="25"/>
      <c r="AB578" s="25"/>
      <c r="AC578" s="25"/>
      <c r="AD578" s="178"/>
    </row>
    <row r="579" spans="18:30" x14ac:dyDescent="0.25">
      <c r="R579" s="25"/>
      <c r="S579" s="25"/>
      <c r="T579" s="25"/>
      <c r="U579" s="25"/>
      <c r="V579" s="25"/>
      <c r="W579" s="25"/>
      <c r="X579" s="25"/>
      <c r="Y579" s="25"/>
      <c r="Z579" s="25"/>
      <c r="AA579" s="25"/>
      <c r="AB579" s="25"/>
      <c r="AC579" s="25"/>
      <c r="AD579" s="178"/>
    </row>
    <row r="580" spans="18:30" x14ac:dyDescent="0.25">
      <c r="R580" s="25"/>
      <c r="S580" s="25"/>
      <c r="T580" s="25"/>
      <c r="U580" s="25"/>
      <c r="V580" s="25"/>
      <c r="W580" s="25"/>
      <c r="X580" s="25"/>
      <c r="Y580" s="25"/>
      <c r="Z580" s="25"/>
      <c r="AA580" s="25"/>
      <c r="AB580" s="25"/>
      <c r="AC580" s="25"/>
      <c r="AD580" s="178"/>
    </row>
    <row r="581" spans="18:30" x14ac:dyDescent="0.25">
      <c r="R581" s="25"/>
      <c r="S581" s="25"/>
      <c r="T581" s="25"/>
      <c r="U581" s="25"/>
      <c r="V581" s="25"/>
      <c r="W581" s="25"/>
      <c r="X581" s="25"/>
      <c r="Y581" s="25"/>
      <c r="Z581" s="25"/>
      <c r="AA581" s="25"/>
      <c r="AB581" s="25"/>
      <c r="AC581" s="25"/>
      <c r="AD581" s="178"/>
    </row>
    <row r="582" spans="18:30" x14ac:dyDescent="0.25">
      <c r="R582" s="25"/>
      <c r="S582" s="25"/>
      <c r="T582" s="25"/>
      <c r="U582" s="25"/>
      <c r="V582" s="25"/>
      <c r="W582" s="25"/>
      <c r="X582" s="25"/>
      <c r="Y582" s="25"/>
      <c r="Z582" s="25"/>
      <c r="AA582" s="25"/>
      <c r="AB582" s="25"/>
      <c r="AC582" s="25"/>
      <c r="AD582" s="178"/>
    </row>
    <row r="583" spans="18:30" x14ac:dyDescent="0.25">
      <c r="R583" s="25"/>
      <c r="S583" s="25"/>
      <c r="T583" s="25"/>
      <c r="U583" s="25"/>
      <c r="V583" s="25"/>
      <c r="W583" s="25"/>
      <c r="X583" s="25"/>
      <c r="Y583" s="25"/>
      <c r="Z583" s="25"/>
      <c r="AA583" s="25"/>
      <c r="AB583" s="25"/>
      <c r="AC583" s="25"/>
      <c r="AD583" s="178"/>
    </row>
    <row r="584" spans="18:30" x14ac:dyDescent="0.25">
      <c r="R584" s="25"/>
      <c r="S584" s="25"/>
      <c r="T584" s="25"/>
      <c r="U584" s="25"/>
      <c r="V584" s="25"/>
      <c r="W584" s="25"/>
      <c r="X584" s="25"/>
      <c r="Y584" s="25"/>
      <c r="Z584" s="25"/>
      <c r="AA584" s="25"/>
      <c r="AB584" s="25"/>
      <c r="AC584" s="25"/>
      <c r="AD584" s="178"/>
    </row>
    <row r="585" spans="18:30" x14ac:dyDescent="0.25">
      <c r="R585" s="25"/>
      <c r="S585" s="25"/>
      <c r="T585" s="25"/>
      <c r="U585" s="25"/>
      <c r="V585" s="25"/>
      <c r="W585" s="25"/>
      <c r="X585" s="25"/>
      <c r="Y585" s="25"/>
      <c r="Z585" s="25"/>
      <c r="AA585" s="25"/>
      <c r="AB585" s="25"/>
      <c r="AC585" s="25"/>
      <c r="AD585" s="178"/>
    </row>
    <row r="586" spans="18:30" x14ac:dyDescent="0.25">
      <c r="R586" s="25"/>
      <c r="S586" s="25"/>
      <c r="T586" s="25"/>
      <c r="U586" s="25"/>
      <c r="V586" s="25"/>
      <c r="W586" s="25"/>
      <c r="X586" s="25"/>
      <c r="Y586" s="25"/>
      <c r="Z586" s="25"/>
      <c r="AA586" s="25"/>
      <c r="AB586" s="25"/>
      <c r="AC586" s="25"/>
      <c r="AD586" s="178"/>
    </row>
    <row r="587" spans="18:30" x14ac:dyDescent="0.25">
      <c r="R587" s="25"/>
      <c r="S587" s="25"/>
      <c r="T587" s="25"/>
      <c r="U587" s="25"/>
      <c r="V587" s="25"/>
      <c r="W587" s="25"/>
      <c r="X587" s="25"/>
      <c r="Y587" s="25"/>
      <c r="Z587" s="25"/>
      <c r="AA587" s="25"/>
      <c r="AB587" s="25"/>
      <c r="AC587" s="25"/>
      <c r="AD587" s="178"/>
    </row>
    <row r="588" spans="18:30" x14ac:dyDescent="0.25">
      <c r="R588" s="25"/>
      <c r="S588" s="25"/>
      <c r="T588" s="25"/>
      <c r="U588" s="25"/>
      <c r="V588" s="25"/>
      <c r="W588" s="25"/>
      <c r="X588" s="25"/>
      <c r="Y588" s="25"/>
      <c r="Z588" s="25"/>
      <c r="AA588" s="25"/>
      <c r="AB588" s="25"/>
      <c r="AC588" s="25"/>
      <c r="AD588" s="178"/>
    </row>
    <row r="589" spans="18:30" x14ac:dyDescent="0.25">
      <c r="R589" s="25"/>
      <c r="S589" s="25"/>
      <c r="T589" s="25"/>
      <c r="U589" s="25"/>
      <c r="V589" s="25"/>
      <c r="W589" s="25"/>
      <c r="X589" s="25"/>
      <c r="Y589" s="25"/>
      <c r="Z589" s="25"/>
      <c r="AA589" s="25"/>
      <c r="AB589" s="25"/>
      <c r="AC589" s="25"/>
      <c r="AD589" s="178"/>
    </row>
    <row r="590" spans="18:30" x14ac:dyDescent="0.25">
      <c r="R590" s="25"/>
      <c r="S590" s="25"/>
      <c r="T590" s="25"/>
      <c r="U590" s="25"/>
      <c r="V590" s="25"/>
      <c r="W590" s="25"/>
      <c r="X590" s="25"/>
      <c r="Y590" s="25"/>
      <c r="Z590" s="25"/>
      <c r="AA590" s="25"/>
      <c r="AB590" s="25"/>
      <c r="AC590" s="25"/>
      <c r="AD590" s="178"/>
    </row>
    <row r="591" spans="18:30" x14ac:dyDescent="0.25">
      <c r="R591" s="25"/>
      <c r="S591" s="25"/>
      <c r="T591" s="25"/>
      <c r="U591" s="25"/>
      <c r="V591" s="25"/>
      <c r="W591" s="25"/>
      <c r="X591" s="25"/>
      <c r="Y591" s="25"/>
      <c r="Z591" s="25"/>
      <c r="AA591" s="25"/>
      <c r="AB591" s="25"/>
      <c r="AC591" s="25"/>
      <c r="AD591" s="178"/>
    </row>
    <row r="592" spans="18:30" x14ac:dyDescent="0.25">
      <c r="R592" s="25"/>
      <c r="S592" s="25"/>
      <c r="T592" s="25"/>
      <c r="U592" s="25"/>
      <c r="V592" s="25"/>
      <c r="W592" s="25"/>
      <c r="X592" s="25"/>
      <c r="Y592" s="25"/>
      <c r="Z592" s="25"/>
      <c r="AA592" s="25"/>
      <c r="AB592" s="25"/>
      <c r="AC592" s="25"/>
      <c r="AD592" s="178"/>
    </row>
    <row r="593" spans="18:30" x14ac:dyDescent="0.25">
      <c r="R593" s="25"/>
      <c r="S593" s="25"/>
      <c r="T593" s="25"/>
      <c r="U593" s="25"/>
      <c r="V593" s="25"/>
      <c r="W593" s="25"/>
      <c r="X593" s="25"/>
      <c r="Y593" s="25"/>
      <c r="Z593" s="25"/>
      <c r="AA593" s="25"/>
      <c r="AB593" s="25"/>
      <c r="AC593" s="25"/>
      <c r="AD593" s="178"/>
    </row>
    <row r="594" spans="18:30" x14ac:dyDescent="0.25">
      <c r="R594" s="25"/>
      <c r="S594" s="25"/>
      <c r="T594" s="25"/>
      <c r="U594" s="25"/>
      <c r="V594" s="25"/>
      <c r="W594" s="25"/>
      <c r="X594" s="25"/>
      <c r="Y594" s="25"/>
      <c r="Z594" s="25"/>
      <c r="AA594" s="25"/>
      <c r="AB594" s="25"/>
      <c r="AC594" s="25"/>
      <c r="AD594" s="178"/>
    </row>
    <row r="595" spans="18:30" x14ac:dyDescent="0.25">
      <c r="R595" s="25"/>
      <c r="S595" s="25"/>
      <c r="T595" s="25"/>
      <c r="U595" s="25"/>
      <c r="V595" s="25"/>
      <c r="W595" s="25"/>
      <c r="X595" s="25"/>
      <c r="Y595" s="25"/>
      <c r="Z595" s="25"/>
      <c r="AA595" s="25"/>
      <c r="AB595" s="25"/>
      <c r="AC595" s="25"/>
      <c r="AD595" s="178"/>
    </row>
    <row r="596" spans="18:30" x14ac:dyDescent="0.25">
      <c r="R596" s="25"/>
      <c r="S596" s="25"/>
      <c r="T596" s="25"/>
      <c r="U596" s="25"/>
      <c r="V596" s="25"/>
      <c r="W596" s="25"/>
      <c r="X596" s="25"/>
      <c r="Y596" s="25"/>
      <c r="Z596" s="25"/>
      <c r="AA596" s="25"/>
      <c r="AB596" s="25"/>
      <c r="AC596" s="25"/>
      <c r="AD596" s="178"/>
    </row>
    <row r="597" spans="18:30" x14ac:dyDescent="0.25">
      <c r="R597" s="25"/>
      <c r="S597" s="25"/>
      <c r="T597" s="25"/>
      <c r="U597" s="25"/>
      <c r="V597" s="25"/>
      <c r="W597" s="25"/>
      <c r="X597" s="25"/>
      <c r="Y597" s="25"/>
      <c r="Z597" s="25"/>
      <c r="AA597" s="25"/>
      <c r="AB597" s="25"/>
      <c r="AC597" s="25"/>
      <c r="AD597" s="178"/>
    </row>
    <row r="598" spans="18:30" x14ac:dyDescent="0.25">
      <c r="R598" s="25"/>
      <c r="S598" s="25"/>
      <c r="T598" s="25"/>
      <c r="U598" s="25"/>
      <c r="V598" s="25"/>
      <c r="W598" s="25"/>
      <c r="X598" s="25"/>
      <c r="Y598" s="25"/>
      <c r="Z598" s="25"/>
      <c r="AA598" s="25"/>
      <c r="AB598" s="25"/>
      <c r="AC598" s="25"/>
      <c r="AD598" s="178"/>
    </row>
    <row r="599" spans="18:30" x14ac:dyDescent="0.25">
      <c r="R599" s="25"/>
      <c r="S599" s="25"/>
      <c r="T599" s="25"/>
      <c r="U599" s="25"/>
      <c r="V599" s="25"/>
      <c r="W599" s="25"/>
      <c r="X599" s="25"/>
      <c r="Y599" s="25"/>
      <c r="Z599" s="25"/>
      <c r="AA599" s="25"/>
      <c r="AB599" s="25"/>
      <c r="AC599" s="25"/>
      <c r="AD599" s="178"/>
    </row>
    <row r="600" spans="18:30" x14ac:dyDescent="0.25">
      <c r="R600" s="25"/>
      <c r="S600" s="25"/>
      <c r="T600" s="25"/>
      <c r="U600" s="25"/>
      <c r="V600" s="25"/>
      <c r="W600" s="25"/>
      <c r="X600" s="25"/>
      <c r="Y600" s="25"/>
      <c r="Z600" s="25"/>
      <c r="AA600" s="25"/>
      <c r="AB600" s="25"/>
      <c r="AC600" s="25"/>
      <c r="AD600" s="178"/>
    </row>
    <row r="601" spans="18:30" x14ac:dyDescent="0.25">
      <c r="R601" s="25"/>
      <c r="S601" s="25"/>
      <c r="T601" s="25"/>
      <c r="U601" s="25"/>
      <c r="V601" s="25"/>
      <c r="W601" s="25"/>
      <c r="X601" s="25"/>
      <c r="Y601" s="25"/>
      <c r="Z601" s="25"/>
      <c r="AA601" s="25"/>
      <c r="AB601" s="25"/>
      <c r="AC601" s="25"/>
      <c r="AD601" s="178"/>
    </row>
    <row r="602" spans="18:30" x14ac:dyDescent="0.25">
      <c r="R602" s="25"/>
      <c r="S602" s="25"/>
      <c r="T602" s="25"/>
      <c r="U602" s="25"/>
      <c r="V602" s="25"/>
      <c r="W602" s="25"/>
      <c r="X602" s="25"/>
      <c r="Y602" s="25"/>
      <c r="Z602" s="25"/>
      <c r="AA602" s="25"/>
      <c r="AB602" s="25"/>
      <c r="AC602" s="25"/>
      <c r="AD602" s="178"/>
    </row>
    <row r="603" spans="18:30" x14ac:dyDescent="0.25">
      <c r="R603" s="25"/>
      <c r="S603" s="25"/>
      <c r="T603" s="25"/>
      <c r="U603" s="25"/>
      <c r="V603" s="25"/>
      <c r="W603" s="25"/>
      <c r="X603" s="25"/>
      <c r="Y603" s="25"/>
      <c r="Z603" s="25"/>
      <c r="AA603" s="25"/>
      <c r="AB603" s="25"/>
      <c r="AC603" s="25"/>
      <c r="AD603" s="178"/>
    </row>
    <row r="604" spans="18:30" x14ac:dyDescent="0.25">
      <c r="R604" s="25"/>
      <c r="S604" s="25"/>
      <c r="T604" s="25"/>
      <c r="U604" s="25"/>
      <c r="V604" s="25"/>
      <c r="W604" s="25"/>
      <c r="X604" s="25"/>
      <c r="Y604" s="25"/>
      <c r="Z604" s="25"/>
      <c r="AA604" s="25"/>
      <c r="AB604" s="25"/>
      <c r="AC604" s="25"/>
      <c r="AD604" s="178"/>
    </row>
    <row r="605" spans="18:30" x14ac:dyDescent="0.25">
      <c r="R605" s="25"/>
      <c r="S605" s="25"/>
      <c r="T605" s="25"/>
      <c r="U605" s="25"/>
      <c r="V605" s="25"/>
      <c r="W605" s="25"/>
      <c r="X605" s="25"/>
      <c r="Y605" s="25"/>
      <c r="Z605" s="25"/>
      <c r="AA605" s="25"/>
      <c r="AB605" s="25"/>
      <c r="AC605" s="25"/>
      <c r="AD605" s="178"/>
    </row>
    <row r="606" spans="18:30" x14ac:dyDescent="0.25">
      <c r="R606" s="25"/>
      <c r="S606" s="25"/>
      <c r="T606" s="25"/>
      <c r="U606" s="25"/>
      <c r="V606" s="25"/>
      <c r="W606" s="25"/>
      <c r="X606" s="25"/>
      <c r="Y606" s="25"/>
      <c r="Z606" s="25"/>
      <c r="AA606" s="25"/>
      <c r="AB606" s="25"/>
      <c r="AC606" s="25"/>
      <c r="AD606" s="178"/>
    </row>
    <row r="607" spans="18:30" x14ac:dyDescent="0.25">
      <c r="R607" s="25"/>
      <c r="S607" s="25"/>
      <c r="T607" s="25"/>
      <c r="U607" s="25"/>
      <c r="V607" s="25"/>
      <c r="W607" s="25"/>
      <c r="X607" s="25"/>
      <c r="Y607" s="25"/>
      <c r="Z607" s="25"/>
      <c r="AA607" s="25"/>
      <c r="AB607" s="25"/>
      <c r="AC607" s="25"/>
      <c r="AD607" s="178"/>
    </row>
    <row r="608" spans="18:30" x14ac:dyDescent="0.25">
      <c r="R608" s="25"/>
      <c r="S608" s="25"/>
      <c r="T608" s="25"/>
      <c r="U608" s="25"/>
      <c r="V608" s="25"/>
      <c r="W608" s="25"/>
      <c r="X608" s="25"/>
      <c r="Y608" s="25"/>
      <c r="Z608" s="25"/>
      <c r="AA608" s="25"/>
      <c r="AB608" s="25"/>
      <c r="AC608" s="25"/>
      <c r="AD608" s="178"/>
    </row>
    <row r="609" spans="18:30" x14ac:dyDescent="0.25">
      <c r="R609" s="25"/>
      <c r="S609" s="25"/>
      <c r="T609" s="25"/>
      <c r="U609" s="25"/>
      <c r="V609" s="25"/>
      <c r="W609" s="25"/>
      <c r="X609" s="25"/>
      <c r="Y609" s="25"/>
      <c r="Z609" s="25"/>
      <c r="AA609" s="25"/>
      <c r="AB609" s="25"/>
      <c r="AC609" s="25"/>
      <c r="AD609" s="178"/>
    </row>
    <row r="610" spans="18:30" x14ac:dyDescent="0.25">
      <c r="R610" s="25"/>
      <c r="S610" s="25"/>
      <c r="T610" s="25"/>
      <c r="U610" s="25"/>
      <c r="V610" s="25"/>
      <c r="W610" s="25"/>
      <c r="X610" s="25"/>
      <c r="Y610" s="25"/>
      <c r="Z610" s="25"/>
      <c r="AA610" s="25"/>
      <c r="AB610" s="25"/>
      <c r="AC610" s="25"/>
      <c r="AD610" s="178"/>
    </row>
    <row r="611" spans="18:30" x14ac:dyDescent="0.25">
      <c r="R611" s="25"/>
      <c r="S611" s="25"/>
      <c r="T611" s="25"/>
      <c r="U611" s="25"/>
      <c r="V611" s="25"/>
      <c r="W611" s="25"/>
      <c r="X611" s="25"/>
      <c r="Y611" s="25"/>
      <c r="Z611" s="25"/>
      <c r="AA611" s="25"/>
      <c r="AB611" s="25"/>
      <c r="AC611" s="25"/>
      <c r="AD611" s="178"/>
    </row>
    <row r="612" spans="18:30" x14ac:dyDescent="0.25">
      <c r="R612" s="25"/>
      <c r="S612" s="25"/>
      <c r="T612" s="25"/>
      <c r="U612" s="25"/>
      <c r="V612" s="25"/>
      <c r="W612" s="25"/>
      <c r="X612" s="25"/>
      <c r="Y612" s="25"/>
      <c r="Z612" s="25"/>
      <c r="AA612" s="25"/>
      <c r="AB612" s="25"/>
      <c r="AC612" s="25"/>
      <c r="AD612" s="178"/>
    </row>
    <row r="613" spans="18:30" x14ac:dyDescent="0.25">
      <c r="R613" s="25"/>
      <c r="S613" s="25"/>
      <c r="T613" s="25"/>
      <c r="U613" s="25"/>
      <c r="V613" s="25"/>
      <c r="W613" s="25"/>
      <c r="X613" s="25"/>
      <c r="Y613" s="25"/>
      <c r="Z613" s="25"/>
      <c r="AA613" s="25"/>
      <c r="AB613" s="25"/>
      <c r="AC613" s="25"/>
      <c r="AD613" s="178"/>
    </row>
    <row r="614" spans="18:30" x14ac:dyDescent="0.25">
      <c r="R614" s="25"/>
      <c r="S614" s="25"/>
      <c r="T614" s="25"/>
      <c r="U614" s="25"/>
      <c r="V614" s="25"/>
      <c r="W614" s="25"/>
      <c r="X614" s="25"/>
      <c r="Y614" s="25"/>
      <c r="Z614" s="25"/>
      <c r="AA614" s="25"/>
      <c r="AB614" s="25"/>
      <c r="AC614" s="25"/>
      <c r="AD614" s="178"/>
    </row>
    <row r="615" spans="18:30" x14ac:dyDescent="0.25">
      <c r="R615" s="25"/>
      <c r="S615" s="25"/>
      <c r="T615" s="25"/>
      <c r="U615" s="25"/>
      <c r="V615" s="25"/>
      <c r="W615" s="25"/>
      <c r="X615" s="25"/>
      <c r="Y615" s="25"/>
      <c r="Z615" s="25"/>
      <c r="AA615" s="25"/>
      <c r="AB615" s="25"/>
      <c r="AC615" s="25"/>
      <c r="AD615" s="178"/>
    </row>
    <row r="616" spans="18:30" x14ac:dyDescent="0.25">
      <c r="R616" s="25"/>
      <c r="S616" s="25"/>
      <c r="T616" s="25"/>
      <c r="U616" s="25"/>
      <c r="V616" s="25"/>
      <c r="W616" s="25"/>
      <c r="X616" s="25"/>
      <c r="Y616" s="25"/>
      <c r="Z616" s="25"/>
      <c r="AA616" s="25"/>
      <c r="AB616" s="25"/>
      <c r="AC616" s="25"/>
      <c r="AD616" s="178"/>
    </row>
    <row r="617" spans="18:30" x14ac:dyDescent="0.25">
      <c r="R617" s="25"/>
      <c r="S617" s="25"/>
      <c r="T617" s="25"/>
      <c r="U617" s="25"/>
      <c r="V617" s="25"/>
      <c r="W617" s="25"/>
      <c r="X617" s="25"/>
      <c r="Y617" s="25"/>
      <c r="Z617" s="25"/>
      <c r="AA617" s="25"/>
      <c r="AB617" s="25"/>
      <c r="AC617" s="25"/>
      <c r="AD617" s="178"/>
    </row>
    <row r="618" spans="18:30" x14ac:dyDescent="0.25">
      <c r="R618" s="25"/>
      <c r="S618" s="25"/>
      <c r="T618" s="25"/>
      <c r="U618" s="25"/>
      <c r="V618" s="25"/>
      <c r="W618" s="25"/>
      <c r="X618" s="25"/>
      <c r="Y618" s="25"/>
      <c r="Z618" s="25"/>
      <c r="AA618" s="25"/>
      <c r="AB618" s="25"/>
      <c r="AC618" s="25"/>
      <c r="AD618" s="178"/>
    </row>
    <row r="619" spans="18:30" x14ac:dyDescent="0.25">
      <c r="R619" s="25"/>
      <c r="S619" s="25"/>
      <c r="T619" s="25"/>
      <c r="U619" s="25"/>
      <c r="V619" s="25"/>
      <c r="W619" s="25"/>
      <c r="X619" s="25"/>
      <c r="Y619" s="25"/>
      <c r="Z619" s="25"/>
      <c r="AA619" s="25"/>
      <c r="AB619" s="25"/>
      <c r="AC619" s="25"/>
      <c r="AD619" s="178"/>
    </row>
    <row r="620" spans="18:30" x14ac:dyDescent="0.25">
      <c r="R620" s="25"/>
      <c r="S620" s="25"/>
      <c r="T620" s="25"/>
      <c r="U620" s="25"/>
      <c r="V620" s="25"/>
      <c r="W620" s="25"/>
      <c r="X620" s="25"/>
      <c r="Y620" s="25"/>
      <c r="Z620" s="25"/>
      <c r="AA620" s="25"/>
      <c r="AB620" s="25"/>
      <c r="AC620" s="25"/>
      <c r="AD620" s="178"/>
    </row>
    <row r="621" spans="18:30" x14ac:dyDescent="0.25">
      <c r="R621" s="25"/>
      <c r="S621" s="25"/>
      <c r="T621" s="25"/>
      <c r="U621" s="25"/>
      <c r="V621" s="25"/>
      <c r="W621" s="25"/>
      <c r="X621" s="25"/>
      <c r="Y621" s="25"/>
      <c r="Z621" s="25"/>
      <c r="AA621" s="25"/>
      <c r="AB621" s="25"/>
      <c r="AC621" s="25"/>
      <c r="AD621" s="178"/>
    </row>
    <row r="622" spans="18:30" x14ac:dyDescent="0.25">
      <c r="R622" s="25"/>
      <c r="S622" s="25"/>
      <c r="T622" s="25"/>
      <c r="U622" s="25"/>
      <c r="V622" s="25"/>
      <c r="W622" s="25"/>
      <c r="X622" s="25"/>
      <c r="Y622" s="25"/>
      <c r="Z622" s="25"/>
      <c r="AA622" s="25"/>
      <c r="AB622" s="25"/>
      <c r="AC622" s="25"/>
      <c r="AD622" s="178"/>
    </row>
    <row r="623" spans="18:30" x14ac:dyDescent="0.25">
      <c r="R623" s="25"/>
      <c r="S623" s="25"/>
      <c r="T623" s="25"/>
      <c r="U623" s="25"/>
      <c r="V623" s="25"/>
      <c r="W623" s="25"/>
      <c r="X623" s="25"/>
      <c r="Y623" s="25"/>
      <c r="Z623" s="25"/>
      <c r="AA623" s="25"/>
      <c r="AB623" s="25"/>
      <c r="AC623" s="25"/>
      <c r="AD623" s="178"/>
    </row>
    <row r="624" spans="18:30" x14ac:dyDescent="0.25">
      <c r="R624" s="25"/>
      <c r="S624" s="25"/>
      <c r="T624" s="25"/>
      <c r="U624" s="25"/>
      <c r="V624" s="25"/>
      <c r="W624" s="25"/>
      <c r="X624" s="25"/>
      <c r="Y624" s="25"/>
      <c r="Z624" s="25"/>
      <c r="AA624" s="25"/>
      <c r="AB624" s="25"/>
      <c r="AC624" s="25"/>
      <c r="AD624" s="178"/>
    </row>
    <row r="625" spans="18:30" x14ac:dyDescent="0.25">
      <c r="R625" s="25"/>
      <c r="S625" s="25"/>
      <c r="T625" s="25"/>
      <c r="U625" s="25"/>
      <c r="V625" s="25"/>
      <c r="W625" s="25"/>
      <c r="X625" s="25"/>
      <c r="Y625" s="25"/>
      <c r="Z625" s="25"/>
      <c r="AA625" s="25"/>
      <c r="AB625" s="25"/>
      <c r="AC625" s="25"/>
      <c r="AD625" s="178"/>
    </row>
    <row r="626" spans="18:30" x14ac:dyDescent="0.25">
      <c r="R626" s="25"/>
      <c r="S626" s="25"/>
      <c r="T626" s="25"/>
      <c r="U626" s="25"/>
      <c r="V626" s="25"/>
      <c r="W626" s="25"/>
      <c r="X626" s="25"/>
      <c r="Y626" s="25"/>
      <c r="Z626" s="25"/>
      <c r="AA626" s="25"/>
      <c r="AB626" s="25"/>
      <c r="AC626" s="25"/>
      <c r="AD626" s="178"/>
    </row>
    <row r="627" spans="18:30" x14ac:dyDescent="0.25">
      <c r="R627" s="25"/>
      <c r="S627" s="25"/>
      <c r="T627" s="25"/>
      <c r="U627" s="25"/>
      <c r="V627" s="25"/>
      <c r="W627" s="25"/>
      <c r="X627" s="25"/>
      <c r="Y627" s="25"/>
      <c r="Z627" s="25"/>
      <c r="AA627" s="25"/>
      <c r="AB627" s="25"/>
      <c r="AC627" s="25"/>
      <c r="AD627" s="178"/>
    </row>
    <row r="628" spans="18:30" x14ac:dyDescent="0.25">
      <c r="R628" s="25"/>
      <c r="S628" s="25"/>
      <c r="T628" s="25"/>
      <c r="U628" s="25"/>
      <c r="V628" s="25"/>
      <c r="W628" s="25"/>
      <c r="X628" s="25"/>
      <c r="Y628" s="25"/>
      <c r="Z628" s="25"/>
      <c r="AA628" s="25"/>
      <c r="AB628" s="25"/>
      <c r="AC628" s="25"/>
      <c r="AD628" s="178"/>
    </row>
    <row r="629" spans="18:30" x14ac:dyDescent="0.25">
      <c r="R629" s="25"/>
      <c r="S629" s="25"/>
      <c r="T629" s="25"/>
      <c r="U629" s="25"/>
      <c r="V629" s="25"/>
      <c r="W629" s="25"/>
      <c r="X629" s="25"/>
      <c r="Y629" s="25"/>
      <c r="Z629" s="25"/>
      <c r="AA629" s="25"/>
      <c r="AB629" s="25"/>
      <c r="AC629" s="25"/>
      <c r="AD629" s="178"/>
    </row>
    <row r="630" spans="18:30" x14ac:dyDescent="0.25">
      <c r="R630" s="25"/>
      <c r="S630" s="25"/>
      <c r="T630" s="25"/>
      <c r="U630" s="25"/>
      <c r="V630" s="25"/>
      <c r="W630" s="25"/>
      <c r="X630" s="25"/>
      <c r="Y630" s="25"/>
      <c r="Z630" s="25"/>
      <c r="AA630" s="25"/>
      <c r="AB630" s="25"/>
      <c r="AC630" s="25"/>
      <c r="AD630" s="178"/>
    </row>
    <row r="631" spans="18:30" x14ac:dyDescent="0.25">
      <c r="R631" s="25"/>
      <c r="S631" s="25"/>
      <c r="T631" s="25"/>
      <c r="U631" s="25"/>
      <c r="V631" s="25"/>
      <c r="W631" s="25"/>
      <c r="X631" s="25"/>
      <c r="Y631" s="25"/>
      <c r="Z631" s="25"/>
      <c r="AA631" s="25"/>
      <c r="AB631" s="25"/>
      <c r="AC631" s="25"/>
      <c r="AD631" s="178"/>
    </row>
    <row r="632" spans="18:30" x14ac:dyDescent="0.25">
      <c r="R632" s="25"/>
      <c r="S632" s="25"/>
      <c r="T632" s="25"/>
      <c r="U632" s="25"/>
      <c r="V632" s="25"/>
      <c r="W632" s="25"/>
      <c r="X632" s="25"/>
      <c r="Y632" s="25"/>
      <c r="Z632" s="25"/>
      <c r="AA632" s="25"/>
      <c r="AB632" s="25"/>
      <c r="AC632" s="25"/>
      <c r="AD632" s="178"/>
    </row>
    <row r="633" spans="18:30" x14ac:dyDescent="0.25">
      <c r="R633" s="25"/>
      <c r="S633" s="25"/>
      <c r="T633" s="25"/>
      <c r="U633" s="25"/>
      <c r="V633" s="25"/>
      <c r="W633" s="25"/>
      <c r="X633" s="25"/>
      <c r="Y633" s="25"/>
      <c r="Z633" s="25"/>
      <c r="AA633" s="25"/>
      <c r="AB633" s="25"/>
      <c r="AC633" s="25"/>
      <c r="AD633" s="178"/>
    </row>
    <row r="634" spans="18:30" x14ac:dyDescent="0.25">
      <c r="R634" s="25"/>
      <c r="S634" s="25"/>
      <c r="T634" s="25"/>
      <c r="U634" s="25"/>
      <c r="V634" s="25"/>
      <c r="W634" s="25"/>
      <c r="X634" s="25"/>
      <c r="Y634" s="25"/>
      <c r="Z634" s="25"/>
      <c r="AA634" s="25"/>
      <c r="AB634" s="25"/>
      <c r="AC634" s="25"/>
      <c r="AD634" s="178"/>
    </row>
    <row r="635" spans="18:30" x14ac:dyDescent="0.25">
      <c r="R635" s="25"/>
      <c r="S635" s="25"/>
      <c r="T635" s="25"/>
      <c r="U635" s="25"/>
      <c r="V635" s="25"/>
      <c r="W635" s="25"/>
      <c r="X635" s="25"/>
      <c r="Y635" s="25"/>
      <c r="Z635" s="25"/>
      <c r="AA635" s="25"/>
      <c r="AB635" s="25"/>
      <c r="AC635" s="25"/>
      <c r="AD635" s="178"/>
    </row>
    <row r="636" spans="18:30" x14ac:dyDescent="0.25">
      <c r="R636" s="25"/>
      <c r="S636" s="25"/>
      <c r="T636" s="25"/>
      <c r="U636" s="25"/>
      <c r="V636" s="25"/>
      <c r="W636" s="25"/>
      <c r="X636" s="25"/>
      <c r="Y636" s="25"/>
      <c r="Z636" s="25"/>
      <c r="AA636" s="25"/>
      <c r="AB636" s="25"/>
      <c r="AC636" s="25"/>
      <c r="AD636" s="178"/>
    </row>
    <row r="637" spans="18:30" x14ac:dyDescent="0.25">
      <c r="R637" s="25"/>
      <c r="S637" s="25"/>
      <c r="T637" s="25"/>
      <c r="U637" s="25"/>
      <c r="V637" s="25"/>
      <c r="W637" s="25"/>
      <c r="X637" s="25"/>
      <c r="Y637" s="25"/>
      <c r="Z637" s="25"/>
      <c r="AA637" s="25"/>
      <c r="AB637" s="25"/>
      <c r="AC637" s="25"/>
      <c r="AD637" s="178"/>
    </row>
    <row r="638" spans="18:30" x14ac:dyDescent="0.25">
      <c r="R638" s="25"/>
      <c r="S638" s="25"/>
      <c r="T638" s="25"/>
      <c r="U638" s="25"/>
      <c r="V638" s="25"/>
      <c r="W638" s="25"/>
      <c r="X638" s="25"/>
      <c r="Y638" s="25"/>
      <c r="Z638" s="25"/>
      <c r="AA638" s="25"/>
      <c r="AB638" s="25"/>
      <c r="AC638" s="25"/>
      <c r="AD638" s="178"/>
    </row>
    <row r="639" spans="18:30" x14ac:dyDescent="0.25">
      <c r="R639" s="25"/>
      <c r="S639" s="25"/>
      <c r="T639" s="25"/>
      <c r="U639" s="25"/>
      <c r="V639" s="25"/>
      <c r="W639" s="25"/>
      <c r="X639" s="25"/>
      <c r="Y639" s="25"/>
      <c r="Z639" s="25"/>
      <c r="AA639" s="25"/>
      <c r="AB639" s="25"/>
      <c r="AC639" s="25"/>
      <c r="AD639" s="178"/>
    </row>
    <row r="640" spans="18:30" x14ac:dyDescent="0.25">
      <c r="R640" s="25"/>
      <c r="S640" s="25"/>
      <c r="T640" s="25"/>
      <c r="U640" s="25"/>
      <c r="V640" s="25"/>
      <c r="W640" s="25"/>
      <c r="X640" s="25"/>
      <c r="Y640" s="25"/>
      <c r="Z640" s="25"/>
      <c r="AA640" s="25"/>
      <c r="AB640" s="25"/>
      <c r="AC640" s="25"/>
      <c r="AD640" s="178"/>
    </row>
    <row r="641" spans="18:30" x14ac:dyDescent="0.25">
      <c r="R641" s="25"/>
      <c r="S641" s="25"/>
      <c r="T641" s="25"/>
      <c r="U641" s="25"/>
      <c r="V641" s="25"/>
      <c r="W641" s="25"/>
      <c r="X641" s="25"/>
      <c r="Y641" s="25"/>
      <c r="Z641" s="25"/>
      <c r="AA641" s="25"/>
      <c r="AB641" s="25"/>
      <c r="AC641" s="25"/>
      <c r="AD641" s="178"/>
    </row>
    <row r="642" spans="18:30" x14ac:dyDescent="0.25">
      <c r="R642" s="25"/>
      <c r="S642" s="25"/>
      <c r="T642" s="25"/>
      <c r="U642" s="25"/>
      <c r="V642" s="25"/>
      <c r="W642" s="25"/>
      <c r="X642" s="25"/>
      <c r="Y642" s="25"/>
      <c r="Z642" s="25"/>
      <c r="AA642" s="25"/>
      <c r="AB642" s="25"/>
      <c r="AC642" s="25"/>
      <c r="AD642" s="178"/>
    </row>
    <row r="643" spans="18:30" x14ac:dyDescent="0.25">
      <c r="R643" s="25"/>
      <c r="S643" s="25"/>
      <c r="T643" s="25"/>
      <c r="U643" s="25"/>
      <c r="V643" s="25"/>
      <c r="W643" s="25"/>
      <c r="X643" s="25"/>
      <c r="Y643" s="25"/>
      <c r="Z643" s="25"/>
      <c r="AA643" s="25"/>
      <c r="AB643" s="25"/>
      <c r="AC643" s="25"/>
      <c r="AD643" s="178"/>
    </row>
    <row r="644" spans="18:30" x14ac:dyDescent="0.25">
      <c r="R644" s="25"/>
      <c r="S644" s="25"/>
      <c r="T644" s="25"/>
      <c r="U644" s="25"/>
      <c r="V644" s="25"/>
      <c r="W644" s="25"/>
      <c r="X644" s="25"/>
      <c r="Y644" s="25"/>
      <c r="Z644" s="25"/>
      <c r="AA644" s="25"/>
      <c r="AB644" s="25"/>
      <c r="AC644" s="25"/>
      <c r="AD644" s="178"/>
    </row>
    <row r="645" spans="18:30" x14ac:dyDescent="0.25">
      <c r="R645" s="25"/>
      <c r="S645" s="25"/>
      <c r="T645" s="25"/>
      <c r="U645" s="25"/>
      <c r="V645" s="25"/>
      <c r="W645" s="25"/>
      <c r="X645" s="25"/>
      <c r="Y645" s="25"/>
      <c r="Z645" s="25"/>
      <c r="AA645" s="25"/>
      <c r="AB645" s="25"/>
      <c r="AC645" s="25"/>
      <c r="AD645" s="178"/>
    </row>
    <row r="646" spans="18:30" x14ac:dyDescent="0.25">
      <c r="R646" s="25"/>
      <c r="S646" s="25"/>
      <c r="T646" s="25"/>
      <c r="U646" s="25"/>
      <c r="V646" s="25"/>
      <c r="W646" s="25"/>
      <c r="X646" s="25"/>
      <c r="Y646" s="25"/>
      <c r="Z646" s="25"/>
      <c r="AA646" s="25"/>
      <c r="AB646" s="25"/>
      <c r="AC646" s="25"/>
      <c r="AD646" s="178"/>
    </row>
    <row r="647" spans="18:30" x14ac:dyDescent="0.25">
      <c r="R647" s="25"/>
      <c r="S647" s="25"/>
      <c r="T647" s="25"/>
      <c r="U647" s="25"/>
      <c r="V647" s="25"/>
      <c r="W647" s="25"/>
      <c r="X647" s="25"/>
      <c r="Y647" s="25"/>
      <c r="Z647" s="25"/>
      <c r="AA647" s="25"/>
      <c r="AB647" s="25"/>
      <c r="AC647" s="25"/>
      <c r="AD647" s="178"/>
    </row>
    <row r="648" spans="18:30" x14ac:dyDescent="0.25">
      <c r="R648" s="25"/>
      <c r="S648" s="25"/>
      <c r="T648" s="25"/>
      <c r="U648" s="25"/>
      <c r="V648" s="25"/>
      <c r="W648" s="25"/>
      <c r="X648" s="25"/>
      <c r="Y648" s="25"/>
      <c r="Z648" s="25"/>
      <c r="AA648" s="25"/>
      <c r="AB648" s="25"/>
      <c r="AC648" s="25"/>
      <c r="AD648" s="178"/>
    </row>
    <row r="649" spans="18:30" x14ac:dyDescent="0.25">
      <c r="R649" s="25"/>
      <c r="S649" s="25"/>
      <c r="T649" s="25"/>
      <c r="U649" s="25"/>
      <c r="V649" s="25"/>
      <c r="W649" s="25"/>
      <c r="X649" s="25"/>
      <c r="Y649" s="25"/>
      <c r="Z649" s="25"/>
      <c r="AA649" s="25"/>
      <c r="AB649" s="25"/>
      <c r="AC649" s="25"/>
      <c r="AD649" s="178"/>
    </row>
    <row r="650" spans="18:30" x14ac:dyDescent="0.25">
      <c r="R650" s="25"/>
      <c r="S650" s="25"/>
      <c r="T650" s="25"/>
      <c r="U650" s="25"/>
      <c r="V650" s="25"/>
      <c r="W650" s="25"/>
      <c r="X650" s="25"/>
      <c r="Y650" s="25"/>
      <c r="Z650" s="25"/>
      <c r="AA650" s="25"/>
      <c r="AB650" s="25"/>
      <c r="AC650" s="25"/>
      <c r="AD650" s="178"/>
    </row>
    <row r="651" spans="18:30" x14ac:dyDescent="0.25">
      <c r="R651" s="25"/>
      <c r="S651" s="25"/>
      <c r="T651" s="25"/>
      <c r="U651" s="25"/>
      <c r="V651" s="25"/>
      <c r="W651" s="25"/>
      <c r="X651" s="25"/>
      <c r="Y651" s="25"/>
      <c r="Z651" s="25"/>
      <c r="AA651" s="25"/>
      <c r="AB651" s="25"/>
      <c r="AC651" s="25"/>
      <c r="AD651" s="178"/>
    </row>
    <row r="652" spans="18:30" x14ac:dyDescent="0.25">
      <c r="R652" s="25"/>
      <c r="S652" s="25"/>
      <c r="T652" s="25"/>
      <c r="U652" s="25"/>
      <c r="V652" s="25"/>
      <c r="W652" s="25"/>
      <c r="X652" s="25"/>
      <c r="Y652" s="25"/>
      <c r="Z652" s="25"/>
      <c r="AA652" s="25"/>
      <c r="AB652" s="25"/>
      <c r="AC652" s="25"/>
      <c r="AD652" s="178"/>
    </row>
    <row r="653" spans="18:30" x14ac:dyDescent="0.25">
      <c r="R653" s="25"/>
      <c r="S653" s="25"/>
      <c r="T653" s="25"/>
      <c r="U653" s="25"/>
      <c r="V653" s="25"/>
      <c r="W653" s="25"/>
      <c r="X653" s="25"/>
      <c r="Y653" s="25"/>
      <c r="Z653" s="25"/>
      <c r="AA653" s="25"/>
      <c r="AB653" s="25"/>
      <c r="AC653" s="25"/>
      <c r="AD653" s="178"/>
    </row>
    <row r="654" spans="18:30" x14ac:dyDescent="0.25">
      <c r="R654" s="25"/>
      <c r="S654" s="25"/>
      <c r="T654" s="25"/>
      <c r="U654" s="25"/>
      <c r="V654" s="25"/>
      <c r="W654" s="25"/>
      <c r="X654" s="25"/>
      <c r="Y654" s="25"/>
      <c r="Z654" s="25"/>
      <c r="AA654" s="25"/>
      <c r="AB654" s="25"/>
      <c r="AC654" s="25"/>
      <c r="AD654" s="178"/>
    </row>
    <row r="655" spans="18:30" x14ac:dyDescent="0.25">
      <c r="R655" s="25"/>
      <c r="S655" s="25"/>
      <c r="T655" s="25"/>
      <c r="U655" s="25"/>
      <c r="V655" s="25"/>
      <c r="W655" s="25"/>
      <c r="X655" s="25"/>
      <c r="Y655" s="25"/>
      <c r="Z655" s="25"/>
      <c r="AA655" s="25"/>
      <c r="AB655" s="25"/>
      <c r="AC655" s="25"/>
      <c r="AD655" s="178"/>
    </row>
    <row r="656" spans="18:30" x14ac:dyDescent="0.25">
      <c r="R656" s="25"/>
      <c r="S656" s="25"/>
      <c r="T656" s="25"/>
      <c r="U656" s="25"/>
      <c r="V656" s="25"/>
      <c r="W656" s="25"/>
      <c r="X656" s="25"/>
      <c r="Y656" s="25"/>
      <c r="Z656" s="25"/>
      <c r="AA656" s="25"/>
      <c r="AB656" s="25"/>
      <c r="AC656" s="25"/>
      <c r="AD656" s="178"/>
    </row>
    <row r="657" spans="18:30" x14ac:dyDescent="0.25">
      <c r="R657" s="25"/>
      <c r="S657" s="25"/>
      <c r="T657" s="25"/>
      <c r="U657" s="25"/>
      <c r="V657" s="25"/>
      <c r="W657" s="25"/>
      <c r="X657" s="25"/>
      <c r="Y657" s="25"/>
      <c r="Z657" s="25"/>
      <c r="AA657" s="25"/>
      <c r="AB657" s="25"/>
      <c r="AC657" s="25"/>
      <c r="AD657" s="178"/>
    </row>
    <row r="658" spans="18:30" x14ac:dyDescent="0.25">
      <c r="R658" s="25"/>
      <c r="S658" s="25"/>
      <c r="T658" s="25"/>
      <c r="U658" s="25"/>
      <c r="V658" s="25"/>
      <c r="W658" s="25"/>
      <c r="X658" s="25"/>
      <c r="Y658" s="25"/>
      <c r="Z658" s="25"/>
      <c r="AA658" s="25"/>
      <c r="AB658" s="25"/>
      <c r="AC658" s="25"/>
      <c r="AD658" s="178"/>
    </row>
    <row r="659" spans="18:30" x14ac:dyDescent="0.25">
      <c r="R659" s="25"/>
      <c r="S659" s="25"/>
      <c r="T659" s="25"/>
      <c r="U659" s="25"/>
      <c r="V659" s="25"/>
      <c r="W659" s="25"/>
      <c r="X659" s="25"/>
      <c r="Y659" s="25"/>
      <c r="Z659" s="25"/>
      <c r="AA659" s="25"/>
      <c r="AB659" s="25"/>
      <c r="AC659" s="25"/>
      <c r="AD659" s="178"/>
    </row>
    <row r="660" spans="18:30" x14ac:dyDescent="0.25">
      <c r="R660" s="25"/>
      <c r="S660" s="25"/>
      <c r="T660" s="25"/>
      <c r="U660" s="25"/>
      <c r="V660" s="25"/>
      <c r="W660" s="25"/>
      <c r="X660" s="25"/>
      <c r="Y660" s="25"/>
      <c r="Z660" s="25"/>
      <c r="AA660" s="25"/>
      <c r="AB660" s="25"/>
      <c r="AC660" s="25"/>
      <c r="AD660" s="178"/>
    </row>
    <row r="661" spans="18:30" x14ac:dyDescent="0.25">
      <c r="R661" s="25"/>
      <c r="S661" s="25"/>
      <c r="T661" s="25"/>
      <c r="U661" s="25"/>
      <c r="V661" s="25"/>
      <c r="W661" s="25"/>
      <c r="X661" s="25"/>
      <c r="Y661" s="25"/>
      <c r="Z661" s="25"/>
      <c r="AA661" s="25"/>
      <c r="AB661" s="25"/>
      <c r="AC661" s="25"/>
      <c r="AD661" s="178"/>
    </row>
    <row r="662" spans="18:30" x14ac:dyDescent="0.25">
      <c r="R662" s="25"/>
      <c r="S662" s="25"/>
      <c r="T662" s="25"/>
      <c r="U662" s="25"/>
      <c r="V662" s="25"/>
      <c r="W662" s="25"/>
      <c r="X662" s="25"/>
      <c r="Y662" s="25"/>
      <c r="Z662" s="25"/>
      <c r="AA662" s="25"/>
      <c r="AB662" s="25"/>
      <c r="AC662" s="25"/>
      <c r="AD662" s="178"/>
    </row>
    <row r="663" spans="18:30" x14ac:dyDescent="0.25">
      <c r="R663" s="25"/>
      <c r="S663" s="25"/>
      <c r="T663" s="25"/>
      <c r="U663" s="25"/>
      <c r="V663" s="25"/>
      <c r="W663" s="25"/>
      <c r="X663" s="25"/>
      <c r="Y663" s="25"/>
      <c r="Z663" s="25"/>
      <c r="AA663" s="25"/>
      <c r="AB663" s="25"/>
      <c r="AC663" s="25"/>
      <c r="AD663" s="178"/>
    </row>
    <row r="664" spans="18:30" x14ac:dyDescent="0.25">
      <c r="R664" s="25"/>
      <c r="S664" s="25"/>
      <c r="T664" s="25"/>
      <c r="U664" s="25"/>
      <c r="V664" s="25"/>
      <c r="W664" s="25"/>
      <c r="X664" s="25"/>
      <c r="Y664" s="25"/>
      <c r="Z664" s="25"/>
      <c r="AA664" s="25"/>
      <c r="AB664" s="25"/>
      <c r="AC664" s="25"/>
      <c r="AD664" s="178"/>
    </row>
    <row r="665" spans="18:30" x14ac:dyDescent="0.25">
      <c r="R665" s="25"/>
      <c r="S665" s="25"/>
      <c r="T665" s="25"/>
      <c r="U665" s="25"/>
      <c r="V665" s="25"/>
      <c r="W665" s="25"/>
      <c r="X665" s="25"/>
      <c r="Y665" s="25"/>
      <c r="Z665" s="25"/>
      <c r="AA665" s="25"/>
      <c r="AB665" s="25"/>
      <c r="AC665" s="25"/>
      <c r="AD665" s="178"/>
    </row>
    <row r="666" spans="18:30" x14ac:dyDescent="0.25">
      <c r="R666" s="25"/>
      <c r="S666" s="25"/>
      <c r="T666" s="25"/>
      <c r="U666" s="25"/>
      <c r="V666" s="25"/>
      <c r="W666" s="25"/>
      <c r="X666" s="25"/>
      <c r="Y666" s="25"/>
      <c r="Z666" s="25"/>
      <c r="AA666" s="25"/>
      <c r="AB666" s="25"/>
      <c r="AC666" s="25"/>
      <c r="AD666" s="178"/>
    </row>
    <row r="667" spans="18:30" x14ac:dyDescent="0.25">
      <c r="R667" s="25"/>
      <c r="S667" s="25"/>
      <c r="T667" s="25"/>
      <c r="U667" s="25"/>
      <c r="V667" s="25"/>
      <c r="W667" s="25"/>
      <c r="X667" s="25"/>
      <c r="Y667" s="25"/>
      <c r="Z667" s="25"/>
      <c r="AA667" s="25"/>
      <c r="AB667" s="25"/>
      <c r="AC667" s="25"/>
      <c r="AD667" s="178"/>
    </row>
    <row r="668" spans="18:30" x14ac:dyDescent="0.25">
      <c r="R668" s="25"/>
      <c r="S668" s="25"/>
      <c r="T668" s="25"/>
      <c r="U668" s="25"/>
      <c r="V668" s="25"/>
      <c r="W668" s="25"/>
      <c r="X668" s="25"/>
      <c r="Y668" s="25"/>
      <c r="Z668" s="25"/>
      <c r="AA668" s="25"/>
      <c r="AB668" s="25"/>
      <c r="AC668" s="25"/>
      <c r="AD668" s="178"/>
    </row>
    <row r="669" spans="18:30" x14ac:dyDescent="0.25">
      <c r="R669" s="25"/>
      <c r="S669" s="25"/>
      <c r="T669" s="25"/>
      <c r="U669" s="25"/>
      <c r="V669" s="25"/>
      <c r="W669" s="25"/>
      <c r="X669" s="25"/>
      <c r="Y669" s="25"/>
      <c r="Z669" s="25"/>
      <c r="AA669" s="25"/>
      <c r="AB669" s="25"/>
      <c r="AC669" s="25"/>
      <c r="AD669" s="178"/>
    </row>
    <row r="670" spans="18:30" x14ac:dyDescent="0.25">
      <c r="R670" s="25"/>
      <c r="S670" s="25"/>
      <c r="T670" s="25"/>
      <c r="U670" s="25"/>
      <c r="V670" s="25"/>
      <c r="W670" s="25"/>
      <c r="X670" s="25"/>
      <c r="Y670" s="25"/>
      <c r="Z670" s="25"/>
      <c r="AA670" s="25"/>
      <c r="AB670" s="25"/>
      <c r="AC670" s="25"/>
      <c r="AD670" s="178"/>
    </row>
    <row r="671" spans="18:30" x14ac:dyDescent="0.25">
      <c r="R671" s="25"/>
      <c r="S671" s="25"/>
      <c r="T671" s="25"/>
      <c r="U671" s="25"/>
      <c r="V671" s="25"/>
      <c r="W671" s="25"/>
      <c r="X671" s="25"/>
      <c r="Y671" s="25"/>
      <c r="Z671" s="25"/>
      <c r="AA671" s="25"/>
      <c r="AB671" s="25"/>
      <c r="AC671" s="25"/>
      <c r="AD671" s="178"/>
    </row>
    <row r="672" spans="18:30" x14ac:dyDescent="0.25">
      <c r="R672" s="25"/>
      <c r="S672" s="25"/>
      <c r="T672" s="25"/>
      <c r="U672" s="25"/>
      <c r="V672" s="25"/>
      <c r="W672" s="25"/>
      <c r="X672" s="25"/>
      <c r="Y672" s="25"/>
      <c r="Z672" s="25"/>
      <c r="AA672" s="25"/>
      <c r="AB672" s="25"/>
      <c r="AC672" s="25"/>
      <c r="AD672" s="178"/>
    </row>
    <row r="673" spans="18:30" x14ac:dyDescent="0.25">
      <c r="R673" s="25"/>
      <c r="S673" s="25"/>
      <c r="T673" s="25"/>
      <c r="U673" s="25"/>
      <c r="V673" s="25"/>
      <c r="W673" s="25"/>
      <c r="X673" s="25"/>
      <c r="Y673" s="25"/>
      <c r="Z673" s="25"/>
      <c r="AA673" s="25"/>
      <c r="AB673" s="25"/>
      <c r="AC673" s="25"/>
      <c r="AD673" s="178"/>
    </row>
    <row r="674" spans="18:30" x14ac:dyDescent="0.25">
      <c r="R674" s="25"/>
      <c r="S674" s="25"/>
      <c r="T674" s="25"/>
      <c r="U674" s="25"/>
      <c r="V674" s="25"/>
      <c r="W674" s="25"/>
      <c r="X674" s="25"/>
      <c r="Y674" s="25"/>
      <c r="Z674" s="25"/>
      <c r="AA674" s="25"/>
      <c r="AB674" s="25"/>
      <c r="AC674" s="25"/>
      <c r="AD674" s="178"/>
    </row>
    <row r="675" spans="18:30" x14ac:dyDescent="0.25">
      <c r="R675" s="25"/>
      <c r="S675" s="25"/>
      <c r="T675" s="25"/>
      <c r="U675" s="25"/>
      <c r="V675" s="25"/>
      <c r="W675" s="25"/>
      <c r="X675" s="25"/>
      <c r="Y675" s="25"/>
      <c r="Z675" s="25"/>
      <c r="AA675" s="25"/>
      <c r="AB675" s="25"/>
      <c r="AC675" s="25"/>
      <c r="AD675" s="178"/>
    </row>
    <row r="676" spans="18:30" x14ac:dyDescent="0.25">
      <c r="R676" s="25"/>
      <c r="S676" s="25"/>
      <c r="T676" s="25"/>
      <c r="U676" s="25"/>
      <c r="V676" s="25"/>
      <c r="W676" s="25"/>
      <c r="X676" s="25"/>
      <c r="Y676" s="25"/>
      <c r="Z676" s="25"/>
      <c r="AA676" s="25"/>
      <c r="AB676" s="25"/>
      <c r="AC676" s="25"/>
      <c r="AD676" s="178"/>
    </row>
    <row r="677" spans="18:30" x14ac:dyDescent="0.25">
      <c r="R677" s="25"/>
      <c r="S677" s="25"/>
      <c r="T677" s="25"/>
      <c r="U677" s="25"/>
      <c r="V677" s="25"/>
      <c r="W677" s="25"/>
      <c r="X677" s="25"/>
      <c r="Y677" s="25"/>
      <c r="Z677" s="25"/>
      <c r="AA677" s="25"/>
      <c r="AB677" s="25"/>
      <c r="AC677" s="25"/>
      <c r="AD677" s="178"/>
    </row>
    <row r="678" spans="18:30" x14ac:dyDescent="0.25">
      <c r="R678" s="25"/>
      <c r="S678" s="25"/>
      <c r="T678" s="25"/>
      <c r="U678" s="25"/>
      <c r="V678" s="25"/>
      <c r="W678" s="25"/>
      <c r="X678" s="25"/>
      <c r="Y678" s="25"/>
      <c r="Z678" s="25"/>
      <c r="AA678" s="25"/>
      <c r="AB678" s="25"/>
      <c r="AC678" s="25"/>
      <c r="AD678" s="178"/>
    </row>
    <row r="679" spans="18:30" x14ac:dyDescent="0.25">
      <c r="R679" s="25"/>
      <c r="S679" s="25"/>
      <c r="T679" s="25"/>
      <c r="U679" s="25"/>
      <c r="V679" s="25"/>
      <c r="W679" s="25"/>
      <c r="X679" s="25"/>
      <c r="Y679" s="25"/>
      <c r="Z679" s="25"/>
      <c r="AA679" s="25"/>
      <c r="AB679" s="25"/>
      <c r="AC679" s="25"/>
      <c r="AD679" s="178"/>
    </row>
    <row r="680" spans="18:30" x14ac:dyDescent="0.25">
      <c r="R680" s="25"/>
      <c r="S680" s="25"/>
      <c r="T680" s="25"/>
      <c r="U680" s="25"/>
      <c r="V680" s="25"/>
      <c r="W680" s="25"/>
      <c r="X680" s="25"/>
      <c r="Y680" s="25"/>
      <c r="Z680" s="25"/>
      <c r="AA680" s="25"/>
      <c r="AB680" s="25"/>
      <c r="AC680" s="25"/>
      <c r="AD680" s="178"/>
    </row>
    <row r="681" spans="18:30" x14ac:dyDescent="0.25">
      <c r="R681" s="25"/>
      <c r="S681" s="25"/>
      <c r="T681" s="25"/>
      <c r="U681" s="25"/>
      <c r="V681" s="25"/>
      <c r="W681" s="25"/>
      <c r="X681" s="25"/>
      <c r="Y681" s="25"/>
      <c r="Z681" s="25"/>
      <c r="AA681" s="25"/>
      <c r="AB681" s="25"/>
      <c r="AC681" s="25"/>
      <c r="AD681" s="178"/>
    </row>
    <row r="682" spans="18:30" x14ac:dyDescent="0.25">
      <c r="R682" s="25"/>
      <c r="S682" s="25"/>
      <c r="T682" s="25"/>
      <c r="U682" s="25"/>
      <c r="V682" s="25"/>
      <c r="W682" s="25"/>
      <c r="X682" s="25"/>
      <c r="Y682" s="25"/>
      <c r="Z682" s="25"/>
      <c r="AA682" s="25"/>
      <c r="AB682" s="25"/>
      <c r="AC682" s="25"/>
      <c r="AD682" s="178"/>
    </row>
    <row r="683" spans="18:30" x14ac:dyDescent="0.25">
      <c r="R683" s="25"/>
      <c r="S683" s="25"/>
      <c r="T683" s="25"/>
      <c r="U683" s="25"/>
      <c r="V683" s="25"/>
      <c r="W683" s="25"/>
      <c r="X683" s="25"/>
      <c r="Y683" s="25"/>
      <c r="Z683" s="25"/>
      <c r="AA683" s="25"/>
      <c r="AB683" s="25"/>
      <c r="AC683" s="25"/>
      <c r="AD683" s="178"/>
    </row>
    <row r="684" spans="18:30" x14ac:dyDescent="0.25">
      <c r="R684" s="25"/>
      <c r="S684" s="25"/>
      <c r="T684" s="25"/>
      <c r="U684" s="25"/>
      <c r="V684" s="25"/>
      <c r="W684" s="25"/>
      <c r="X684" s="25"/>
      <c r="Y684" s="25"/>
      <c r="Z684" s="25"/>
      <c r="AA684" s="25"/>
      <c r="AB684" s="25"/>
      <c r="AC684" s="25"/>
      <c r="AD684" s="178"/>
    </row>
    <row r="685" spans="18:30" x14ac:dyDescent="0.25">
      <c r="R685" s="25"/>
      <c r="S685" s="25"/>
      <c r="T685" s="25"/>
      <c r="U685" s="25"/>
      <c r="V685" s="25"/>
      <c r="W685" s="25"/>
      <c r="X685" s="25"/>
      <c r="Y685" s="25"/>
      <c r="Z685" s="25"/>
      <c r="AA685" s="25"/>
      <c r="AB685" s="25"/>
      <c r="AC685" s="25"/>
      <c r="AD685" s="178"/>
    </row>
    <row r="686" spans="18:30" x14ac:dyDescent="0.25">
      <c r="R686" s="25"/>
      <c r="S686" s="25"/>
      <c r="T686" s="25"/>
      <c r="U686" s="25"/>
      <c r="V686" s="25"/>
      <c r="W686" s="25"/>
      <c r="X686" s="25"/>
      <c r="Y686" s="25"/>
      <c r="Z686" s="25"/>
      <c r="AA686" s="25"/>
      <c r="AB686" s="25"/>
      <c r="AC686" s="25"/>
      <c r="AD686" s="178"/>
    </row>
    <row r="687" spans="18:30" x14ac:dyDescent="0.25">
      <c r="R687" s="25"/>
      <c r="S687" s="25"/>
      <c r="T687" s="25"/>
      <c r="U687" s="25"/>
      <c r="V687" s="25"/>
      <c r="W687" s="25"/>
      <c r="X687" s="25"/>
      <c r="Y687" s="25"/>
      <c r="Z687" s="25"/>
      <c r="AA687" s="25"/>
      <c r="AB687" s="25"/>
      <c r="AC687" s="25"/>
      <c r="AD687" s="178"/>
    </row>
    <row r="688" spans="18:30" x14ac:dyDescent="0.25">
      <c r="R688" s="25"/>
      <c r="S688" s="25"/>
      <c r="T688" s="25"/>
      <c r="U688" s="25"/>
      <c r="V688" s="25"/>
      <c r="W688" s="25"/>
      <c r="X688" s="25"/>
      <c r="Y688" s="25"/>
      <c r="Z688" s="25"/>
      <c r="AA688" s="25"/>
      <c r="AB688" s="25"/>
      <c r="AC688" s="25"/>
      <c r="AD688" s="178"/>
    </row>
    <row r="689" spans="18:30" x14ac:dyDescent="0.25">
      <c r="R689" s="25"/>
      <c r="S689" s="25"/>
      <c r="T689" s="25"/>
      <c r="U689" s="25"/>
      <c r="V689" s="25"/>
      <c r="W689" s="25"/>
      <c r="X689" s="25"/>
      <c r="Y689" s="25"/>
      <c r="Z689" s="25"/>
      <c r="AA689" s="25"/>
      <c r="AB689" s="25"/>
      <c r="AC689" s="25"/>
      <c r="AD689" s="178"/>
    </row>
    <row r="690" spans="18:30" x14ac:dyDescent="0.25">
      <c r="R690" s="25"/>
      <c r="S690" s="25"/>
      <c r="T690" s="25"/>
      <c r="U690" s="25"/>
      <c r="V690" s="25"/>
      <c r="W690" s="25"/>
      <c r="X690" s="25"/>
      <c r="Y690" s="25"/>
      <c r="Z690" s="25"/>
      <c r="AA690" s="25"/>
      <c r="AB690" s="25"/>
      <c r="AC690" s="25"/>
      <c r="AD690" s="178"/>
    </row>
    <row r="691" spans="18:30" x14ac:dyDescent="0.25">
      <c r="R691" s="25"/>
      <c r="S691" s="25"/>
      <c r="T691" s="25"/>
      <c r="U691" s="25"/>
      <c r="V691" s="25"/>
      <c r="W691" s="25"/>
      <c r="X691" s="25"/>
      <c r="Y691" s="25"/>
      <c r="Z691" s="25"/>
      <c r="AA691" s="25"/>
      <c r="AB691" s="25"/>
      <c r="AC691" s="25"/>
      <c r="AD691" s="178"/>
    </row>
    <row r="692" spans="18:30" x14ac:dyDescent="0.25">
      <c r="R692" s="25"/>
      <c r="S692" s="25"/>
      <c r="T692" s="25"/>
      <c r="U692" s="25"/>
      <c r="V692" s="25"/>
      <c r="W692" s="25"/>
      <c r="X692" s="25"/>
      <c r="Y692" s="25"/>
      <c r="Z692" s="25"/>
      <c r="AA692" s="25"/>
      <c r="AB692" s="25"/>
      <c r="AC692" s="25"/>
      <c r="AD692" s="178"/>
    </row>
    <row r="693" spans="18:30" x14ac:dyDescent="0.25">
      <c r="R693" s="25"/>
      <c r="S693" s="25"/>
      <c r="T693" s="25"/>
      <c r="U693" s="25"/>
      <c r="V693" s="25"/>
      <c r="W693" s="25"/>
      <c r="X693" s="25"/>
      <c r="Y693" s="25"/>
      <c r="Z693" s="25"/>
      <c r="AA693" s="25"/>
      <c r="AB693" s="25"/>
      <c r="AC693" s="25"/>
      <c r="AD693" s="178"/>
    </row>
    <row r="694" spans="18:30" x14ac:dyDescent="0.25">
      <c r="R694" s="25"/>
      <c r="S694" s="25"/>
      <c r="T694" s="25"/>
      <c r="U694" s="25"/>
      <c r="V694" s="25"/>
      <c r="W694" s="25"/>
      <c r="X694" s="25"/>
      <c r="Y694" s="25"/>
      <c r="Z694" s="25"/>
      <c r="AA694" s="25"/>
      <c r="AB694" s="25"/>
      <c r="AC694" s="25"/>
      <c r="AD694" s="178"/>
    </row>
    <row r="695" spans="18:30" x14ac:dyDescent="0.25">
      <c r="R695" s="25"/>
      <c r="S695" s="25"/>
      <c r="T695" s="25"/>
      <c r="U695" s="25"/>
      <c r="V695" s="25"/>
      <c r="W695" s="25"/>
      <c r="X695" s="25"/>
      <c r="Y695" s="25"/>
      <c r="Z695" s="25"/>
      <c r="AA695" s="25"/>
      <c r="AB695" s="25"/>
      <c r="AC695" s="25"/>
      <c r="AD695" s="178"/>
    </row>
    <row r="696" spans="18:30" x14ac:dyDescent="0.25">
      <c r="R696" s="25"/>
      <c r="S696" s="25"/>
      <c r="T696" s="25"/>
      <c r="U696" s="25"/>
      <c r="V696" s="25"/>
      <c r="W696" s="25"/>
      <c r="X696" s="25"/>
      <c r="Y696" s="25"/>
      <c r="Z696" s="25"/>
      <c r="AA696" s="25"/>
      <c r="AB696" s="25"/>
      <c r="AC696" s="25"/>
      <c r="AD696" s="178"/>
    </row>
    <row r="697" spans="18:30" x14ac:dyDescent="0.25">
      <c r="R697" s="25"/>
      <c r="S697" s="25"/>
      <c r="T697" s="25"/>
      <c r="U697" s="25"/>
      <c r="V697" s="25"/>
      <c r="W697" s="25"/>
      <c r="X697" s="25"/>
      <c r="Y697" s="25"/>
      <c r="Z697" s="25"/>
      <c r="AA697" s="25"/>
      <c r="AB697" s="25"/>
      <c r="AC697" s="25"/>
      <c r="AD697" s="178"/>
    </row>
    <row r="698" spans="18:30" x14ac:dyDescent="0.25">
      <c r="R698" s="25"/>
      <c r="S698" s="25"/>
      <c r="T698" s="25"/>
      <c r="U698" s="25"/>
      <c r="V698" s="25"/>
      <c r="W698" s="25"/>
      <c r="X698" s="25"/>
      <c r="Y698" s="25"/>
      <c r="Z698" s="25"/>
      <c r="AA698" s="25"/>
      <c r="AB698" s="25"/>
      <c r="AC698" s="25"/>
      <c r="AD698" s="178"/>
    </row>
    <row r="699" spans="18:30" x14ac:dyDescent="0.25">
      <c r="R699" s="25"/>
      <c r="S699" s="25"/>
      <c r="T699" s="25"/>
      <c r="U699" s="25"/>
      <c r="V699" s="25"/>
      <c r="W699" s="25"/>
      <c r="X699" s="25"/>
      <c r="Y699" s="25"/>
      <c r="Z699" s="25"/>
      <c r="AA699" s="25"/>
      <c r="AB699" s="25"/>
      <c r="AC699" s="25"/>
      <c r="AD699" s="178"/>
    </row>
    <row r="700" spans="18:30" x14ac:dyDescent="0.25">
      <c r="R700" s="25"/>
      <c r="S700" s="25"/>
      <c r="T700" s="25"/>
      <c r="U700" s="25"/>
      <c r="V700" s="25"/>
      <c r="W700" s="25"/>
      <c r="X700" s="25"/>
      <c r="Y700" s="25"/>
      <c r="Z700" s="25"/>
      <c r="AA700" s="25"/>
      <c r="AB700" s="25"/>
      <c r="AC700" s="25"/>
      <c r="AD700" s="178"/>
    </row>
    <row r="701" spans="18:30" x14ac:dyDescent="0.25">
      <c r="R701" s="25"/>
      <c r="S701" s="25"/>
      <c r="T701" s="25"/>
      <c r="U701" s="25"/>
      <c r="V701" s="25"/>
      <c r="W701" s="25"/>
      <c r="X701" s="25"/>
      <c r="Y701" s="25"/>
      <c r="Z701" s="25"/>
      <c r="AA701" s="25"/>
      <c r="AB701" s="25"/>
      <c r="AC701" s="25"/>
      <c r="AD701" s="178"/>
    </row>
    <row r="702" spans="18:30" x14ac:dyDescent="0.25">
      <c r="R702" s="25"/>
      <c r="S702" s="25"/>
      <c r="T702" s="25"/>
      <c r="U702" s="25"/>
      <c r="V702" s="25"/>
      <c r="W702" s="25"/>
      <c r="X702" s="25"/>
      <c r="Y702" s="25"/>
      <c r="Z702" s="25"/>
      <c r="AA702" s="25"/>
      <c r="AB702" s="25"/>
      <c r="AC702" s="25"/>
      <c r="AD702" s="178"/>
    </row>
    <row r="703" spans="18:30" x14ac:dyDescent="0.25">
      <c r="R703" s="25"/>
      <c r="S703" s="25"/>
      <c r="T703" s="25"/>
      <c r="U703" s="25"/>
      <c r="V703" s="25"/>
      <c r="W703" s="25"/>
      <c r="X703" s="25"/>
      <c r="Y703" s="25"/>
      <c r="Z703" s="25"/>
      <c r="AA703" s="25"/>
      <c r="AB703" s="25"/>
      <c r="AC703" s="25"/>
      <c r="AD703" s="178"/>
    </row>
    <row r="704" spans="18:30" x14ac:dyDescent="0.25">
      <c r="R704" s="25"/>
      <c r="S704" s="25"/>
      <c r="T704" s="25"/>
      <c r="U704" s="25"/>
      <c r="V704" s="25"/>
      <c r="W704" s="25"/>
      <c r="X704" s="25"/>
      <c r="Y704" s="25"/>
      <c r="Z704" s="25"/>
      <c r="AA704" s="25"/>
      <c r="AB704" s="25"/>
      <c r="AC704" s="25"/>
      <c r="AD704" s="178"/>
    </row>
    <row r="705" spans="18:30" x14ac:dyDescent="0.25">
      <c r="R705" s="25"/>
      <c r="S705" s="25"/>
      <c r="T705" s="25"/>
      <c r="U705" s="25"/>
      <c r="V705" s="25"/>
      <c r="W705" s="25"/>
      <c r="X705" s="25"/>
      <c r="Y705" s="25"/>
      <c r="Z705" s="25"/>
      <c r="AA705" s="25"/>
      <c r="AB705" s="25"/>
      <c r="AC705" s="25"/>
      <c r="AD705" s="178"/>
    </row>
    <row r="706" spans="18:30" x14ac:dyDescent="0.25">
      <c r="R706" s="25"/>
      <c r="S706" s="25"/>
      <c r="T706" s="25"/>
      <c r="U706" s="25"/>
      <c r="V706" s="25"/>
      <c r="W706" s="25"/>
      <c r="X706" s="25"/>
      <c r="Y706" s="25"/>
      <c r="Z706" s="25"/>
      <c r="AA706" s="25"/>
      <c r="AB706" s="25"/>
      <c r="AC706" s="25"/>
      <c r="AD706" s="178"/>
    </row>
    <row r="707" spans="18:30" x14ac:dyDescent="0.25">
      <c r="R707" s="25"/>
      <c r="S707" s="25"/>
      <c r="T707" s="25"/>
      <c r="U707" s="25"/>
      <c r="V707" s="25"/>
      <c r="W707" s="25"/>
      <c r="X707" s="25"/>
      <c r="Y707" s="25"/>
      <c r="Z707" s="25"/>
      <c r="AA707" s="25"/>
      <c r="AB707" s="25"/>
      <c r="AC707" s="25"/>
      <c r="AD707" s="178"/>
    </row>
    <row r="708" spans="18:30" x14ac:dyDescent="0.25">
      <c r="R708" s="25"/>
      <c r="S708" s="25"/>
      <c r="T708" s="25"/>
      <c r="U708" s="25"/>
      <c r="V708" s="25"/>
      <c r="W708" s="25"/>
      <c r="X708" s="25"/>
      <c r="Y708" s="25"/>
      <c r="Z708" s="25"/>
      <c r="AA708" s="25"/>
      <c r="AB708" s="25"/>
      <c r="AC708" s="25"/>
      <c r="AD708" s="178"/>
    </row>
    <row r="709" spans="18:30" x14ac:dyDescent="0.25">
      <c r="R709" s="25"/>
      <c r="S709" s="25"/>
      <c r="T709" s="25"/>
      <c r="U709" s="25"/>
      <c r="V709" s="25"/>
      <c r="W709" s="25"/>
      <c r="X709" s="25"/>
      <c r="Y709" s="25"/>
      <c r="Z709" s="25"/>
      <c r="AA709" s="25"/>
      <c r="AB709" s="25"/>
      <c r="AC709" s="25"/>
      <c r="AD709" s="178"/>
    </row>
    <row r="710" spans="18:30" x14ac:dyDescent="0.25">
      <c r="R710" s="25"/>
      <c r="S710" s="25"/>
      <c r="T710" s="25"/>
      <c r="U710" s="25"/>
      <c r="V710" s="25"/>
      <c r="W710" s="25"/>
      <c r="X710" s="25"/>
      <c r="Y710" s="25"/>
      <c r="Z710" s="25"/>
      <c r="AA710" s="25"/>
      <c r="AB710" s="25"/>
      <c r="AC710" s="25"/>
      <c r="AD710" s="178"/>
    </row>
    <row r="711" spans="18:30" x14ac:dyDescent="0.25">
      <c r="R711" s="25"/>
      <c r="S711" s="25"/>
      <c r="T711" s="25"/>
      <c r="U711" s="25"/>
      <c r="V711" s="25"/>
      <c r="W711" s="25"/>
      <c r="X711" s="25"/>
      <c r="Y711" s="25"/>
      <c r="Z711" s="25"/>
      <c r="AA711" s="25"/>
      <c r="AB711" s="25"/>
      <c r="AC711" s="25"/>
      <c r="AD711" s="178"/>
    </row>
    <row r="712" spans="18:30" x14ac:dyDescent="0.25">
      <c r="R712" s="25"/>
      <c r="S712" s="25"/>
      <c r="T712" s="25"/>
      <c r="U712" s="25"/>
      <c r="V712" s="25"/>
      <c r="W712" s="25"/>
      <c r="X712" s="25"/>
      <c r="Y712" s="25"/>
      <c r="Z712" s="25"/>
      <c r="AA712" s="25"/>
      <c r="AB712" s="25"/>
      <c r="AC712" s="25"/>
      <c r="AD712" s="178"/>
    </row>
    <row r="713" spans="18:30" x14ac:dyDescent="0.25">
      <c r="R713" s="25"/>
      <c r="S713" s="25"/>
      <c r="T713" s="25"/>
      <c r="U713" s="25"/>
      <c r="V713" s="25"/>
      <c r="W713" s="25"/>
      <c r="X713" s="25"/>
      <c r="Y713" s="25"/>
      <c r="Z713" s="25"/>
      <c r="AA713" s="25"/>
      <c r="AB713" s="25"/>
      <c r="AC713" s="25"/>
      <c r="AD713" s="178"/>
    </row>
    <row r="714" spans="18:30" x14ac:dyDescent="0.25">
      <c r="R714" s="25"/>
      <c r="S714" s="25"/>
      <c r="T714" s="25"/>
      <c r="U714" s="25"/>
      <c r="V714" s="25"/>
      <c r="W714" s="25"/>
      <c r="X714" s="25"/>
      <c r="Y714" s="25"/>
      <c r="Z714" s="25"/>
      <c r="AA714" s="25"/>
      <c r="AB714" s="25"/>
      <c r="AC714" s="25"/>
      <c r="AD714" s="178"/>
    </row>
    <row r="715" spans="18:30" x14ac:dyDescent="0.25">
      <c r="R715" s="25"/>
      <c r="S715" s="25"/>
      <c r="T715" s="25"/>
      <c r="U715" s="25"/>
      <c r="V715" s="25"/>
      <c r="W715" s="25"/>
      <c r="X715" s="25"/>
      <c r="Y715" s="25"/>
      <c r="Z715" s="25"/>
      <c r="AA715" s="25"/>
      <c r="AB715" s="25"/>
      <c r="AC715" s="25"/>
      <c r="AD715" s="178"/>
    </row>
    <row r="716" spans="18:30" x14ac:dyDescent="0.25">
      <c r="R716" s="25"/>
      <c r="S716" s="25"/>
      <c r="T716" s="25"/>
      <c r="U716" s="25"/>
      <c r="V716" s="25"/>
      <c r="W716" s="25"/>
      <c r="X716" s="25"/>
      <c r="Y716" s="25"/>
      <c r="Z716" s="25"/>
      <c r="AA716" s="25"/>
      <c r="AB716" s="25"/>
      <c r="AC716" s="25"/>
      <c r="AD716" s="178"/>
    </row>
    <row r="717" spans="18:30" x14ac:dyDescent="0.25">
      <c r="R717" s="25"/>
      <c r="S717" s="25"/>
      <c r="T717" s="25"/>
      <c r="U717" s="25"/>
      <c r="V717" s="25"/>
      <c r="W717" s="25"/>
      <c r="X717" s="25"/>
      <c r="Y717" s="25"/>
      <c r="Z717" s="25"/>
      <c r="AA717" s="25"/>
      <c r="AB717" s="25"/>
      <c r="AC717" s="25"/>
      <c r="AD717" s="178"/>
    </row>
    <row r="718" spans="18:30" x14ac:dyDescent="0.25">
      <c r="R718" s="25"/>
      <c r="S718" s="25"/>
      <c r="T718" s="25"/>
      <c r="U718" s="25"/>
      <c r="V718" s="25"/>
      <c r="W718" s="25"/>
      <c r="X718" s="25"/>
      <c r="Y718" s="25"/>
      <c r="Z718" s="25"/>
      <c r="AA718" s="25"/>
      <c r="AB718" s="25"/>
      <c r="AC718" s="25"/>
      <c r="AD718" s="178"/>
    </row>
    <row r="719" spans="18:30" x14ac:dyDescent="0.25">
      <c r="R719" s="25"/>
      <c r="S719" s="25"/>
      <c r="T719" s="25"/>
      <c r="U719" s="25"/>
      <c r="V719" s="25"/>
      <c r="W719" s="25"/>
      <c r="X719" s="25"/>
      <c r="Y719" s="25"/>
      <c r="Z719" s="25"/>
      <c r="AA719" s="25"/>
      <c r="AB719" s="25"/>
      <c r="AC719" s="25"/>
      <c r="AD719" s="178"/>
    </row>
    <row r="720" spans="18:30" x14ac:dyDescent="0.25">
      <c r="R720" s="25"/>
      <c r="S720" s="25"/>
      <c r="T720" s="25"/>
      <c r="U720" s="25"/>
      <c r="V720" s="25"/>
      <c r="W720" s="25"/>
      <c r="X720" s="25"/>
      <c r="Y720" s="25"/>
      <c r="Z720" s="25"/>
      <c r="AA720" s="25"/>
      <c r="AB720" s="25"/>
      <c r="AC720" s="25"/>
      <c r="AD720" s="178"/>
    </row>
    <row r="721" spans="18:30" x14ac:dyDescent="0.25">
      <c r="R721" s="25"/>
      <c r="S721" s="25"/>
      <c r="T721" s="25"/>
      <c r="U721" s="25"/>
      <c r="V721" s="25"/>
      <c r="W721" s="25"/>
      <c r="X721" s="25"/>
      <c r="Y721" s="25"/>
      <c r="Z721" s="25"/>
      <c r="AA721" s="25"/>
      <c r="AB721" s="25"/>
      <c r="AC721" s="25"/>
      <c r="AD721" s="178"/>
    </row>
    <row r="722" spans="18:30" x14ac:dyDescent="0.25">
      <c r="R722" s="25"/>
      <c r="S722" s="25"/>
      <c r="T722" s="25"/>
      <c r="U722" s="25"/>
      <c r="V722" s="25"/>
      <c r="W722" s="25"/>
      <c r="X722" s="25"/>
      <c r="Y722" s="25"/>
      <c r="Z722" s="25"/>
      <c r="AA722" s="25"/>
      <c r="AB722" s="25"/>
      <c r="AC722" s="25"/>
      <c r="AD722" s="178"/>
    </row>
    <row r="723" spans="18:30" x14ac:dyDescent="0.25">
      <c r="R723" s="25"/>
      <c r="S723" s="25"/>
      <c r="T723" s="25"/>
      <c r="U723" s="25"/>
      <c r="V723" s="25"/>
      <c r="W723" s="25"/>
      <c r="X723" s="25"/>
      <c r="Y723" s="25"/>
      <c r="Z723" s="25"/>
      <c r="AA723" s="25"/>
      <c r="AB723" s="25"/>
      <c r="AC723" s="25"/>
      <c r="AD723" s="178"/>
    </row>
    <row r="724" spans="18:30" x14ac:dyDescent="0.25">
      <c r="R724" s="25"/>
      <c r="S724" s="25"/>
      <c r="T724" s="25"/>
      <c r="U724" s="25"/>
      <c r="V724" s="25"/>
      <c r="W724" s="25"/>
      <c r="X724" s="25"/>
      <c r="Y724" s="25"/>
      <c r="Z724" s="25"/>
      <c r="AA724" s="25"/>
      <c r="AB724" s="25"/>
      <c r="AC724" s="25"/>
      <c r="AD724" s="178"/>
    </row>
    <row r="725" spans="18:30" x14ac:dyDescent="0.25">
      <c r="R725" s="25"/>
      <c r="S725" s="25"/>
      <c r="T725" s="25"/>
      <c r="U725" s="25"/>
      <c r="V725" s="25"/>
      <c r="W725" s="25"/>
      <c r="X725" s="25"/>
      <c r="Y725" s="25"/>
      <c r="Z725" s="25"/>
      <c r="AA725" s="25"/>
      <c r="AB725" s="25"/>
      <c r="AC725" s="25"/>
      <c r="AD725" s="178"/>
    </row>
    <row r="726" spans="18:30" x14ac:dyDescent="0.25">
      <c r="R726" s="25"/>
      <c r="S726" s="25"/>
      <c r="T726" s="25"/>
      <c r="U726" s="25"/>
      <c r="V726" s="25"/>
      <c r="W726" s="25"/>
      <c r="X726" s="25"/>
      <c r="Y726" s="25"/>
      <c r="Z726" s="25"/>
      <c r="AA726" s="25"/>
      <c r="AB726" s="25"/>
      <c r="AC726" s="25"/>
      <c r="AD726" s="178"/>
    </row>
    <row r="727" spans="18:30" x14ac:dyDescent="0.25">
      <c r="R727" s="25"/>
      <c r="S727" s="25"/>
      <c r="T727" s="25"/>
      <c r="U727" s="25"/>
      <c r="V727" s="25"/>
      <c r="W727" s="25"/>
      <c r="X727" s="25"/>
      <c r="Y727" s="25"/>
      <c r="Z727" s="25"/>
      <c r="AA727" s="25"/>
      <c r="AB727" s="25"/>
      <c r="AC727" s="25"/>
      <c r="AD727" s="178"/>
    </row>
    <row r="728" spans="18:30" x14ac:dyDescent="0.25">
      <c r="R728" s="25"/>
      <c r="S728" s="25"/>
      <c r="T728" s="25"/>
      <c r="U728" s="25"/>
      <c r="V728" s="25"/>
      <c r="W728" s="25"/>
      <c r="X728" s="25"/>
      <c r="Y728" s="25"/>
      <c r="Z728" s="25"/>
      <c r="AA728" s="25"/>
      <c r="AB728" s="25"/>
      <c r="AC728" s="25"/>
      <c r="AD728" s="178"/>
    </row>
    <row r="729" spans="18:30" x14ac:dyDescent="0.25">
      <c r="R729" s="25"/>
      <c r="S729" s="25"/>
      <c r="T729" s="25"/>
      <c r="U729" s="25"/>
      <c r="V729" s="25"/>
      <c r="W729" s="25"/>
      <c r="X729" s="25"/>
      <c r="Y729" s="25"/>
      <c r="Z729" s="25"/>
      <c r="AA729" s="25"/>
      <c r="AB729" s="25"/>
      <c r="AC729" s="25"/>
      <c r="AD729" s="178"/>
    </row>
    <row r="730" spans="18:30" x14ac:dyDescent="0.25">
      <c r="R730" s="25"/>
      <c r="S730" s="25"/>
      <c r="T730" s="25"/>
      <c r="U730" s="25"/>
      <c r="V730" s="25"/>
      <c r="W730" s="25"/>
      <c r="X730" s="25"/>
      <c r="Y730" s="25"/>
      <c r="Z730" s="25"/>
      <c r="AA730" s="25"/>
      <c r="AB730" s="25"/>
      <c r="AC730" s="25"/>
      <c r="AD730" s="178"/>
    </row>
    <row r="731" spans="18:30" x14ac:dyDescent="0.25">
      <c r="R731" s="25"/>
      <c r="S731" s="25"/>
      <c r="T731" s="25"/>
      <c r="U731" s="25"/>
      <c r="V731" s="25"/>
      <c r="W731" s="25"/>
      <c r="X731" s="25"/>
      <c r="Y731" s="25"/>
      <c r="Z731" s="25"/>
      <c r="AA731" s="25"/>
      <c r="AB731" s="25"/>
      <c r="AC731" s="25"/>
      <c r="AD731" s="178"/>
    </row>
    <row r="732" spans="18:30" x14ac:dyDescent="0.25">
      <c r="R732" s="25"/>
      <c r="S732" s="25"/>
      <c r="T732" s="25"/>
      <c r="U732" s="25"/>
      <c r="V732" s="25"/>
      <c r="W732" s="25"/>
      <c r="X732" s="25"/>
      <c r="Y732" s="25"/>
      <c r="Z732" s="25"/>
      <c r="AA732" s="25"/>
      <c r="AB732" s="25"/>
      <c r="AC732" s="25"/>
      <c r="AD732" s="178"/>
    </row>
    <row r="733" spans="18:30" x14ac:dyDescent="0.25">
      <c r="R733" s="25"/>
      <c r="S733" s="25"/>
      <c r="T733" s="25"/>
      <c r="U733" s="25"/>
      <c r="V733" s="25"/>
      <c r="W733" s="25"/>
      <c r="X733" s="25"/>
      <c r="Y733" s="25"/>
      <c r="Z733" s="25"/>
      <c r="AA733" s="25"/>
      <c r="AB733" s="25"/>
      <c r="AC733" s="25"/>
      <c r="AD733" s="178"/>
    </row>
    <row r="734" spans="18:30" x14ac:dyDescent="0.25">
      <c r="R734" s="25"/>
      <c r="S734" s="25"/>
      <c r="T734" s="25"/>
      <c r="U734" s="25"/>
      <c r="V734" s="25"/>
      <c r="W734" s="25"/>
      <c r="X734" s="25"/>
      <c r="Y734" s="25"/>
      <c r="Z734" s="25"/>
      <c r="AA734" s="25"/>
      <c r="AB734" s="25"/>
      <c r="AC734" s="25"/>
      <c r="AD734" s="178"/>
    </row>
    <row r="735" spans="18:30" x14ac:dyDescent="0.25">
      <c r="R735" s="25"/>
      <c r="S735" s="25"/>
      <c r="T735" s="25"/>
      <c r="U735" s="25"/>
      <c r="V735" s="25"/>
      <c r="W735" s="25"/>
      <c r="X735" s="25"/>
      <c r="Y735" s="25"/>
      <c r="Z735" s="25"/>
      <c r="AA735" s="25"/>
      <c r="AB735" s="25"/>
      <c r="AC735" s="25"/>
      <c r="AD735" s="178"/>
    </row>
    <row r="736" spans="18:30" x14ac:dyDescent="0.25">
      <c r="R736" s="25"/>
      <c r="S736" s="25"/>
      <c r="T736" s="25"/>
      <c r="U736" s="25"/>
      <c r="V736" s="25"/>
      <c r="W736" s="25"/>
      <c r="X736" s="25"/>
      <c r="Y736" s="25"/>
      <c r="Z736" s="25"/>
      <c r="AA736" s="25"/>
      <c r="AB736" s="25"/>
      <c r="AC736" s="25"/>
      <c r="AD736" s="178"/>
    </row>
    <row r="737" spans="18:30" x14ac:dyDescent="0.25">
      <c r="R737" s="25"/>
      <c r="S737" s="25"/>
      <c r="T737" s="25"/>
      <c r="U737" s="25"/>
      <c r="V737" s="25"/>
      <c r="W737" s="25"/>
      <c r="X737" s="25"/>
      <c r="Y737" s="25"/>
      <c r="Z737" s="25"/>
      <c r="AA737" s="25"/>
      <c r="AB737" s="25"/>
      <c r="AC737" s="25"/>
      <c r="AD737" s="178"/>
    </row>
    <row r="738" spans="18:30" x14ac:dyDescent="0.25">
      <c r="R738" s="25"/>
      <c r="S738" s="25"/>
      <c r="T738" s="25"/>
      <c r="U738" s="25"/>
      <c r="V738" s="25"/>
      <c r="W738" s="25"/>
      <c r="X738" s="25"/>
      <c r="Y738" s="25"/>
      <c r="Z738" s="25"/>
      <c r="AA738" s="25"/>
      <c r="AB738" s="25"/>
      <c r="AC738" s="25"/>
      <c r="AD738" s="178"/>
    </row>
    <row r="739" spans="18:30" x14ac:dyDescent="0.25">
      <c r="R739" s="25"/>
      <c r="S739" s="25"/>
      <c r="T739" s="25"/>
      <c r="U739" s="25"/>
      <c r="V739" s="25"/>
      <c r="W739" s="25"/>
      <c r="X739" s="25"/>
      <c r="Y739" s="25"/>
      <c r="Z739" s="25"/>
      <c r="AA739" s="25"/>
      <c r="AB739" s="25"/>
      <c r="AC739" s="25"/>
      <c r="AD739" s="178"/>
    </row>
    <row r="740" spans="18:30" x14ac:dyDescent="0.25">
      <c r="R740" s="25"/>
      <c r="S740" s="25"/>
      <c r="T740" s="25"/>
      <c r="U740" s="25"/>
      <c r="V740" s="25"/>
      <c r="W740" s="25"/>
      <c r="X740" s="25"/>
      <c r="Y740" s="25"/>
      <c r="Z740" s="25"/>
      <c r="AA740" s="25"/>
      <c r="AB740" s="25"/>
      <c r="AC740" s="25"/>
      <c r="AD740" s="178"/>
    </row>
    <row r="741" spans="18:30" x14ac:dyDescent="0.25">
      <c r="R741" s="25"/>
      <c r="S741" s="25"/>
      <c r="T741" s="25"/>
      <c r="U741" s="25"/>
      <c r="V741" s="25"/>
      <c r="W741" s="25"/>
      <c r="X741" s="25"/>
      <c r="Y741" s="25"/>
      <c r="Z741" s="25"/>
      <c r="AA741" s="25"/>
      <c r="AB741" s="25"/>
      <c r="AC741" s="25"/>
      <c r="AD741" s="178"/>
    </row>
    <row r="742" spans="18:30" x14ac:dyDescent="0.25">
      <c r="R742" s="25"/>
      <c r="S742" s="25"/>
      <c r="T742" s="25"/>
      <c r="U742" s="25"/>
      <c r="V742" s="25"/>
      <c r="W742" s="25"/>
      <c r="X742" s="25"/>
      <c r="Y742" s="25"/>
      <c r="Z742" s="25"/>
      <c r="AA742" s="25"/>
      <c r="AB742" s="25"/>
      <c r="AC742" s="25"/>
      <c r="AD742" s="178"/>
    </row>
    <row r="743" spans="18:30" x14ac:dyDescent="0.25">
      <c r="R743" s="25"/>
      <c r="S743" s="25"/>
      <c r="T743" s="25"/>
      <c r="U743" s="25"/>
      <c r="V743" s="25"/>
      <c r="W743" s="25"/>
      <c r="X743" s="25"/>
      <c r="Y743" s="25"/>
      <c r="Z743" s="25"/>
      <c r="AA743" s="25"/>
      <c r="AB743" s="25"/>
      <c r="AC743" s="25"/>
      <c r="AD743" s="178"/>
    </row>
    <row r="744" spans="18:30" x14ac:dyDescent="0.25">
      <c r="R744" s="25"/>
      <c r="S744" s="25"/>
      <c r="T744" s="25"/>
      <c r="U744" s="25"/>
      <c r="V744" s="25"/>
      <c r="W744" s="25"/>
      <c r="X744" s="25"/>
      <c r="Y744" s="25"/>
      <c r="Z744" s="25"/>
      <c r="AA744" s="25"/>
      <c r="AB744" s="25"/>
      <c r="AC744" s="25"/>
      <c r="AD744" s="178"/>
    </row>
    <row r="745" spans="18:30" x14ac:dyDescent="0.25">
      <c r="R745" s="25"/>
      <c r="S745" s="25"/>
      <c r="T745" s="25"/>
      <c r="U745" s="25"/>
      <c r="V745" s="25"/>
      <c r="W745" s="25"/>
      <c r="X745" s="25"/>
      <c r="Y745" s="25"/>
      <c r="Z745" s="25"/>
      <c r="AA745" s="25"/>
      <c r="AB745" s="25"/>
      <c r="AC745" s="25"/>
      <c r="AD745" s="178"/>
    </row>
    <row r="746" spans="18:30" x14ac:dyDescent="0.25">
      <c r="R746" s="25"/>
      <c r="S746" s="25"/>
      <c r="T746" s="25"/>
      <c r="U746" s="25"/>
      <c r="V746" s="25"/>
      <c r="W746" s="25"/>
      <c r="X746" s="25"/>
      <c r="Y746" s="25"/>
      <c r="Z746" s="25"/>
      <c r="AA746" s="25"/>
      <c r="AB746" s="25"/>
      <c r="AC746" s="25"/>
      <c r="AD746" s="178"/>
    </row>
    <row r="747" spans="18:30" x14ac:dyDescent="0.25">
      <c r="R747" s="25"/>
      <c r="S747" s="25"/>
      <c r="T747" s="25"/>
      <c r="U747" s="25"/>
      <c r="V747" s="25"/>
      <c r="W747" s="25"/>
      <c r="X747" s="25"/>
      <c r="Y747" s="25"/>
      <c r="Z747" s="25"/>
      <c r="AA747" s="25"/>
      <c r="AB747" s="25"/>
      <c r="AC747" s="25"/>
      <c r="AD747" s="178"/>
    </row>
    <row r="748" spans="18:30" x14ac:dyDescent="0.25">
      <c r="R748" s="25"/>
      <c r="S748" s="25"/>
      <c r="T748" s="25"/>
      <c r="U748" s="25"/>
      <c r="V748" s="25"/>
      <c r="W748" s="25"/>
      <c r="X748" s="25"/>
      <c r="Y748" s="25"/>
      <c r="Z748" s="25"/>
      <c r="AA748" s="25"/>
      <c r="AB748" s="25"/>
      <c r="AC748" s="25"/>
      <c r="AD748" s="178"/>
    </row>
    <row r="749" spans="18:30" x14ac:dyDescent="0.25">
      <c r="R749" s="25"/>
      <c r="S749" s="25"/>
      <c r="T749" s="25"/>
      <c r="U749" s="25"/>
      <c r="V749" s="25"/>
      <c r="W749" s="25"/>
      <c r="X749" s="25"/>
      <c r="Y749" s="25"/>
      <c r="Z749" s="25"/>
      <c r="AA749" s="25"/>
      <c r="AB749" s="25"/>
      <c r="AC749" s="25"/>
      <c r="AD749" s="178"/>
    </row>
    <row r="750" spans="18:30" x14ac:dyDescent="0.25">
      <c r="R750" s="25"/>
      <c r="S750" s="25"/>
      <c r="T750" s="25"/>
      <c r="U750" s="25"/>
      <c r="V750" s="25"/>
      <c r="W750" s="25"/>
      <c r="X750" s="25"/>
      <c r="Y750" s="25"/>
      <c r="Z750" s="25"/>
      <c r="AA750" s="25"/>
      <c r="AB750" s="25"/>
      <c r="AC750" s="25"/>
      <c r="AD750" s="178"/>
    </row>
    <row r="751" spans="18:30" x14ac:dyDescent="0.25">
      <c r="R751" s="25"/>
      <c r="S751" s="25"/>
      <c r="T751" s="25"/>
      <c r="U751" s="25"/>
      <c r="V751" s="25"/>
      <c r="W751" s="25"/>
      <c r="X751" s="25"/>
      <c r="Y751" s="25"/>
      <c r="Z751" s="25"/>
      <c r="AA751" s="25"/>
      <c r="AB751" s="25"/>
      <c r="AC751" s="25"/>
      <c r="AD751" s="178"/>
    </row>
    <row r="752" spans="18:30" x14ac:dyDescent="0.25">
      <c r="R752" s="25"/>
      <c r="S752" s="25"/>
      <c r="T752" s="25"/>
      <c r="U752" s="25"/>
      <c r="V752" s="25"/>
      <c r="W752" s="25"/>
      <c r="X752" s="25"/>
      <c r="Y752" s="25"/>
      <c r="Z752" s="25"/>
      <c r="AA752" s="25"/>
      <c r="AB752" s="25"/>
      <c r="AC752" s="25"/>
      <c r="AD752" s="178"/>
    </row>
    <row r="753" spans="18:30" x14ac:dyDescent="0.25">
      <c r="R753" s="25"/>
      <c r="S753" s="25"/>
      <c r="T753" s="25"/>
      <c r="U753" s="25"/>
      <c r="V753" s="25"/>
      <c r="W753" s="25"/>
      <c r="X753" s="25"/>
      <c r="Y753" s="25"/>
      <c r="Z753" s="25"/>
      <c r="AA753" s="25"/>
      <c r="AB753" s="25"/>
      <c r="AC753" s="25"/>
      <c r="AD753" s="178"/>
    </row>
    <row r="754" spans="18:30" x14ac:dyDescent="0.25">
      <c r="R754" s="25"/>
      <c r="S754" s="25"/>
      <c r="T754" s="25"/>
      <c r="U754" s="25"/>
      <c r="V754" s="25"/>
      <c r="W754" s="25"/>
      <c r="X754" s="25"/>
      <c r="Y754" s="25"/>
      <c r="Z754" s="25"/>
      <c r="AA754" s="25"/>
      <c r="AB754" s="25"/>
      <c r="AC754" s="25"/>
      <c r="AD754" s="178"/>
    </row>
    <row r="755" spans="18:30" x14ac:dyDescent="0.25">
      <c r="R755" s="25"/>
      <c r="S755" s="25"/>
      <c r="T755" s="25"/>
      <c r="U755" s="25"/>
      <c r="V755" s="25"/>
      <c r="W755" s="25"/>
      <c r="X755" s="25"/>
      <c r="Y755" s="25"/>
      <c r="Z755" s="25"/>
      <c r="AA755" s="25"/>
      <c r="AB755" s="25"/>
      <c r="AC755" s="25"/>
      <c r="AD755" s="178"/>
    </row>
    <row r="756" spans="18:30" x14ac:dyDescent="0.25">
      <c r="R756" s="25"/>
      <c r="S756" s="25"/>
      <c r="T756" s="25"/>
      <c r="U756" s="25"/>
      <c r="V756" s="25"/>
      <c r="W756" s="25"/>
      <c r="X756" s="25"/>
      <c r="Y756" s="25"/>
      <c r="Z756" s="25"/>
      <c r="AA756" s="25"/>
      <c r="AB756" s="25"/>
      <c r="AC756" s="25"/>
      <c r="AD756" s="178"/>
    </row>
    <row r="757" spans="18:30" x14ac:dyDescent="0.25">
      <c r="R757" s="25"/>
      <c r="S757" s="25"/>
      <c r="T757" s="25"/>
      <c r="U757" s="25"/>
      <c r="V757" s="25"/>
      <c r="W757" s="25"/>
      <c r="X757" s="25"/>
      <c r="Y757" s="25"/>
      <c r="Z757" s="25"/>
      <c r="AA757" s="25"/>
      <c r="AB757" s="25"/>
      <c r="AC757" s="25"/>
      <c r="AD757" s="178"/>
    </row>
    <row r="758" spans="18:30" x14ac:dyDescent="0.25">
      <c r="R758" s="25"/>
      <c r="S758" s="25"/>
      <c r="T758" s="25"/>
      <c r="U758" s="25"/>
      <c r="V758" s="25"/>
      <c r="W758" s="25"/>
      <c r="X758" s="25"/>
      <c r="Y758" s="25"/>
      <c r="Z758" s="25"/>
      <c r="AA758" s="25"/>
      <c r="AB758" s="25"/>
      <c r="AC758" s="25"/>
      <c r="AD758" s="178"/>
    </row>
    <row r="759" spans="18:30" x14ac:dyDescent="0.25">
      <c r="R759" s="25"/>
      <c r="S759" s="25"/>
      <c r="T759" s="25"/>
      <c r="U759" s="25"/>
      <c r="V759" s="25"/>
      <c r="W759" s="25"/>
      <c r="X759" s="25"/>
      <c r="Y759" s="25"/>
      <c r="Z759" s="25"/>
      <c r="AA759" s="25"/>
      <c r="AB759" s="25"/>
      <c r="AC759" s="25"/>
      <c r="AD759" s="178"/>
    </row>
    <row r="760" spans="18:30" x14ac:dyDescent="0.25">
      <c r="R760" s="25"/>
      <c r="S760" s="25"/>
      <c r="T760" s="25"/>
      <c r="U760" s="25"/>
      <c r="V760" s="25"/>
      <c r="W760" s="25"/>
      <c r="X760" s="25"/>
      <c r="Y760" s="25"/>
      <c r="Z760" s="25"/>
      <c r="AA760" s="25"/>
      <c r="AB760" s="25"/>
      <c r="AC760" s="25"/>
      <c r="AD760" s="178"/>
    </row>
    <row r="761" spans="18:30" x14ac:dyDescent="0.25">
      <c r="R761" s="25"/>
      <c r="S761" s="25"/>
      <c r="T761" s="25"/>
      <c r="U761" s="25"/>
      <c r="V761" s="25"/>
      <c r="W761" s="25"/>
      <c r="X761" s="25"/>
      <c r="Y761" s="25"/>
      <c r="Z761" s="25"/>
      <c r="AA761" s="25"/>
      <c r="AB761" s="25"/>
      <c r="AC761" s="25"/>
      <c r="AD761" s="178"/>
    </row>
    <row r="762" spans="18:30" x14ac:dyDescent="0.25">
      <c r="R762" s="25"/>
      <c r="S762" s="25"/>
      <c r="T762" s="25"/>
      <c r="U762" s="25"/>
      <c r="V762" s="25"/>
      <c r="W762" s="25"/>
      <c r="X762" s="25"/>
      <c r="Y762" s="25"/>
      <c r="Z762" s="25"/>
      <c r="AA762" s="25"/>
      <c r="AB762" s="25"/>
      <c r="AC762" s="25"/>
      <c r="AD762" s="178"/>
    </row>
    <row r="763" spans="18:30" x14ac:dyDescent="0.25">
      <c r="R763" s="25"/>
      <c r="S763" s="25"/>
      <c r="T763" s="25"/>
      <c r="U763" s="25"/>
      <c r="V763" s="25"/>
      <c r="W763" s="25"/>
      <c r="X763" s="25"/>
      <c r="Y763" s="25"/>
      <c r="Z763" s="25"/>
      <c r="AA763" s="25"/>
      <c r="AB763" s="25"/>
      <c r="AC763" s="25"/>
      <c r="AD763" s="178"/>
    </row>
    <row r="764" spans="18:30" x14ac:dyDescent="0.25">
      <c r="R764" s="25"/>
      <c r="S764" s="25"/>
      <c r="T764" s="25"/>
      <c r="U764" s="25"/>
      <c r="V764" s="25"/>
      <c r="W764" s="25"/>
      <c r="X764" s="25"/>
      <c r="Y764" s="25"/>
      <c r="Z764" s="25"/>
      <c r="AA764" s="25"/>
      <c r="AB764" s="25"/>
      <c r="AC764" s="25"/>
      <c r="AD764" s="178"/>
    </row>
    <row r="765" spans="18:30" x14ac:dyDescent="0.25">
      <c r="R765" s="25"/>
      <c r="S765" s="25"/>
      <c r="T765" s="25"/>
      <c r="U765" s="25"/>
      <c r="V765" s="25"/>
      <c r="W765" s="25"/>
      <c r="X765" s="25"/>
      <c r="Y765" s="25"/>
      <c r="Z765" s="25"/>
      <c r="AA765" s="25"/>
      <c r="AB765" s="25"/>
      <c r="AC765" s="25"/>
      <c r="AD765" s="178"/>
    </row>
    <row r="766" spans="18:30" x14ac:dyDescent="0.25">
      <c r="R766" s="25"/>
      <c r="S766" s="25"/>
      <c r="T766" s="25"/>
      <c r="U766" s="25"/>
      <c r="V766" s="25"/>
      <c r="W766" s="25"/>
      <c r="X766" s="25"/>
      <c r="Y766" s="25"/>
      <c r="Z766" s="25"/>
      <c r="AA766" s="25"/>
      <c r="AB766" s="25"/>
      <c r="AC766" s="25"/>
      <c r="AD766" s="178"/>
    </row>
    <row r="767" spans="18:30" x14ac:dyDescent="0.25">
      <c r="R767" s="25"/>
      <c r="S767" s="25"/>
      <c r="T767" s="25"/>
      <c r="U767" s="25"/>
      <c r="V767" s="25"/>
      <c r="W767" s="25"/>
      <c r="X767" s="25"/>
      <c r="Y767" s="25"/>
      <c r="Z767" s="25"/>
      <c r="AA767" s="25"/>
      <c r="AB767" s="25"/>
      <c r="AC767" s="25"/>
      <c r="AD767" s="178"/>
    </row>
    <row r="768" spans="18:30" x14ac:dyDescent="0.25">
      <c r="R768" s="25"/>
      <c r="S768" s="25"/>
      <c r="T768" s="25"/>
      <c r="U768" s="25"/>
      <c r="V768" s="25"/>
      <c r="W768" s="25"/>
      <c r="X768" s="25"/>
      <c r="Y768" s="25"/>
      <c r="Z768" s="25"/>
      <c r="AA768" s="25"/>
      <c r="AB768" s="25"/>
      <c r="AC768" s="25"/>
      <c r="AD768" s="178"/>
    </row>
    <row r="769" spans="18:30" x14ac:dyDescent="0.25">
      <c r="R769" s="25"/>
      <c r="S769" s="25"/>
      <c r="T769" s="25"/>
      <c r="U769" s="25"/>
      <c r="V769" s="25"/>
      <c r="W769" s="25"/>
      <c r="X769" s="25"/>
      <c r="Y769" s="25"/>
      <c r="Z769" s="25"/>
      <c r="AA769" s="25"/>
      <c r="AB769" s="25"/>
      <c r="AC769" s="25"/>
      <c r="AD769" s="178"/>
    </row>
    <row r="770" spans="18:30" x14ac:dyDescent="0.25">
      <c r="R770" s="25"/>
      <c r="S770" s="25"/>
      <c r="T770" s="25"/>
      <c r="U770" s="25"/>
      <c r="V770" s="25"/>
      <c r="W770" s="25"/>
      <c r="X770" s="25"/>
      <c r="Y770" s="25"/>
      <c r="Z770" s="25"/>
      <c r="AA770" s="25"/>
      <c r="AB770" s="25"/>
      <c r="AC770" s="25"/>
      <c r="AD770" s="178"/>
    </row>
    <row r="771" spans="18:30" x14ac:dyDescent="0.25">
      <c r="R771" s="25"/>
      <c r="S771" s="25"/>
      <c r="T771" s="25"/>
      <c r="U771" s="25"/>
      <c r="V771" s="25"/>
      <c r="W771" s="25"/>
      <c r="X771" s="25"/>
      <c r="Y771" s="25"/>
      <c r="Z771" s="25"/>
      <c r="AA771" s="25"/>
      <c r="AB771" s="25"/>
      <c r="AC771" s="25"/>
      <c r="AD771" s="178"/>
    </row>
    <row r="772" spans="18:30" x14ac:dyDescent="0.25">
      <c r="R772" s="25"/>
      <c r="S772" s="25"/>
      <c r="T772" s="25"/>
      <c r="U772" s="25"/>
      <c r="V772" s="25"/>
      <c r="W772" s="25"/>
      <c r="X772" s="25"/>
      <c r="Y772" s="25"/>
      <c r="Z772" s="25"/>
      <c r="AA772" s="25"/>
      <c r="AB772" s="25"/>
      <c r="AC772" s="25"/>
      <c r="AD772" s="178"/>
    </row>
    <row r="773" spans="18:30" x14ac:dyDescent="0.25">
      <c r="R773" s="25"/>
      <c r="S773" s="25"/>
      <c r="T773" s="25"/>
      <c r="U773" s="25"/>
      <c r="V773" s="25"/>
      <c r="W773" s="25"/>
      <c r="X773" s="25"/>
      <c r="Y773" s="25"/>
      <c r="Z773" s="25"/>
      <c r="AA773" s="25"/>
      <c r="AB773" s="25"/>
      <c r="AC773" s="25"/>
      <c r="AD773" s="178"/>
    </row>
    <row r="774" spans="18:30" x14ac:dyDescent="0.25">
      <c r="R774" s="25"/>
      <c r="S774" s="25"/>
      <c r="T774" s="25"/>
      <c r="U774" s="25"/>
      <c r="V774" s="25"/>
      <c r="W774" s="25"/>
      <c r="X774" s="25"/>
      <c r="Y774" s="25"/>
      <c r="Z774" s="25"/>
      <c r="AA774" s="25"/>
      <c r="AB774" s="25"/>
      <c r="AC774" s="25"/>
      <c r="AD774" s="178"/>
    </row>
    <row r="775" spans="18:30" x14ac:dyDescent="0.25">
      <c r="R775" s="25"/>
      <c r="S775" s="25"/>
      <c r="T775" s="25"/>
      <c r="U775" s="25"/>
      <c r="V775" s="25"/>
      <c r="W775" s="25"/>
      <c r="X775" s="25"/>
      <c r="Y775" s="25"/>
      <c r="Z775" s="25"/>
      <c r="AA775" s="25"/>
      <c r="AB775" s="25"/>
      <c r="AC775" s="25"/>
      <c r="AD775" s="178"/>
    </row>
    <row r="776" spans="18:30" x14ac:dyDescent="0.25">
      <c r="R776" s="25"/>
      <c r="S776" s="25"/>
      <c r="T776" s="25"/>
      <c r="U776" s="25"/>
      <c r="V776" s="25"/>
      <c r="W776" s="25"/>
      <c r="X776" s="25"/>
      <c r="Y776" s="25"/>
      <c r="Z776" s="25"/>
      <c r="AA776" s="25"/>
      <c r="AB776" s="25"/>
      <c r="AC776" s="25"/>
      <c r="AD776" s="178"/>
    </row>
    <row r="777" spans="18:30" x14ac:dyDescent="0.25">
      <c r="R777" s="25"/>
      <c r="S777" s="25"/>
      <c r="T777" s="25"/>
      <c r="U777" s="25"/>
      <c r="V777" s="25"/>
      <c r="W777" s="25"/>
      <c r="X777" s="25"/>
      <c r="Y777" s="25"/>
      <c r="Z777" s="25"/>
      <c r="AA777" s="25"/>
      <c r="AB777" s="25"/>
      <c r="AC777" s="25"/>
      <c r="AD777" s="178"/>
    </row>
    <row r="778" spans="18:30" x14ac:dyDescent="0.25">
      <c r="R778" s="25"/>
      <c r="S778" s="25"/>
      <c r="T778" s="25"/>
      <c r="U778" s="25"/>
      <c r="V778" s="25"/>
      <c r="W778" s="25"/>
      <c r="X778" s="25"/>
      <c r="Y778" s="25"/>
      <c r="Z778" s="25"/>
      <c r="AA778" s="25"/>
      <c r="AB778" s="25"/>
      <c r="AC778" s="25"/>
      <c r="AD778" s="178"/>
    </row>
    <row r="779" spans="18:30" x14ac:dyDescent="0.25">
      <c r="R779" s="25"/>
      <c r="S779" s="25"/>
      <c r="T779" s="25"/>
      <c r="U779" s="25"/>
      <c r="V779" s="25"/>
      <c r="W779" s="25"/>
      <c r="X779" s="25"/>
      <c r="Y779" s="25"/>
      <c r="Z779" s="25"/>
      <c r="AA779" s="25"/>
      <c r="AB779" s="25"/>
      <c r="AC779" s="25"/>
      <c r="AD779" s="178"/>
    </row>
    <row r="780" spans="18:30" x14ac:dyDescent="0.25">
      <c r="R780" s="25"/>
      <c r="S780" s="25"/>
      <c r="T780" s="25"/>
      <c r="U780" s="25"/>
      <c r="V780" s="25"/>
      <c r="W780" s="25"/>
      <c r="X780" s="25"/>
      <c r="Y780" s="25"/>
      <c r="Z780" s="25"/>
      <c r="AA780" s="25"/>
      <c r="AB780" s="25"/>
      <c r="AC780" s="25"/>
      <c r="AD780" s="178"/>
    </row>
    <row r="781" spans="18:30" x14ac:dyDescent="0.25">
      <c r="R781" s="25"/>
      <c r="S781" s="25"/>
      <c r="T781" s="25"/>
      <c r="U781" s="25"/>
      <c r="V781" s="25"/>
      <c r="W781" s="25"/>
      <c r="X781" s="25"/>
      <c r="Y781" s="25"/>
      <c r="Z781" s="25"/>
      <c r="AA781" s="25"/>
      <c r="AB781" s="25"/>
      <c r="AC781" s="25"/>
      <c r="AD781" s="178"/>
    </row>
    <row r="782" spans="18:30" x14ac:dyDescent="0.25">
      <c r="R782" s="25"/>
      <c r="S782" s="25"/>
      <c r="T782" s="25"/>
      <c r="U782" s="25"/>
      <c r="V782" s="25"/>
      <c r="W782" s="25"/>
      <c r="X782" s="25"/>
      <c r="Y782" s="25"/>
      <c r="Z782" s="25"/>
      <c r="AA782" s="25"/>
      <c r="AB782" s="25"/>
      <c r="AC782" s="25"/>
      <c r="AD782" s="178"/>
    </row>
    <row r="783" spans="18:30" x14ac:dyDescent="0.25">
      <c r="R783" s="25"/>
      <c r="S783" s="25"/>
      <c r="T783" s="25"/>
      <c r="U783" s="25"/>
      <c r="V783" s="25"/>
      <c r="W783" s="25"/>
      <c r="X783" s="25"/>
      <c r="Y783" s="25"/>
      <c r="Z783" s="25"/>
      <c r="AA783" s="25"/>
      <c r="AB783" s="25"/>
      <c r="AC783" s="25"/>
      <c r="AD783" s="178"/>
    </row>
    <row r="784" spans="18:30" x14ac:dyDescent="0.25">
      <c r="R784" s="25"/>
      <c r="S784" s="25"/>
      <c r="T784" s="25"/>
      <c r="U784" s="25"/>
      <c r="V784" s="25"/>
      <c r="W784" s="25"/>
      <c r="X784" s="25"/>
      <c r="Y784" s="25"/>
      <c r="Z784" s="25"/>
      <c r="AA784" s="25"/>
      <c r="AB784" s="25"/>
      <c r="AC784" s="25"/>
      <c r="AD784" s="178"/>
    </row>
    <row r="785" spans="18:30" x14ac:dyDescent="0.25">
      <c r="R785" s="25"/>
      <c r="S785" s="25"/>
      <c r="T785" s="25"/>
      <c r="U785" s="25"/>
      <c r="V785" s="25"/>
      <c r="W785" s="25"/>
      <c r="X785" s="25"/>
      <c r="Y785" s="25"/>
      <c r="Z785" s="25"/>
      <c r="AA785" s="25"/>
      <c r="AB785" s="25"/>
      <c r="AC785" s="25"/>
      <c r="AD785" s="178"/>
    </row>
    <row r="786" spans="18:30" x14ac:dyDescent="0.25">
      <c r="R786" s="25"/>
      <c r="S786" s="25"/>
      <c r="T786" s="25"/>
      <c r="U786" s="25"/>
      <c r="V786" s="25"/>
      <c r="W786" s="25"/>
      <c r="X786" s="25"/>
      <c r="Y786" s="25"/>
      <c r="Z786" s="25"/>
      <c r="AA786" s="25"/>
      <c r="AB786" s="25"/>
      <c r="AC786" s="25"/>
      <c r="AD786" s="178"/>
    </row>
    <row r="787" spans="18:30" x14ac:dyDescent="0.25">
      <c r="R787" s="25"/>
      <c r="S787" s="25"/>
      <c r="T787" s="25"/>
      <c r="U787" s="25"/>
      <c r="V787" s="25"/>
      <c r="W787" s="25"/>
      <c r="X787" s="25"/>
      <c r="Y787" s="25"/>
      <c r="Z787" s="25"/>
      <c r="AA787" s="25"/>
      <c r="AB787" s="25"/>
      <c r="AC787" s="25"/>
      <c r="AD787" s="178"/>
    </row>
    <row r="788" spans="18:30" x14ac:dyDescent="0.25">
      <c r="R788" s="25"/>
      <c r="S788" s="25"/>
      <c r="T788" s="25"/>
      <c r="U788" s="25"/>
      <c r="V788" s="25"/>
      <c r="W788" s="25"/>
      <c r="X788" s="25"/>
      <c r="Y788" s="25"/>
      <c r="Z788" s="25"/>
      <c r="AA788" s="25"/>
      <c r="AB788" s="25"/>
      <c r="AC788" s="25"/>
      <c r="AD788" s="178"/>
    </row>
    <row r="789" spans="18:30" x14ac:dyDescent="0.25">
      <c r="R789" s="25"/>
      <c r="S789" s="25"/>
      <c r="T789" s="25"/>
      <c r="U789" s="25"/>
      <c r="V789" s="25"/>
      <c r="W789" s="25"/>
      <c r="X789" s="25"/>
      <c r="Y789" s="25"/>
      <c r="Z789" s="25"/>
      <c r="AA789" s="25"/>
      <c r="AB789" s="25"/>
      <c r="AC789" s="25"/>
      <c r="AD789" s="178"/>
    </row>
    <row r="790" spans="18:30" x14ac:dyDescent="0.25">
      <c r="R790" s="25"/>
      <c r="S790" s="25"/>
      <c r="T790" s="25"/>
      <c r="U790" s="25"/>
      <c r="V790" s="25"/>
      <c r="W790" s="25"/>
      <c r="X790" s="25"/>
      <c r="Y790" s="25"/>
      <c r="Z790" s="25"/>
      <c r="AA790" s="25"/>
      <c r="AB790" s="25"/>
      <c r="AC790" s="25"/>
      <c r="AD790" s="178"/>
    </row>
    <row r="791" spans="18:30" x14ac:dyDescent="0.25">
      <c r="R791" s="25"/>
      <c r="S791" s="25"/>
      <c r="T791" s="25"/>
      <c r="U791" s="25"/>
      <c r="V791" s="25"/>
      <c r="W791" s="25"/>
      <c r="X791" s="25"/>
      <c r="Y791" s="25"/>
      <c r="Z791" s="25"/>
      <c r="AA791" s="25"/>
      <c r="AB791" s="25"/>
      <c r="AC791" s="25"/>
      <c r="AD791" s="178"/>
    </row>
    <row r="792" spans="18:30" x14ac:dyDescent="0.25">
      <c r="R792" s="25"/>
      <c r="S792" s="25"/>
      <c r="T792" s="25"/>
      <c r="U792" s="25"/>
      <c r="V792" s="25"/>
      <c r="W792" s="25"/>
      <c r="X792" s="25"/>
      <c r="Y792" s="25"/>
      <c r="Z792" s="25"/>
      <c r="AA792" s="25"/>
      <c r="AB792" s="25"/>
      <c r="AC792" s="25"/>
      <c r="AD792" s="178"/>
    </row>
    <row r="793" spans="18:30" x14ac:dyDescent="0.25">
      <c r="R793" s="25"/>
      <c r="S793" s="25"/>
      <c r="T793" s="25"/>
      <c r="U793" s="25"/>
      <c r="V793" s="25"/>
      <c r="W793" s="25"/>
      <c r="X793" s="25"/>
      <c r="Y793" s="25"/>
      <c r="Z793" s="25"/>
      <c r="AA793" s="25"/>
      <c r="AB793" s="25"/>
      <c r="AC793" s="25"/>
      <c r="AD793" s="178"/>
    </row>
    <row r="794" spans="18:30" x14ac:dyDescent="0.25">
      <c r="R794" s="25"/>
      <c r="S794" s="25"/>
      <c r="T794" s="25"/>
      <c r="U794" s="25"/>
      <c r="V794" s="25"/>
      <c r="W794" s="25"/>
      <c r="X794" s="25"/>
      <c r="Y794" s="25"/>
      <c r="Z794" s="25"/>
      <c r="AA794" s="25"/>
      <c r="AB794" s="25"/>
      <c r="AC794" s="25"/>
      <c r="AD794" s="178"/>
    </row>
    <row r="795" spans="18:30" x14ac:dyDescent="0.25">
      <c r="R795" s="25"/>
      <c r="S795" s="25"/>
      <c r="T795" s="25"/>
      <c r="U795" s="25"/>
      <c r="V795" s="25"/>
      <c r="W795" s="25"/>
      <c r="X795" s="25"/>
      <c r="Y795" s="25"/>
      <c r="Z795" s="25"/>
      <c r="AA795" s="25"/>
      <c r="AB795" s="25"/>
      <c r="AC795" s="25"/>
      <c r="AD795" s="178"/>
    </row>
    <row r="796" spans="18:30" x14ac:dyDescent="0.25">
      <c r="R796" s="25"/>
      <c r="S796" s="25"/>
      <c r="T796" s="25"/>
      <c r="U796" s="25"/>
      <c r="V796" s="25"/>
      <c r="W796" s="25"/>
      <c r="X796" s="25"/>
      <c r="Y796" s="25"/>
      <c r="Z796" s="25"/>
      <c r="AA796" s="25"/>
      <c r="AB796" s="25"/>
      <c r="AC796" s="25"/>
      <c r="AD796" s="178"/>
    </row>
    <row r="797" spans="18:30" x14ac:dyDescent="0.25">
      <c r="R797" s="25"/>
      <c r="S797" s="25"/>
      <c r="T797" s="25"/>
      <c r="U797" s="25"/>
      <c r="V797" s="25"/>
      <c r="W797" s="25"/>
      <c r="X797" s="25"/>
      <c r="Y797" s="25"/>
      <c r="Z797" s="25"/>
      <c r="AA797" s="25"/>
      <c r="AB797" s="25"/>
      <c r="AC797" s="25"/>
      <c r="AD797" s="178"/>
    </row>
    <row r="798" spans="18:30" x14ac:dyDescent="0.25">
      <c r="R798" s="25"/>
      <c r="S798" s="25"/>
      <c r="T798" s="25"/>
      <c r="U798" s="25"/>
      <c r="V798" s="25"/>
      <c r="W798" s="25"/>
      <c r="X798" s="25"/>
      <c r="Y798" s="25"/>
      <c r="Z798" s="25"/>
      <c r="AA798" s="25"/>
      <c r="AB798" s="25"/>
      <c r="AC798" s="25"/>
      <c r="AD798" s="178"/>
    </row>
    <row r="799" spans="18:30" x14ac:dyDescent="0.25">
      <c r="R799" s="25"/>
      <c r="S799" s="25"/>
      <c r="T799" s="25"/>
      <c r="U799" s="25"/>
      <c r="V799" s="25"/>
      <c r="W799" s="25"/>
      <c r="X799" s="25"/>
      <c r="Y799" s="25"/>
      <c r="Z799" s="25"/>
      <c r="AA799" s="25"/>
      <c r="AB799" s="25"/>
      <c r="AC799" s="25"/>
      <c r="AD799" s="178"/>
    </row>
    <row r="800" spans="18:30" x14ac:dyDescent="0.25">
      <c r="R800" s="25"/>
      <c r="S800" s="25"/>
      <c r="T800" s="25"/>
      <c r="U800" s="25"/>
      <c r="V800" s="25"/>
      <c r="W800" s="25"/>
      <c r="X800" s="25"/>
      <c r="Y800" s="25"/>
      <c r="Z800" s="25"/>
      <c r="AA800" s="25"/>
      <c r="AB800" s="25"/>
      <c r="AC800" s="25"/>
      <c r="AD800" s="178"/>
    </row>
    <row r="801" spans="18:30" x14ac:dyDescent="0.25">
      <c r="R801" s="25"/>
      <c r="S801" s="25"/>
      <c r="T801" s="25"/>
      <c r="U801" s="25"/>
      <c r="V801" s="25"/>
      <c r="W801" s="25"/>
      <c r="X801" s="25"/>
      <c r="Y801" s="25"/>
      <c r="Z801" s="25"/>
      <c r="AA801" s="25"/>
      <c r="AB801" s="25"/>
      <c r="AC801" s="25"/>
      <c r="AD801" s="178"/>
    </row>
    <row r="802" spans="18:30" x14ac:dyDescent="0.25">
      <c r="R802" s="25"/>
      <c r="S802" s="25"/>
      <c r="T802" s="25"/>
      <c r="U802" s="25"/>
      <c r="V802" s="25"/>
      <c r="W802" s="25"/>
      <c r="X802" s="25"/>
      <c r="Y802" s="25"/>
      <c r="Z802" s="25"/>
      <c r="AA802" s="25"/>
      <c r="AB802" s="25"/>
      <c r="AC802" s="25"/>
      <c r="AD802" s="178"/>
    </row>
    <row r="803" spans="18:30" x14ac:dyDescent="0.25">
      <c r="R803" s="25"/>
      <c r="S803" s="25"/>
      <c r="T803" s="25"/>
      <c r="U803" s="25"/>
      <c r="V803" s="25"/>
      <c r="W803" s="25"/>
      <c r="X803" s="25"/>
      <c r="Y803" s="25"/>
      <c r="Z803" s="25"/>
      <c r="AA803" s="25"/>
      <c r="AB803" s="25"/>
      <c r="AC803" s="25"/>
      <c r="AD803" s="178"/>
    </row>
    <row r="804" spans="18:30" x14ac:dyDescent="0.25">
      <c r="R804" s="25"/>
      <c r="S804" s="25"/>
      <c r="T804" s="25"/>
      <c r="U804" s="25"/>
      <c r="V804" s="25"/>
      <c r="W804" s="25"/>
      <c r="X804" s="25"/>
      <c r="Y804" s="25"/>
      <c r="Z804" s="25"/>
      <c r="AA804" s="25"/>
      <c r="AB804" s="25"/>
      <c r="AC804" s="25"/>
      <c r="AD804" s="178"/>
    </row>
    <row r="805" spans="18:30" x14ac:dyDescent="0.25">
      <c r="R805" s="25"/>
      <c r="S805" s="25"/>
      <c r="T805" s="25"/>
      <c r="U805" s="25"/>
      <c r="V805" s="25"/>
      <c r="W805" s="25"/>
      <c r="X805" s="25"/>
      <c r="Y805" s="25"/>
      <c r="Z805" s="25"/>
      <c r="AA805" s="25"/>
      <c r="AB805" s="25"/>
      <c r="AC805" s="25"/>
      <c r="AD805" s="178"/>
    </row>
    <row r="806" spans="18:30" x14ac:dyDescent="0.25">
      <c r="R806" s="25"/>
      <c r="S806" s="25"/>
      <c r="T806" s="25"/>
      <c r="U806" s="25"/>
      <c r="V806" s="25"/>
      <c r="W806" s="25"/>
      <c r="X806" s="25"/>
      <c r="Y806" s="25"/>
      <c r="Z806" s="25"/>
      <c r="AA806" s="25"/>
      <c r="AB806" s="25"/>
      <c r="AC806" s="25"/>
      <c r="AD806" s="178"/>
    </row>
    <row r="807" spans="18:30" x14ac:dyDescent="0.25">
      <c r="R807" s="25"/>
      <c r="S807" s="25"/>
      <c r="T807" s="25"/>
      <c r="U807" s="25"/>
      <c r="V807" s="25"/>
      <c r="W807" s="25"/>
      <c r="X807" s="25"/>
      <c r="Y807" s="25"/>
      <c r="Z807" s="25"/>
      <c r="AA807" s="25"/>
      <c r="AB807" s="25"/>
      <c r="AC807" s="25"/>
      <c r="AD807" s="178"/>
    </row>
    <row r="808" spans="18:30" x14ac:dyDescent="0.25">
      <c r="R808" s="25"/>
      <c r="S808" s="25"/>
      <c r="T808" s="25"/>
      <c r="U808" s="25"/>
      <c r="V808" s="25"/>
      <c r="W808" s="25"/>
      <c r="X808" s="25"/>
      <c r="Y808" s="25"/>
      <c r="Z808" s="25"/>
      <c r="AA808" s="25"/>
      <c r="AB808" s="25"/>
      <c r="AC808" s="25"/>
      <c r="AD808" s="178"/>
    </row>
    <row r="809" spans="18:30" x14ac:dyDescent="0.25">
      <c r="R809" s="25"/>
      <c r="S809" s="25"/>
      <c r="T809" s="25"/>
      <c r="U809" s="25"/>
      <c r="V809" s="25"/>
      <c r="W809" s="25"/>
      <c r="X809" s="25"/>
      <c r="Y809" s="25"/>
      <c r="Z809" s="25"/>
      <c r="AA809" s="25"/>
      <c r="AB809" s="25"/>
      <c r="AC809" s="25"/>
      <c r="AD809" s="178"/>
    </row>
    <row r="810" spans="18:30" x14ac:dyDescent="0.25">
      <c r="R810" s="25"/>
      <c r="S810" s="25"/>
      <c r="T810" s="25"/>
      <c r="U810" s="25"/>
      <c r="V810" s="25"/>
      <c r="W810" s="25"/>
      <c r="X810" s="25"/>
      <c r="Y810" s="25"/>
      <c r="Z810" s="25"/>
      <c r="AA810" s="25"/>
      <c r="AB810" s="25"/>
      <c r="AC810" s="25"/>
      <c r="AD810" s="178"/>
    </row>
    <row r="811" spans="18:30" x14ac:dyDescent="0.25">
      <c r="R811" s="25"/>
      <c r="S811" s="25"/>
      <c r="T811" s="25"/>
      <c r="U811" s="25"/>
      <c r="V811" s="25"/>
      <c r="W811" s="25"/>
      <c r="X811" s="25"/>
      <c r="Y811" s="25"/>
      <c r="Z811" s="25"/>
      <c r="AA811" s="25"/>
      <c r="AB811" s="25"/>
      <c r="AC811" s="25"/>
      <c r="AD811" s="178"/>
    </row>
    <row r="812" spans="18:30" x14ac:dyDescent="0.25">
      <c r="R812" s="25"/>
      <c r="S812" s="25"/>
      <c r="T812" s="25"/>
      <c r="U812" s="25"/>
      <c r="V812" s="25"/>
      <c r="W812" s="25"/>
      <c r="X812" s="25"/>
      <c r="Y812" s="25"/>
      <c r="Z812" s="25"/>
      <c r="AA812" s="25"/>
      <c r="AB812" s="25"/>
      <c r="AC812" s="25"/>
      <c r="AD812" s="178"/>
    </row>
    <row r="813" spans="18:30" x14ac:dyDescent="0.25">
      <c r="R813" s="25"/>
      <c r="S813" s="25"/>
      <c r="T813" s="25"/>
      <c r="U813" s="25"/>
      <c r="V813" s="25"/>
      <c r="W813" s="25"/>
      <c r="X813" s="25"/>
      <c r="Y813" s="25"/>
      <c r="Z813" s="25"/>
      <c r="AA813" s="25"/>
      <c r="AB813" s="25"/>
      <c r="AC813" s="25"/>
      <c r="AD813" s="178"/>
    </row>
    <row r="814" spans="18:30" x14ac:dyDescent="0.25">
      <c r="R814" s="25"/>
      <c r="S814" s="25"/>
      <c r="T814" s="25"/>
      <c r="U814" s="25"/>
      <c r="V814" s="25"/>
      <c r="W814" s="25"/>
      <c r="X814" s="25"/>
      <c r="Y814" s="25"/>
      <c r="Z814" s="25"/>
      <c r="AA814" s="25"/>
      <c r="AB814" s="25"/>
      <c r="AC814" s="25"/>
      <c r="AD814" s="178"/>
    </row>
    <row r="815" spans="18:30" x14ac:dyDescent="0.25">
      <c r="R815" s="25"/>
      <c r="S815" s="25"/>
      <c r="T815" s="25"/>
      <c r="U815" s="25"/>
      <c r="V815" s="25"/>
      <c r="W815" s="25"/>
      <c r="X815" s="25"/>
      <c r="Y815" s="25"/>
      <c r="Z815" s="25"/>
      <c r="AA815" s="25"/>
      <c r="AB815" s="25"/>
      <c r="AC815" s="25"/>
      <c r="AD815" s="178"/>
    </row>
    <row r="816" spans="18:30" x14ac:dyDescent="0.25">
      <c r="R816" s="25"/>
      <c r="S816" s="25"/>
      <c r="T816" s="25"/>
      <c r="U816" s="25"/>
      <c r="V816" s="25"/>
      <c r="W816" s="25"/>
      <c r="X816" s="25"/>
      <c r="Y816" s="25"/>
      <c r="Z816" s="25"/>
      <c r="AA816" s="25"/>
      <c r="AB816" s="25"/>
      <c r="AC816" s="25"/>
      <c r="AD816" s="178"/>
    </row>
    <row r="817" spans="18:30" x14ac:dyDescent="0.25">
      <c r="R817" s="25"/>
      <c r="S817" s="25"/>
      <c r="T817" s="25"/>
      <c r="U817" s="25"/>
      <c r="V817" s="25"/>
      <c r="W817" s="25"/>
      <c r="X817" s="25"/>
      <c r="Y817" s="25"/>
      <c r="Z817" s="25"/>
      <c r="AA817" s="25"/>
      <c r="AB817" s="25"/>
      <c r="AC817" s="25"/>
      <c r="AD817" s="178"/>
    </row>
    <row r="818" spans="18:30" x14ac:dyDescent="0.25">
      <c r="R818" s="25"/>
      <c r="S818" s="25"/>
      <c r="T818" s="25"/>
      <c r="U818" s="25"/>
      <c r="V818" s="25"/>
      <c r="W818" s="25"/>
      <c r="X818" s="25"/>
      <c r="Y818" s="25"/>
      <c r="Z818" s="25"/>
      <c r="AA818" s="25"/>
      <c r="AB818" s="25"/>
      <c r="AC818" s="25"/>
      <c r="AD818" s="178"/>
    </row>
    <row r="819" spans="18:30" x14ac:dyDescent="0.25">
      <c r="R819" s="25"/>
      <c r="S819" s="25"/>
      <c r="T819" s="25"/>
      <c r="U819" s="25"/>
      <c r="V819" s="25"/>
      <c r="W819" s="25"/>
      <c r="X819" s="25"/>
      <c r="Y819" s="25"/>
      <c r="Z819" s="25"/>
      <c r="AA819" s="25"/>
      <c r="AB819" s="25"/>
      <c r="AC819" s="25"/>
      <c r="AD819" s="178"/>
    </row>
    <row r="820" spans="18:30" x14ac:dyDescent="0.25">
      <c r="R820" s="25"/>
      <c r="S820" s="25"/>
      <c r="T820" s="25"/>
      <c r="U820" s="25"/>
      <c r="V820" s="25"/>
      <c r="W820" s="25"/>
      <c r="X820" s="25"/>
      <c r="Y820" s="25"/>
      <c r="Z820" s="25"/>
      <c r="AA820" s="25"/>
      <c r="AB820" s="25"/>
      <c r="AC820" s="25"/>
      <c r="AD820" s="178"/>
    </row>
    <row r="821" spans="18:30" x14ac:dyDescent="0.25">
      <c r="R821" s="25"/>
      <c r="S821" s="25"/>
      <c r="T821" s="25"/>
      <c r="U821" s="25"/>
      <c r="V821" s="25"/>
      <c r="W821" s="25"/>
      <c r="X821" s="25"/>
      <c r="Y821" s="25"/>
      <c r="Z821" s="25"/>
      <c r="AA821" s="25"/>
      <c r="AB821" s="25"/>
      <c r="AC821" s="25"/>
      <c r="AD821" s="178"/>
    </row>
    <row r="822" spans="18:30" x14ac:dyDescent="0.25">
      <c r="R822" s="25"/>
      <c r="S822" s="25"/>
      <c r="T822" s="25"/>
      <c r="U822" s="25"/>
      <c r="V822" s="25"/>
      <c r="W822" s="25"/>
      <c r="X822" s="25"/>
      <c r="Y822" s="25"/>
      <c r="Z822" s="25"/>
      <c r="AA822" s="25"/>
      <c r="AB822" s="25"/>
      <c r="AC822" s="25"/>
      <c r="AD822" s="178"/>
    </row>
    <row r="823" spans="18:30" x14ac:dyDescent="0.25">
      <c r="R823" s="25"/>
      <c r="S823" s="25"/>
      <c r="T823" s="25"/>
      <c r="U823" s="25"/>
      <c r="V823" s="25"/>
      <c r="W823" s="25"/>
      <c r="X823" s="25"/>
      <c r="Y823" s="25"/>
      <c r="Z823" s="25"/>
      <c r="AA823" s="25"/>
      <c r="AB823" s="25"/>
      <c r="AC823" s="25"/>
      <c r="AD823" s="178"/>
    </row>
    <row r="824" spans="18:30" x14ac:dyDescent="0.25">
      <c r="R824" s="25"/>
      <c r="S824" s="25"/>
      <c r="T824" s="25"/>
      <c r="U824" s="25"/>
      <c r="V824" s="25"/>
      <c r="W824" s="25"/>
      <c r="X824" s="25"/>
      <c r="Y824" s="25"/>
      <c r="Z824" s="25"/>
      <c r="AA824" s="25"/>
      <c r="AB824" s="25"/>
      <c r="AC824" s="25"/>
      <c r="AD824" s="178"/>
    </row>
    <row r="825" spans="18:30" x14ac:dyDescent="0.25">
      <c r="R825" s="25"/>
      <c r="S825" s="25"/>
      <c r="T825" s="25"/>
      <c r="U825" s="25"/>
      <c r="V825" s="25"/>
      <c r="W825" s="25"/>
      <c r="X825" s="25"/>
      <c r="Y825" s="25"/>
      <c r="Z825" s="25"/>
      <c r="AA825" s="25"/>
      <c r="AB825" s="25"/>
      <c r="AC825" s="25"/>
      <c r="AD825" s="178"/>
    </row>
    <row r="826" spans="18:30" x14ac:dyDescent="0.25">
      <c r="R826" s="25"/>
      <c r="S826" s="25"/>
      <c r="T826" s="25"/>
      <c r="U826" s="25"/>
      <c r="V826" s="25"/>
      <c r="W826" s="25"/>
      <c r="X826" s="25"/>
      <c r="Y826" s="25"/>
      <c r="Z826" s="25"/>
      <c r="AA826" s="25"/>
      <c r="AB826" s="25"/>
      <c r="AC826" s="25"/>
      <c r="AD826" s="178"/>
    </row>
    <row r="827" spans="18:30" x14ac:dyDescent="0.25">
      <c r="R827" s="25"/>
      <c r="S827" s="25"/>
      <c r="T827" s="25"/>
      <c r="U827" s="25"/>
      <c r="V827" s="25"/>
      <c r="W827" s="25"/>
      <c r="X827" s="25"/>
      <c r="Y827" s="25"/>
      <c r="Z827" s="25"/>
      <c r="AA827" s="25"/>
      <c r="AB827" s="25"/>
      <c r="AC827" s="25"/>
      <c r="AD827" s="178"/>
    </row>
    <row r="828" spans="18:30" x14ac:dyDescent="0.25">
      <c r="R828" s="25"/>
      <c r="S828" s="25"/>
      <c r="T828" s="25"/>
      <c r="U828" s="25"/>
      <c r="V828" s="25"/>
      <c r="W828" s="25"/>
      <c r="X828" s="25"/>
      <c r="Y828" s="25"/>
      <c r="Z828" s="25"/>
      <c r="AA828" s="25"/>
      <c r="AB828" s="25"/>
      <c r="AC828" s="25"/>
      <c r="AD828" s="178"/>
    </row>
    <row r="829" spans="18:30" x14ac:dyDescent="0.25">
      <c r="R829" s="25"/>
      <c r="S829" s="25"/>
      <c r="T829" s="25"/>
      <c r="U829" s="25"/>
      <c r="V829" s="25"/>
      <c r="W829" s="25"/>
      <c r="X829" s="25"/>
      <c r="Y829" s="25"/>
      <c r="Z829" s="25"/>
      <c r="AA829" s="25"/>
      <c r="AB829" s="25"/>
      <c r="AC829" s="25"/>
      <c r="AD829" s="178"/>
    </row>
    <row r="830" spans="18:30" x14ac:dyDescent="0.25">
      <c r="R830" s="25"/>
      <c r="S830" s="25"/>
      <c r="T830" s="25"/>
      <c r="U830" s="25"/>
      <c r="V830" s="25"/>
      <c r="W830" s="25"/>
      <c r="X830" s="25"/>
      <c r="Y830" s="25"/>
      <c r="Z830" s="25"/>
      <c r="AA830" s="25"/>
      <c r="AB830" s="25"/>
      <c r="AC830" s="25"/>
      <c r="AD830" s="178"/>
    </row>
    <row r="831" spans="18:30" x14ac:dyDescent="0.25">
      <c r="R831" s="25"/>
      <c r="S831" s="25"/>
      <c r="T831" s="25"/>
      <c r="U831" s="25"/>
      <c r="V831" s="25"/>
      <c r="W831" s="25"/>
      <c r="X831" s="25"/>
      <c r="Y831" s="25"/>
      <c r="Z831" s="25"/>
      <c r="AA831" s="25"/>
      <c r="AB831" s="25"/>
      <c r="AC831" s="25"/>
      <c r="AD831" s="178"/>
    </row>
    <row r="832" spans="18:30" x14ac:dyDescent="0.25">
      <c r="R832" s="25"/>
      <c r="S832" s="25"/>
      <c r="T832" s="25"/>
      <c r="U832" s="25"/>
      <c r="V832" s="25"/>
      <c r="W832" s="25"/>
      <c r="X832" s="25"/>
      <c r="Y832" s="25"/>
      <c r="Z832" s="25"/>
      <c r="AA832" s="25"/>
      <c r="AB832" s="25"/>
      <c r="AC832" s="25"/>
      <c r="AD832" s="178"/>
    </row>
    <row r="833" spans="18:30" x14ac:dyDescent="0.25">
      <c r="R833" s="25"/>
      <c r="S833" s="25"/>
      <c r="T833" s="25"/>
      <c r="U833" s="25"/>
      <c r="V833" s="25"/>
      <c r="W833" s="25"/>
      <c r="X833" s="25"/>
      <c r="Y833" s="25"/>
      <c r="Z833" s="25"/>
      <c r="AA833" s="25"/>
      <c r="AB833" s="25"/>
      <c r="AC833" s="25"/>
      <c r="AD833" s="178"/>
    </row>
    <row r="834" spans="18:30" x14ac:dyDescent="0.25">
      <c r="R834" s="25"/>
      <c r="S834" s="25"/>
      <c r="T834" s="25"/>
      <c r="U834" s="25"/>
      <c r="V834" s="25"/>
      <c r="W834" s="25"/>
      <c r="X834" s="25"/>
      <c r="Y834" s="25"/>
      <c r="Z834" s="25"/>
      <c r="AA834" s="25"/>
      <c r="AB834" s="25"/>
      <c r="AC834" s="25"/>
      <c r="AD834" s="178"/>
    </row>
    <row r="835" spans="18:30" x14ac:dyDescent="0.25">
      <c r="R835" s="25"/>
      <c r="S835" s="25"/>
      <c r="T835" s="25"/>
      <c r="U835" s="25"/>
      <c r="V835" s="25"/>
      <c r="W835" s="25"/>
      <c r="X835" s="25"/>
      <c r="Y835" s="25"/>
      <c r="Z835" s="25"/>
      <c r="AA835" s="25"/>
      <c r="AB835" s="25"/>
      <c r="AC835" s="25"/>
      <c r="AD835" s="178"/>
    </row>
    <row r="836" spans="18:30" x14ac:dyDescent="0.25">
      <c r="R836" s="25"/>
      <c r="S836" s="25"/>
      <c r="T836" s="25"/>
      <c r="U836" s="25"/>
      <c r="V836" s="25"/>
      <c r="W836" s="25"/>
      <c r="X836" s="25"/>
      <c r="Y836" s="25"/>
      <c r="Z836" s="25"/>
      <c r="AA836" s="25"/>
      <c r="AB836" s="25"/>
      <c r="AC836" s="25"/>
      <c r="AD836" s="178"/>
    </row>
    <row r="837" spans="18:30" x14ac:dyDescent="0.25">
      <c r="R837" s="25"/>
      <c r="S837" s="25"/>
      <c r="T837" s="25"/>
      <c r="U837" s="25"/>
      <c r="V837" s="25"/>
      <c r="W837" s="25"/>
      <c r="X837" s="25"/>
      <c r="Y837" s="25"/>
      <c r="Z837" s="25"/>
      <c r="AA837" s="25"/>
      <c r="AB837" s="25"/>
      <c r="AC837" s="25"/>
      <c r="AD837" s="178"/>
    </row>
    <row r="838" spans="18:30" x14ac:dyDescent="0.25">
      <c r="R838" s="25"/>
      <c r="S838" s="25"/>
      <c r="T838" s="25"/>
      <c r="U838" s="25"/>
      <c r="V838" s="25"/>
      <c r="W838" s="25"/>
      <c r="X838" s="25"/>
      <c r="Y838" s="25"/>
      <c r="Z838" s="25"/>
      <c r="AA838" s="25"/>
      <c r="AB838" s="25"/>
      <c r="AC838" s="25"/>
      <c r="AD838" s="178"/>
    </row>
    <row r="839" spans="18:30" x14ac:dyDescent="0.25">
      <c r="R839" s="25"/>
      <c r="S839" s="25"/>
      <c r="T839" s="25"/>
      <c r="U839" s="25"/>
      <c r="V839" s="25"/>
      <c r="W839" s="25"/>
      <c r="X839" s="25"/>
      <c r="Y839" s="25"/>
      <c r="Z839" s="25"/>
      <c r="AA839" s="25"/>
      <c r="AB839" s="25"/>
      <c r="AC839" s="25"/>
      <c r="AD839" s="178"/>
    </row>
    <row r="840" spans="18:30" x14ac:dyDescent="0.25">
      <c r="R840" s="25"/>
      <c r="S840" s="25"/>
      <c r="T840" s="25"/>
      <c r="U840" s="25"/>
      <c r="V840" s="25"/>
      <c r="W840" s="25"/>
      <c r="X840" s="25"/>
      <c r="Y840" s="25"/>
      <c r="Z840" s="25"/>
      <c r="AA840" s="25"/>
      <c r="AB840" s="25"/>
      <c r="AC840" s="25"/>
      <c r="AD840" s="178"/>
    </row>
    <row r="841" spans="18:30" x14ac:dyDescent="0.25">
      <c r="R841" s="25"/>
      <c r="S841" s="25"/>
      <c r="T841" s="25"/>
      <c r="U841" s="25"/>
      <c r="V841" s="25"/>
      <c r="W841" s="25"/>
      <c r="X841" s="25"/>
      <c r="Y841" s="25"/>
      <c r="Z841" s="25"/>
      <c r="AA841" s="25"/>
      <c r="AB841" s="25"/>
      <c r="AC841" s="25"/>
      <c r="AD841" s="178"/>
    </row>
    <row r="842" spans="18:30" x14ac:dyDescent="0.25">
      <c r="R842" s="25"/>
      <c r="S842" s="25"/>
      <c r="T842" s="25"/>
      <c r="U842" s="25"/>
      <c r="V842" s="25"/>
      <c r="W842" s="25"/>
      <c r="X842" s="25"/>
      <c r="Y842" s="25"/>
      <c r="Z842" s="25"/>
      <c r="AA842" s="25"/>
      <c r="AB842" s="25"/>
      <c r="AC842" s="25"/>
      <c r="AD842" s="178"/>
    </row>
    <row r="843" spans="18:30" x14ac:dyDescent="0.25">
      <c r="R843" s="25"/>
      <c r="S843" s="25"/>
      <c r="T843" s="25"/>
      <c r="U843" s="25"/>
      <c r="V843" s="25"/>
      <c r="W843" s="25"/>
      <c r="X843" s="25"/>
      <c r="Y843" s="25"/>
      <c r="Z843" s="25"/>
      <c r="AA843" s="25"/>
      <c r="AB843" s="25"/>
      <c r="AC843" s="25"/>
      <c r="AD843" s="178"/>
    </row>
    <row r="844" spans="18:30" x14ac:dyDescent="0.25">
      <c r="R844" s="25"/>
      <c r="S844" s="25"/>
      <c r="T844" s="25"/>
      <c r="U844" s="25"/>
      <c r="V844" s="25"/>
      <c r="W844" s="25"/>
      <c r="X844" s="25"/>
      <c r="Y844" s="25"/>
      <c r="Z844" s="25"/>
      <c r="AA844" s="25"/>
      <c r="AB844" s="25"/>
      <c r="AC844" s="25"/>
      <c r="AD844" s="178"/>
    </row>
    <row r="845" spans="18:30" x14ac:dyDescent="0.25">
      <c r="R845" s="25"/>
      <c r="S845" s="25"/>
      <c r="T845" s="25"/>
      <c r="U845" s="25"/>
      <c r="V845" s="25"/>
      <c r="W845" s="25"/>
      <c r="X845" s="25"/>
      <c r="Y845" s="25"/>
      <c r="Z845" s="25"/>
      <c r="AA845" s="25"/>
      <c r="AB845" s="25"/>
      <c r="AC845" s="25"/>
      <c r="AD845" s="178"/>
    </row>
    <row r="846" spans="18:30" x14ac:dyDescent="0.25">
      <c r="R846" s="25"/>
      <c r="S846" s="25"/>
      <c r="T846" s="25"/>
      <c r="U846" s="25"/>
      <c r="V846" s="25"/>
      <c r="W846" s="25"/>
      <c r="X846" s="25"/>
      <c r="Y846" s="25"/>
      <c r="Z846" s="25"/>
      <c r="AA846" s="25"/>
      <c r="AB846" s="25"/>
      <c r="AC846" s="25"/>
      <c r="AD846" s="178"/>
    </row>
    <row r="847" spans="18:30" x14ac:dyDescent="0.25">
      <c r="R847" s="25"/>
      <c r="S847" s="25"/>
      <c r="T847" s="25"/>
      <c r="U847" s="25"/>
      <c r="V847" s="25"/>
      <c r="W847" s="25"/>
      <c r="X847" s="25"/>
      <c r="Y847" s="25"/>
      <c r="Z847" s="25"/>
      <c r="AA847" s="25"/>
      <c r="AB847" s="25"/>
      <c r="AC847" s="25"/>
      <c r="AD847" s="178"/>
    </row>
    <row r="848" spans="18:30" x14ac:dyDescent="0.25">
      <c r="R848" s="25"/>
      <c r="S848" s="25"/>
      <c r="T848" s="25"/>
      <c r="U848" s="25"/>
      <c r="V848" s="25"/>
      <c r="W848" s="25"/>
      <c r="X848" s="25"/>
      <c r="Y848" s="25"/>
      <c r="Z848" s="25"/>
      <c r="AA848" s="25"/>
      <c r="AB848" s="25"/>
      <c r="AC848" s="25"/>
      <c r="AD848" s="178"/>
    </row>
    <row r="849" spans="18:30" x14ac:dyDescent="0.25">
      <c r="R849" s="25"/>
      <c r="S849" s="25"/>
      <c r="T849" s="25"/>
      <c r="U849" s="25"/>
      <c r="V849" s="25"/>
      <c r="W849" s="25"/>
      <c r="X849" s="25"/>
      <c r="Y849" s="25"/>
      <c r="Z849" s="25"/>
      <c r="AA849" s="25"/>
      <c r="AB849" s="25"/>
      <c r="AC849" s="25"/>
      <c r="AD849" s="178"/>
    </row>
    <row r="850" spans="18:30" x14ac:dyDescent="0.25">
      <c r="R850" s="25"/>
      <c r="S850" s="25"/>
      <c r="T850" s="25"/>
      <c r="U850" s="25"/>
      <c r="V850" s="25"/>
      <c r="W850" s="25"/>
      <c r="X850" s="25"/>
      <c r="Y850" s="25"/>
      <c r="Z850" s="25"/>
      <c r="AA850" s="25"/>
      <c r="AB850" s="25"/>
      <c r="AC850" s="25"/>
      <c r="AD850" s="178"/>
    </row>
    <row r="851" spans="18:30" x14ac:dyDescent="0.25">
      <c r="R851" s="25"/>
      <c r="S851" s="25"/>
      <c r="T851" s="25"/>
      <c r="U851" s="25"/>
      <c r="V851" s="25"/>
      <c r="W851" s="25"/>
      <c r="X851" s="25"/>
      <c r="Y851" s="25"/>
      <c r="Z851" s="25"/>
      <c r="AA851" s="25"/>
      <c r="AB851" s="25"/>
      <c r="AC851" s="25"/>
      <c r="AD851" s="178"/>
    </row>
    <row r="852" spans="18:30" x14ac:dyDescent="0.25">
      <c r="R852" s="25"/>
      <c r="S852" s="25"/>
      <c r="T852" s="25"/>
      <c r="U852" s="25"/>
      <c r="V852" s="25"/>
      <c r="W852" s="25"/>
      <c r="X852" s="25"/>
      <c r="Y852" s="25"/>
      <c r="Z852" s="25"/>
      <c r="AA852" s="25"/>
      <c r="AB852" s="25"/>
      <c r="AC852" s="25"/>
      <c r="AD852" s="178"/>
    </row>
    <row r="853" spans="18:30" x14ac:dyDescent="0.25">
      <c r="R853" s="25"/>
      <c r="S853" s="25"/>
      <c r="T853" s="25"/>
      <c r="U853" s="25"/>
      <c r="V853" s="25"/>
      <c r="W853" s="25"/>
      <c r="X853" s="25"/>
      <c r="Y853" s="25"/>
      <c r="Z853" s="25"/>
      <c r="AA853" s="25"/>
      <c r="AB853" s="25"/>
      <c r="AC853" s="25"/>
      <c r="AD853" s="178"/>
    </row>
    <row r="854" spans="18:30" x14ac:dyDescent="0.25">
      <c r="R854" s="25"/>
      <c r="S854" s="25"/>
      <c r="T854" s="25"/>
      <c r="U854" s="25"/>
      <c r="V854" s="25"/>
      <c r="W854" s="25"/>
      <c r="X854" s="25"/>
      <c r="Y854" s="25"/>
      <c r="Z854" s="25"/>
      <c r="AA854" s="25"/>
      <c r="AB854" s="25"/>
      <c r="AC854" s="25"/>
      <c r="AD854" s="178"/>
    </row>
    <row r="855" spans="18:30" x14ac:dyDescent="0.25">
      <c r="R855" s="25"/>
      <c r="S855" s="25"/>
      <c r="T855" s="25"/>
      <c r="U855" s="25"/>
      <c r="V855" s="25"/>
      <c r="W855" s="25"/>
      <c r="X855" s="25"/>
      <c r="Y855" s="25"/>
      <c r="Z855" s="25"/>
      <c r="AA855" s="25"/>
      <c r="AB855" s="25"/>
      <c r="AC855" s="25"/>
      <c r="AD855" s="178"/>
    </row>
    <row r="856" spans="18:30" x14ac:dyDescent="0.25">
      <c r="R856" s="25"/>
      <c r="S856" s="25"/>
      <c r="T856" s="25"/>
      <c r="U856" s="25"/>
      <c r="V856" s="25"/>
      <c r="W856" s="25"/>
      <c r="X856" s="25"/>
      <c r="Y856" s="25"/>
      <c r="Z856" s="25"/>
      <c r="AA856" s="25"/>
      <c r="AB856" s="25"/>
      <c r="AC856" s="25"/>
      <c r="AD856" s="178"/>
    </row>
    <row r="857" spans="18:30" x14ac:dyDescent="0.25">
      <c r="R857" s="25"/>
      <c r="S857" s="25"/>
      <c r="T857" s="25"/>
      <c r="U857" s="25"/>
      <c r="V857" s="25"/>
      <c r="W857" s="25"/>
      <c r="X857" s="25"/>
      <c r="Y857" s="25"/>
      <c r="Z857" s="25"/>
      <c r="AA857" s="25"/>
      <c r="AB857" s="25"/>
      <c r="AC857" s="25"/>
      <c r="AD857" s="178"/>
    </row>
    <row r="858" spans="18:30" x14ac:dyDescent="0.25">
      <c r="R858" s="25"/>
      <c r="S858" s="25"/>
      <c r="T858" s="25"/>
      <c r="U858" s="25"/>
      <c r="V858" s="25"/>
      <c r="W858" s="25"/>
      <c r="X858" s="25"/>
      <c r="Y858" s="25"/>
      <c r="Z858" s="25"/>
      <c r="AA858" s="25"/>
      <c r="AB858" s="25"/>
      <c r="AC858" s="25"/>
      <c r="AD858" s="178"/>
    </row>
    <row r="859" spans="18:30" x14ac:dyDescent="0.25">
      <c r="R859" s="25"/>
      <c r="S859" s="25"/>
      <c r="T859" s="25"/>
      <c r="U859" s="25"/>
      <c r="V859" s="25"/>
      <c r="W859" s="25"/>
      <c r="X859" s="25"/>
      <c r="Y859" s="25"/>
      <c r="Z859" s="25"/>
      <c r="AA859" s="25"/>
      <c r="AB859" s="25"/>
      <c r="AC859" s="25"/>
      <c r="AD859" s="178"/>
    </row>
    <row r="860" spans="18:30" x14ac:dyDescent="0.25">
      <c r="R860" s="25"/>
      <c r="S860" s="25"/>
      <c r="T860" s="25"/>
      <c r="U860" s="25"/>
      <c r="V860" s="25"/>
      <c r="W860" s="25"/>
      <c r="X860" s="25"/>
      <c r="Y860" s="25"/>
      <c r="Z860" s="25"/>
      <c r="AA860" s="25"/>
      <c r="AB860" s="25"/>
      <c r="AC860" s="25"/>
      <c r="AD860" s="178"/>
    </row>
    <row r="861" spans="18:30" x14ac:dyDescent="0.25">
      <c r="R861" s="25"/>
      <c r="S861" s="25"/>
      <c r="T861" s="25"/>
      <c r="U861" s="25"/>
      <c r="V861" s="25"/>
      <c r="W861" s="25"/>
      <c r="X861" s="25"/>
      <c r="Y861" s="25"/>
      <c r="Z861" s="25"/>
      <c r="AA861" s="25"/>
      <c r="AB861" s="25"/>
      <c r="AC861" s="25"/>
      <c r="AD861" s="178"/>
    </row>
    <row r="862" spans="18:30" x14ac:dyDescent="0.25">
      <c r="R862" s="25"/>
      <c r="S862" s="25"/>
      <c r="T862" s="25"/>
      <c r="U862" s="25"/>
      <c r="V862" s="25"/>
      <c r="W862" s="25"/>
      <c r="X862" s="25"/>
      <c r="Y862" s="25"/>
      <c r="Z862" s="25"/>
      <c r="AA862" s="25"/>
      <c r="AB862" s="25"/>
      <c r="AC862" s="25"/>
      <c r="AD862" s="178"/>
    </row>
    <row r="863" spans="18:30" x14ac:dyDescent="0.25">
      <c r="R863" s="25"/>
      <c r="S863" s="25"/>
      <c r="T863" s="25"/>
      <c r="U863" s="25"/>
      <c r="V863" s="25"/>
      <c r="W863" s="25"/>
      <c r="X863" s="25"/>
      <c r="Y863" s="25"/>
      <c r="Z863" s="25"/>
      <c r="AA863" s="25"/>
      <c r="AB863" s="25"/>
      <c r="AC863" s="25"/>
      <c r="AD863" s="178"/>
    </row>
    <row r="864" spans="18:30" x14ac:dyDescent="0.25">
      <c r="R864" s="25"/>
      <c r="S864" s="25"/>
      <c r="T864" s="25"/>
      <c r="U864" s="25"/>
      <c r="V864" s="25"/>
      <c r="W864" s="25"/>
      <c r="X864" s="25"/>
      <c r="Y864" s="25"/>
      <c r="Z864" s="25"/>
      <c r="AA864" s="25"/>
      <c r="AB864" s="25"/>
      <c r="AC864" s="25"/>
      <c r="AD864" s="178"/>
    </row>
    <row r="865" spans="18:30" x14ac:dyDescent="0.25">
      <c r="R865" s="25"/>
      <c r="S865" s="25"/>
      <c r="T865" s="25"/>
      <c r="U865" s="25"/>
      <c r="V865" s="25"/>
      <c r="W865" s="25"/>
      <c r="X865" s="25"/>
      <c r="Y865" s="25"/>
      <c r="Z865" s="25"/>
      <c r="AA865" s="25"/>
      <c r="AB865" s="25"/>
      <c r="AC865" s="25"/>
      <c r="AD865" s="178"/>
    </row>
    <row r="866" spans="18:30" x14ac:dyDescent="0.25">
      <c r="R866" s="25"/>
      <c r="S866" s="25"/>
      <c r="T866" s="25"/>
      <c r="U866" s="25"/>
      <c r="V866" s="25"/>
      <c r="W866" s="25"/>
      <c r="X866" s="25"/>
      <c r="Y866" s="25"/>
      <c r="Z866" s="25"/>
      <c r="AA866" s="25"/>
      <c r="AB866" s="25"/>
      <c r="AC866" s="25"/>
      <c r="AD866" s="178"/>
    </row>
    <row r="867" spans="18:30" x14ac:dyDescent="0.25">
      <c r="R867" s="25"/>
      <c r="S867" s="25"/>
      <c r="T867" s="25"/>
      <c r="U867" s="25"/>
      <c r="V867" s="25"/>
      <c r="W867" s="25"/>
      <c r="X867" s="25"/>
      <c r="Y867" s="25"/>
      <c r="Z867" s="25"/>
      <c r="AA867" s="25"/>
      <c r="AB867" s="25"/>
      <c r="AC867" s="25"/>
      <c r="AD867" s="178"/>
    </row>
    <row r="868" spans="18:30" x14ac:dyDescent="0.25">
      <c r="R868" s="25"/>
      <c r="S868" s="25"/>
      <c r="T868" s="25"/>
      <c r="U868" s="25"/>
      <c r="V868" s="25"/>
      <c r="W868" s="25"/>
      <c r="X868" s="25"/>
      <c r="Y868" s="25"/>
      <c r="Z868" s="25"/>
      <c r="AA868" s="25"/>
      <c r="AB868" s="25"/>
      <c r="AC868" s="25"/>
      <c r="AD868" s="178"/>
    </row>
    <row r="869" spans="18:30" x14ac:dyDescent="0.25">
      <c r="R869" s="25"/>
      <c r="S869" s="25"/>
      <c r="T869" s="25"/>
      <c r="U869" s="25"/>
      <c r="V869" s="25"/>
      <c r="W869" s="25"/>
      <c r="X869" s="25"/>
      <c r="Y869" s="25"/>
      <c r="Z869" s="25"/>
      <c r="AA869" s="25"/>
      <c r="AB869" s="25"/>
      <c r="AC869" s="25"/>
      <c r="AD869" s="178"/>
    </row>
    <row r="870" spans="18:30" x14ac:dyDescent="0.25">
      <c r="R870" s="25"/>
      <c r="S870" s="25"/>
      <c r="T870" s="25"/>
      <c r="U870" s="25"/>
      <c r="V870" s="25"/>
      <c r="W870" s="25"/>
      <c r="X870" s="25"/>
      <c r="Y870" s="25"/>
      <c r="Z870" s="25"/>
      <c r="AA870" s="25"/>
      <c r="AB870" s="25"/>
      <c r="AC870" s="25"/>
      <c r="AD870" s="178"/>
    </row>
    <row r="871" spans="18:30" x14ac:dyDescent="0.25">
      <c r="R871" s="25"/>
      <c r="S871" s="25"/>
      <c r="T871" s="25"/>
      <c r="U871" s="25"/>
      <c r="V871" s="25"/>
      <c r="W871" s="25"/>
      <c r="X871" s="25"/>
      <c r="Y871" s="25"/>
      <c r="Z871" s="25"/>
      <c r="AA871" s="25"/>
      <c r="AB871" s="25"/>
      <c r="AC871" s="25"/>
      <c r="AD871" s="178"/>
    </row>
    <row r="872" spans="18:30" x14ac:dyDescent="0.25">
      <c r="R872" s="25"/>
      <c r="S872" s="25"/>
      <c r="T872" s="25"/>
      <c r="U872" s="25"/>
      <c r="V872" s="25"/>
      <c r="W872" s="25"/>
      <c r="X872" s="25"/>
      <c r="Y872" s="25"/>
      <c r="Z872" s="25"/>
      <c r="AA872" s="25"/>
      <c r="AB872" s="25"/>
      <c r="AC872" s="25"/>
      <c r="AD872" s="178"/>
    </row>
    <row r="873" spans="18:30" x14ac:dyDescent="0.25">
      <c r="R873" s="25"/>
      <c r="S873" s="25"/>
      <c r="T873" s="25"/>
      <c r="U873" s="25"/>
      <c r="V873" s="25"/>
      <c r="W873" s="25"/>
      <c r="X873" s="25"/>
      <c r="Y873" s="25"/>
      <c r="Z873" s="25"/>
      <c r="AA873" s="25"/>
      <c r="AB873" s="25"/>
      <c r="AC873" s="25"/>
      <c r="AD873" s="178"/>
    </row>
    <row r="874" spans="18:30" x14ac:dyDescent="0.25">
      <c r="R874" s="25"/>
      <c r="S874" s="25"/>
      <c r="T874" s="25"/>
      <c r="U874" s="25"/>
      <c r="V874" s="25"/>
      <c r="W874" s="25"/>
      <c r="X874" s="25"/>
      <c r="Y874" s="25"/>
      <c r="Z874" s="25"/>
      <c r="AA874" s="25"/>
      <c r="AB874" s="25"/>
      <c r="AC874" s="25"/>
      <c r="AD874" s="178"/>
    </row>
    <row r="875" spans="18:30" x14ac:dyDescent="0.25">
      <c r="R875" s="25"/>
      <c r="S875" s="25"/>
      <c r="T875" s="25"/>
      <c r="U875" s="25"/>
      <c r="V875" s="25"/>
      <c r="W875" s="25"/>
      <c r="X875" s="25"/>
      <c r="Y875" s="25"/>
      <c r="Z875" s="25"/>
      <c r="AA875" s="25"/>
      <c r="AB875" s="25"/>
      <c r="AC875" s="25"/>
      <c r="AD875" s="178"/>
    </row>
    <row r="876" spans="18:30" x14ac:dyDescent="0.25">
      <c r="R876" s="25"/>
      <c r="S876" s="25"/>
      <c r="T876" s="25"/>
      <c r="U876" s="25"/>
      <c r="V876" s="25"/>
      <c r="W876" s="25"/>
      <c r="X876" s="25"/>
      <c r="Y876" s="25"/>
      <c r="Z876" s="25"/>
      <c r="AA876" s="25"/>
      <c r="AB876" s="25"/>
      <c r="AC876" s="25"/>
      <c r="AD876" s="178"/>
    </row>
    <row r="877" spans="18:30" x14ac:dyDescent="0.25">
      <c r="R877" s="25"/>
      <c r="S877" s="25"/>
      <c r="T877" s="25"/>
      <c r="U877" s="25"/>
      <c r="V877" s="25"/>
      <c r="W877" s="25"/>
      <c r="X877" s="25"/>
      <c r="Y877" s="25"/>
      <c r="Z877" s="25"/>
      <c r="AA877" s="25"/>
      <c r="AB877" s="25"/>
      <c r="AC877" s="25"/>
      <c r="AD877" s="178"/>
    </row>
    <row r="878" spans="18:30" x14ac:dyDescent="0.25">
      <c r="R878" s="25"/>
      <c r="S878" s="25"/>
      <c r="T878" s="25"/>
      <c r="U878" s="25"/>
      <c r="V878" s="25"/>
      <c r="W878" s="25"/>
      <c r="X878" s="25"/>
      <c r="Y878" s="25"/>
      <c r="Z878" s="25"/>
      <c r="AA878" s="25"/>
      <c r="AB878" s="25"/>
      <c r="AC878" s="25"/>
      <c r="AD878" s="178"/>
    </row>
    <row r="879" spans="18:30" x14ac:dyDescent="0.25">
      <c r="R879" s="25"/>
      <c r="S879" s="25"/>
      <c r="T879" s="25"/>
      <c r="U879" s="25"/>
      <c r="V879" s="25"/>
      <c r="W879" s="25"/>
      <c r="X879" s="25"/>
      <c r="Y879" s="25"/>
      <c r="Z879" s="25"/>
      <c r="AA879" s="25"/>
      <c r="AB879" s="25"/>
      <c r="AC879" s="25"/>
      <c r="AD879" s="178"/>
    </row>
    <row r="880" spans="18:30" x14ac:dyDescent="0.25">
      <c r="R880" s="25"/>
      <c r="S880" s="25"/>
      <c r="T880" s="25"/>
      <c r="U880" s="25"/>
      <c r="V880" s="25"/>
      <c r="W880" s="25"/>
      <c r="X880" s="25"/>
      <c r="Y880" s="25"/>
      <c r="Z880" s="25"/>
      <c r="AA880" s="25"/>
      <c r="AB880" s="25"/>
      <c r="AC880" s="25"/>
      <c r="AD880" s="178"/>
    </row>
    <row r="881" spans="18:30" x14ac:dyDescent="0.25">
      <c r="R881" s="25"/>
      <c r="S881" s="25"/>
      <c r="T881" s="25"/>
      <c r="U881" s="25"/>
      <c r="V881" s="25"/>
      <c r="W881" s="25"/>
      <c r="X881" s="25"/>
      <c r="Y881" s="25"/>
      <c r="Z881" s="25"/>
      <c r="AA881" s="25"/>
      <c r="AB881" s="25"/>
      <c r="AC881" s="25"/>
      <c r="AD881" s="178"/>
    </row>
    <row r="882" spans="18:30" x14ac:dyDescent="0.25">
      <c r="R882" s="25"/>
      <c r="S882" s="25"/>
      <c r="T882" s="25"/>
      <c r="U882" s="25"/>
      <c r="V882" s="25"/>
      <c r="W882" s="25"/>
      <c r="X882" s="25"/>
      <c r="Y882" s="25"/>
      <c r="Z882" s="25"/>
      <c r="AA882" s="25"/>
      <c r="AB882" s="25"/>
      <c r="AC882" s="25"/>
      <c r="AD882" s="178"/>
    </row>
    <row r="883" spans="18:30" x14ac:dyDescent="0.25">
      <c r="R883" s="25"/>
      <c r="S883" s="25"/>
      <c r="T883" s="25"/>
      <c r="U883" s="25"/>
      <c r="V883" s="25"/>
      <c r="W883" s="25"/>
      <c r="X883" s="25"/>
      <c r="Y883" s="25"/>
      <c r="Z883" s="25"/>
      <c r="AA883" s="25"/>
      <c r="AB883" s="25"/>
      <c r="AC883" s="25"/>
      <c r="AD883" s="178"/>
    </row>
    <row r="884" spans="18:30" x14ac:dyDescent="0.25">
      <c r="R884" s="25"/>
      <c r="S884" s="25"/>
      <c r="T884" s="25"/>
      <c r="U884" s="25"/>
      <c r="V884" s="25"/>
      <c r="W884" s="25"/>
      <c r="X884" s="25"/>
      <c r="Y884" s="25"/>
      <c r="Z884" s="25"/>
      <c r="AA884" s="25"/>
      <c r="AB884" s="25"/>
      <c r="AC884" s="25"/>
      <c r="AD884" s="178"/>
    </row>
    <row r="885" spans="18:30" x14ac:dyDescent="0.25">
      <c r="R885" s="25"/>
      <c r="S885" s="25"/>
      <c r="T885" s="25"/>
      <c r="U885" s="25"/>
      <c r="V885" s="25"/>
      <c r="W885" s="25"/>
      <c r="X885" s="25"/>
      <c r="Y885" s="25"/>
      <c r="Z885" s="25"/>
      <c r="AA885" s="25"/>
      <c r="AB885" s="25"/>
      <c r="AC885" s="25"/>
      <c r="AD885" s="178"/>
    </row>
    <row r="886" spans="18:30" x14ac:dyDescent="0.25">
      <c r="R886" s="25"/>
      <c r="S886" s="25"/>
      <c r="T886" s="25"/>
      <c r="U886" s="25"/>
      <c r="V886" s="25"/>
      <c r="W886" s="25"/>
      <c r="X886" s="25"/>
      <c r="Y886" s="25"/>
      <c r="Z886" s="25"/>
      <c r="AA886" s="25"/>
      <c r="AB886" s="25"/>
      <c r="AC886" s="25"/>
      <c r="AD886" s="178"/>
    </row>
    <row r="887" spans="18:30" x14ac:dyDescent="0.25">
      <c r="R887" s="25"/>
      <c r="S887" s="25"/>
      <c r="T887" s="25"/>
      <c r="U887" s="25"/>
      <c r="V887" s="25"/>
      <c r="W887" s="25"/>
      <c r="X887" s="25"/>
      <c r="Y887" s="25"/>
      <c r="Z887" s="25"/>
      <c r="AA887" s="25"/>
      <c r="AB887" s="25"/>
      <c r="AC887" s="25"/>
      <c r="AD887" s="178"/>
    </row>
    <row r="888" spans="18:30" x14ac:dyDescent="0.25">
      <c r="R888" s="25"/>
      <c r="S888" s="25"/>
      <c r="T888" s="25"/>
      <c r="U888" s="25"/>
      <c r="V888" s="25"/>
      <c r="W888" s="25"/>
      <c r="X888" s="25"/>
      <c r="Y888" s="25"/>
      <c r="Z888" s="25"/>
      <c r="AA888" s="25"/>
      <c r="AB888" s="25"/>
      <c r="AC888" s="25"/>
      <c r="AD888" s="178"/>
    </row>
    <row r="889" spans="18:30" x14ac:dyDescent="0.25">
      <c r="R889" s="25"/>
      <c r="S889" s="25"/>
      <c r="T889" s="25"/>
      <c r="U889" s="25"/>
      <c r="V889" s="25"/>
      <c r="W889" s="25"/>
      <c r="X889" s="25"/>
      <c r="Y889" s="25"/>
      <c r="Z889" s="25"/>
      <c r="AA889" s="25"/>
      <c r="AB889" s="25"/>
      <c r="AC889" s="25"/>
      <c r="AD889" s="178"/>
    </row>
    <row r="890" spans="18:30" x14ac:dyDescent="0.25">
      <c r="R890" s="25"/>
      <c r="S890" s="25"/>
      <c r="T890" s="25"/>
      <c r="U890" s="25"/>
      <c r="V890" s="25"/>
      <c r="W890" s="25"/>
      <c r="X890" s="25"/>
      <c r="Y890" s="25"/>
      <c r="Z890" s="25"/>
      <c r="AA890" s="25"/>
      <c r="AB890" s="25"/>
      <c r="AC890" s="25"/>
      <c r="AD890" s="178"/>
    </row>
    <row r="891" spans="18:30" x14ac:dyDescent="0.25">
      <c r="R891" s="25"/>
      <c r="S891" s="25"/>
      <c r="T891" s="25"/>
      <c r="U891" s="25"/>
      <c r="V891" s="25"/>
      <c r="W891" s="25"/>
      <c r="X891" s="25"/>
      <c r="Y891" s="25"/>
      <c r="Z891" s="25"/>
      <c r="AA891" s="25"/>
      <c r="AB891" s="25"/>
      <c r="AC891" s="25"/>
      <c r="AD891" s="178"/>
    </row>
    <row r="892" spans="18:30" x14ac:dyDescent="0.25">
      <c r="R892" s="25"/>
      <c r="S892" s="25"/>
      <c r="T892" s="25"/>
      <c r="U892" s="25"/>
      <c r="V892" s="25"/>
      <c r="W892" s="25"/>
      <c r="X892" s="25"/>
      <c r="Y892" s="25"/>
      <c r="Z892" s="25"/>
      <c r="AA892" s="25"/>
      <c r="AB892" s="25"/>
      <c r="AC892" s="25"/>
      <c r="AD892" s="178"/>
    </row>
    <row r="893" spans="18:30" x14ac:dyDescent="0.25">
      <c r="R893" s="25"/>
      <c r="S893" s="25"/>
      <c r="T893" s="25"/>
      <c r="U893" s="25"/>
      <c r="V893" s="25"/>
      <c r="W893" s="25"/>
      <c r="X893" s="25"/>
      <c r="Y893" s="25"/>
      <c r="Z893" s="25"/>
      <c r="AA893" s="25"/>
      <c r="AB893" s="25"/>
      <c r="AC893" s="25"/>
      <c r="AD893" s="178"/>
    </row>
    <row r="894" spans="18:30" x14ac:dyDescent="0.25">
      <c r="R894" s="25"/>
      <c r="S894" s="25"/>
      <c r="T894" s="25"/>
      <c r="U894" s="25"/>
      <c r="V894" s="25"/>
      <c r="W894" s="25"/>
      <c r="X894" s="25"/>
      <c r="Y894" s="25"/>
      <c r="Z894" s="25"/>
      <c r="AA894" s="25"/>
      <c r="AB894" s="25"/>
      <c r="AC894" s="25"/>
      <c r="AD894" s="178"/>
    </row>
    <row r="895" spans="18:30" x14ac:dyDescent="0.25">
      <c r="R895" s="25"/>
      <c r="S895" s="25"/>
      <c r="T895" s="25"/>
      <c r="U895" s="25"/>
      <c r="V895" s="25"/>
      <c r="W895" s="25"/>
      <c r="X895" s="25"/>
      <c r="Y895" s="25"/>
      <c r="Z895" s="25"/>
      <c r="AA895" s="25"/>
      <c r="AB895" s="25"/>
      <c r="AC895" s="25"/>
      <c r="AD895" s="178"/>
    </row>
    <row r="896" spans="18:30" x14ac:dyDescent="0.25">
      <c r="R896" s="25"/>
      <c r="S896" s="25"/>
      <c r="T896" s="25"/>
      <c r="U896" s="25"/>
      <c r="V896" s="25"/>
      <c r="W896" s="25"/>
      <c r="X896" s="25"/>
      <c r="Y896" s="25"/>
      <c r="Z896" s="25"/>
      <c r="AA896" s="25"/>
      <c r="AB896" s="25"/>
      <c r="AC896" s="25"/>
      <c r="AD896" s="178"/>
    </row>
    <row r="897" spans="18:30" x14ac:dyDescent="0.25">
      <c r="R897" s="25"/>
      <c r="S897" s="25"/>
      <c r="T897" s="25"/>
      <c r="U897" s="25"/>
      <c r="V897" s="25"/>
      <c r="W897" s="25"/>
      <c r="X897" s="25"/>
      <c r="Y897" s="25"/>
      <c r="Z897" s="25"/>
      <c r="AA897" s="25"/>
      <c r="AB897" s="25"/>
      <c r="AC897" s="25"/>
      <c r="AD897" s="178"/>
    </row>
    <row r="898" spans="18:30" x14ac:dyDescent="0.25">
      <c r="R898" s="25"/>
      <c r="S898" s="25"/>
      <c r="T898" s="25"/>
      <c r="U898" s="25"/>
      <c r="V898" s="25"/>
      <c r="W898" s="25"/>
      <c r="X898" s="25"/>
      <c r="Y898" s="25"/>
      <c r="Z898" s="25"/>
      <c r="AA898" s="25"/>
      <c r="AB898" s="25"/>
      <c r="AC898" s="25"/>
      <c r="AD898" s="178"/>
    </row>
    <row r="899" spans="18:30" x14ac:dyDescent="0.25">
      <c r="R899" s="25"/>
      <c r="S899" s="25"/>
      <c r="T899" s="25"/>
      <c r="U899" s="25"/>
      <c r="V899" s="25"/>
      <c r="W899" s="25"/>
      <c r="X899" s="25"/>
      <c r="Y899" s="25"/>
      <c r="Z899" s="25"/>
      <c r="AA899" s="25"/>
      <c r="AB899" s="25"/>
      <c r="AC899" s="25"/>
      <c r="AD899" s="178"/>
    </row>
    <row r="900" spans="18:30" x14ac:dyDescent="0.25">
      <c r="R900" s="25"/>
      <c r="S900" s="25"/>
      <c r="T900" s="25"/>
      <c r="U900" s="25"/>
      <c r="V900" s="25"/>
      <c r="W900" s="25"/>
      <c r="X900" s="25"/>
      <c r="Y900" s="25"/>
      <c r="Z900" s="25"/>
      <c r="AA900" s="25"/>
      <c r="AB900" s="25"/>
      <c r="AC900" s="25"/>
      <c r="AD900" s="178"/>
    </row>
    <row r="901" spans="18:30" x14ac:dyDescent="0.25">
      <c r="R901" s="25"/>
      <c r="S901" s="25"/>
      <c r="T901" s="25"/>
      <c r="U901" s="25"/>
      <c r="V901" s="25"/>
      <c r="W901" s="25"/>
      <c r="X901" s="25"/>
      <c r="Y901" s="25"/>
      <c r="Z901" s="25"/>
      <c r="AA901" s="25"/>
      <c r="AB901" s="25"/>
      <c r="AC901" s="25"/>
      <c r="AD901" s="178"/>
    </row>
    <row r="902" spans="18:30" x14ac:dyDescent="0.25">
      <c r="R902" s="25"/>
      <c r="S902" s="25"/>
      <c r="T902" s="25"/>
      <c r="U902" s="25"/>
      <c r="V902" s="25"/>
      <c r="W902" s="25"/>
      <c r="X902" s="25"/>
      <c r="Y902" s="25"/>
      <c r="Z902" s="25"/>
      <c r="AA902" s="25"/>
      <c r="AB902" s="25"/>
      <c r="AC902" s="25"/>
      <c r="AD902" s="178"/>
    </row>
    <row r="903" spans="18:30" x14ac:dyDescent="0.25">
      <c r="R903" s="25"/>
      <c r="S903" s="25"/>
      <c r="T903" s="25"/>
      <c r="U903" s="25"/>
      <c r="V903" s="25"/>
      <c r="W903" s="25"/>
      <c r="X903" s="25"/>
      <c r="Y903" s="25"/>
      <c r="Z903" s="25"/>
      <c r="AA903" s="25"/>
      <c r="AB903" s="25"/>
      <c r="AC903" s="25"/>
      <c r="AD903" s="178"/>
    </row>
    <row r="904" spans="18:30" x14ac:dyDescent="0.25">
      <c r="R904" s="25"/>
      <c r="S904" s="25"/>
      <c r="T904" s="25"/>
      <c r="U904" s="25"/>
      <c r="V904" s="25"/>
      <c r="W904" s="25"/>
      <c r="X904" s="25"/>
      <c r="Y904" s="25"/>
      <c r="Z904" s="25"/>
      <c r="AA904" s="25"/>
      <c r="AB904" s="25"/>
      <c r="AC904" s="25"/>
      <c r="AD904" s="178"/>
    </row>
    <row r="905" spans="18:30" x14ac:dyDescent="0.25">
      <c r="R905" s="25"/>
      <c r="S905" s="25"/>
      <c r="T905" s="25"/>
      <c r="U905" s="25"/>
      <c r="V905" s="25"/>
      <c r="W905" s="25"/>
      <c r="X905" s="25"/>
      <c r="Y905" s="25"/>
      <c r="Z905" s="25"/>
      <c r="AA905" s="25"/>
      <c r="AB905" s="25"/>
      <c r="AC905" s="25"/>
      <c r="AD905" s="178"/>
    </row>
    <row r="906" spans="18:30" x14ac:dyDescent="0.25">
      <c r="R906" s="25"/>
      <c r="S906" s="25"/>
      <c r="T906" s="25"/>
      <c r="U906" s="25"/>
      <c r="V906" s="25"/>
      <c r="W906" s="25"/>
      <c r="X906" s="25"/>
      <c r="Y906" s="25"/>
      <c r="Z906" s="25"/>
      <c r="AA906" s="25"/>
      <c r="AB906" s="25"/>
      <c r="AC906" s="25"/>
      <c r="AD906" s="178"/>
    </row>
    <row r="907" spans="18:30" x14ac:dyDescent="0.25">
      <c r="R907" s="25"/>
      <c r="S907" s="25"/>
      <c r="T907" s="25"/>
      <c r="U907" s="25"/>
      <c r="V907" s="25"/>
      <c r="W907" s="25"/>
      <c r="X907" s="25"/>
      <c r="Y907" s="25"/>
      <c r="Z907" s="25"/>
      <c r="AA907" s="25"/>
      <c r="AB907" s="25"/>
      <c r="AC907" s="25"/>
      <c r="AD907" s="178"/>
    </row>
    <row r="908" spans="18:30" x14ac:dyDescent="0.25">
      <c r="R908" s="25"/>
      <c r="S908" s="25"/>
      <c r="T908" s="25"/>
      <c r="U908" s="25"/>
      <c r="V908" s="25"/>
      <c r="W908" s="25"/>
      <c r="X908" s="25"/>
      <c r="Y908" s="25"/>
      <c r="Z908" s="25"/>
      <c r="AA908" s="25"/>
      <c r="AB908" s="25"/>
      <c r="AC908" s="25"/>
      <c r="AD908" s="178"/>
    </row>
    <row r="909" spans="18:30" x14ac:dyDescent="0.25">
      <c r="R909" s="25"/>
      <c r="S909" s="25"/>
      <c r="T909" s="25"/>
      <c r="U909" s="25"/>
      <c r="V909" s="25"/>
      <c r="W909" s="25"/>
      <c r="X909" s="25"/>
      <c r="Y909" s="25"/>
      <c r="Z909" s="25"/>
      <c r="AA909" s="25"/>
      <c r="AB909" s="25"/>
      <c r="AC909" s="25"/>
      <c r="AD909" s="178"/>
    </row>
    <row r="910" spans="18:30" x14ac:dyDescent="0.25">
      <c r="R910" s="25"/>
      <c r="S910" s="25"/>
      <c r="T910" s="25"/>
      <c r="U910" s="25"/>
      <c r="V910" s="25"/>
      <c r="W910" s="25"/>
      <c r="X910" s="25"/>
      <c r="Y910" s="25"/>
      <c r="Z910" s="25"/>
      <c r="AA910" s="25"/>
      <c r="AB910" s="25"/>
      <c r="AC910" s="25"/>
      <c r="AD910" s="178"/>
    </row>
    <row r="911" spans="18:30" x14ac:dyDescent="0.25">
      <c r="R911" s="25"/>
      <c r="S911" s="25"/>
      <c r="T911" s="25"/>
      <c r="U911" s="25"/>
      <c r="V911" s="25"/>
      <c r="W911" s="25"/>
      <c r="X911" s="25"/>
      <c r="Y911" s="25"/>
      <c r="Z911" s="25"/>
      <c r="AA911" s="25"/>
      <c r="AB911" s="25"/>
      <c r="AC911" s="25"/>
      <c r="AD911" s="178"/>
    </row>
    <row r="912" spans="18:30" x14ac:dyDescent="0.25">
      <c r="R912" s="25"/>
      <c r="S912" s="25"/>
      <c r="T912" s="25"/>
      <c r="U912" s="25"/>
      <c r="V912" s="25"/>
      <c r="W912" s="25"/>
      <c r="X912" s="25"/>
      <c r="Y912" s="25"/>
      <c r="Z912" s="25"/>
      <c r="AA912" s="25"/>
      <c r="AB912" s="25"/>
      <c r="AC912" s="25"/>
      <c r="AD912" s="178"/>
    </row>
    <row r="913" spans="18:30" x14ac:dyDescent="0.25">
      <c r="R913" s="25"/>
      <c r="S913" s="25"/>
      <c r="T913" s="25"/>
      <c r="U913" s="25"/>
      <c r="V913" s="25"/>
      <c r="W913" s="25"/>
      <c r="X913" s="25"/>
      <c r="Y913" s="25"/>
      <c r="Z913" s="25"/>
      <c r="AA913" s="25"/>
      <c r="AB913" s="25"/>
      <c r="AC913" s="25"/>
      <c r="AD913" s="178"/>
    </row>
    <row r="914" spans="18:30" x14ac:dyDescent="0.25">
      <c r="R914" s="25"/>
      <c r="S914" s="25"/>
      <c r="T914" s="25"/>
      <c r="U914" s="25"/>
      <c r="V914" s="25"/>
      <c r="W914" s="25"/>
      <c r="X914" s="25"/>
      <c r="Y914" s="25"/>
      <c r="Z914" s="25"/>
      <c r="AA914" s="25"/>
      <c r="AB914" s="25"/>
      <c r="AC914" s="25"/>
      <c r="AD914" s="178"/>
    </row>
    <row r="915" spans="18:30" x14ac:dyDescent="0.25">
      <c r="R915" s="25"/>
      <c r="S915" s="25"/>
      <c r="T915" s="25"/>
      <c r="U915" s="25"/>
      <c r="V915" s="25"/>
      <c r="W915" s="25"/>
      <c r="X915" s="25"/>
      <c r="Y915" s="25"/>
      <c r="Z915" s="25"/>
      <c r="AA915" s="25"/>
      <c r="AB915" s="25"/>
      <c r="AC915" s="25"/>
      <c r="AD915" s="178"/>
    </row>
    <row r="916" spans="18:30" x14ac:dyDescent="0.25">
      <c r="R916" s="25"/>
      <c r="S916" s="25"/>
      <c r="T916" s="25"/>
      <c r="U916" s="25"/>
      <c r="V916" s="25"/>
      <c r="W916" s="25"/>
      <c r="X916" s="25"/>
      <c r="Y916" s="25"/>
      <c r="Z916" s="25"/>
      <c r="AA916" s="25"/>
      <c r="AB916" s="25"/>
      <c r="AC916" s="25"/>
      <c r="AD916" s="178"/>
    </row>
    <row r="917" spans="18:30" x14ac:dyDescent="0.25">
      <c r="R917" s="25"/>
      <c r="S917" s="25"/>
      <c r="T917" s="25"/>
      <c r="U917" s="25"/>
      <c r="V917" s="25"/>
      <c r="W917" s="25"/>
      <c r="X917" s="25"/>
      <c r="Y917" s="25"/>
      <c r="Z917" s="25"/>
      <c r="AA917" s="25"/>
      <c r="AB917" s="25"/>
      <c r="AC917" s="25"/>
      <c r="AD917" s="178"/>
    </row>
    <row r="918" spans="18:30" x14ac:dyDescent="0.25">
      <c r="R918" s="25"/>
      <c r="S918" s="25"/>
      <c r="T918" s="25"/>
      <c r="U918" s="25"/>
      <c r="V918" s="25"/>
      <c r="W918" s="25"/>
      <c r="X918" s="25"/>
      <c r="Y918" s="25"/>
      <c r="Z918" s="25"/>
      <c r="AA918" s="25"/>
      <c r="AB918" s="25"/>
      <c r="AC918" s="25"/>
      <c r="AD918" s="178"/>
    </row>
    <row r="919" spans="18:30" x14ac:dyDescent="0.25">
      <c r="R919" s="25"/>
      <c r="S919" s="25"/>
      <c r="T919" s="25"/>
      <c r="U919" s="25"/>
      <c r="V919" s="25"/>
      <c r="W919" s="25"/>
      <c r="X919" s="25"/>
      <c r="Y919" s="25"/>
      <c r="Z919" s="25"/>
      <c r="AA919" s="25"/>
      <c r="AB919" s="25"/>
      <c r="AC919" s="25"/>
      <c r="AD919" s="178"/>
    </row>
    <row r="920" spans="18:30" x14ac:dyDescent="0.25">
      <c r="R920" s="25"/>
      <c r="S920" s="25"/>
      <c r="T920" s="25"/>
      <c r="U920" s="25"/>
      <c r="V920" s="25"/>
      <c r="W920" s="25"/>
      <c r="X920" s="25"/>
      <c r="Y920" s="25"/>
      <c r="Z920" s="25"/>
      <c r="AA920" s="25"/>
      <c r="AB920" s="25"/>
      <c r="AC920" s="25"/>
      <c r="AD920" s="178"/>
    </row>
    <row r="921" spans="18:30" x14ac:dyDescent="0.25">
      <c r="R921" s="25"/>
      <c r="S921" s="25"/>
      <c r="T921" s="25"/>
      <c r="U921" s="25"/>
      <c r="V921" s="25"/>
      <c r="W921" s="25"/>
      <c r="X921" s="25"/>
      <c r="Y921" s="25"/>
      <c r="Z921" s="25"/>
      <c r="AA921" s="25"/>
      <c r="AB921" s="25"/>
      <c r="AC921" s="25"/>
      <c r="AD921" s="178"/>
    </row>
    <row r="922" spans="18:30" x14ac:dyDescent="0.25">
      <c r="R922" s="25"/>
      <c r="S922" s="25"/>
      <c r="T922" s="25"/>
      <c r="U922" s="25"/>
      <c r="V922" s="25"/>
      <c r="W922" s="25"/>
      <c r="X922" s="25"/>
      <c r="Y922" s="25"/>
      <c r="Z922" s="25"/>
      <c r="AA922" s="25"/>
      <c r="AB922" s="25"/>
      <c r="AC922" s="25"/>
      <c r="AD922" s="178"/>
    </row>
    <row r="923" spans="18:30" x14ac:dyDescent="0.25">
      <c r="R923" s="25"/>
      <c r="S923" s="25"/>
      <c r="T923" s="25"/>
      <c r="U923" s="25"/>
      <c r="V923" s="25"/>
      <c r="W923" s="25"/>
      <c r="X923" s="25"/>
      <c r="Y923" s="25"/>
      <c r="Z923" s="25"/>
      <c r="AA923" s="25"/>
      <c r="AB923" s="25"/>
      <c r="AC923" s="25"/>
      <c r="AD923" s="178"/>
    </row>
    <row r="924" spans="18:30" x14ac:dyDescent="0.25">
      <c r="R924" s="25"/>
      <c r="S924" s="25"/>
      <c r="T924" s="25"/>
      <c r="U924" s="25"/>
      <c r="V924" s="25"/>
      <c r="W924" s="25"/>
      <c r="X924" s="25"/>
      <c r="Y924" s="25"/>
      <c r="Z924" s="25"/>
      <c r="AA924" s="25"/>
      <c r="AB924" s="25"/>
      <c r="AC924" s="25"/>
      <c r="AD924" s="178"/>
    </row>
    <row r="925" spans="18:30" x14ac:dyDescent="0.25">
      <c r="R925" s="25"/>
      <c r="S925" s="25"/>
      <c r="T925" s="25"/>
      <c r="U925" s="25"/>
      <c r="V925" s="25"/>
      <c r="W925" s="25"/>
      <c r="X925" s="25"/>
      <c r="Y925" s="25"/>
      <c r="Z925" s="25"/>
      <c r="AA925" s="25"/>
      <c r="AB925" s="25"/>
      <c r="AC925" s="25"/>
      <c r="AD925" s="178"/>
    </row>
    <row r="926" spans="18:30" x14ac:dyDescent="0.25">
      <c r="R926" s="25"/>
      <c r="S926" s="25"/>
      <c r="T926" s="25"/>
      <c r="U926" s="25"/>
      <c r="V926" s="25"/>
      <c r="W926" s="25"/>
      <c r="X926" s="25"/>
      <c r="Y926" s="25"/>
      <c r="Z926" s="25"/>
      <c r="AA926" s="25"/>
      <c r="AB926" s="25"/>
      <c r="AC926" s="25"/>
      <c r="AD926" s="178"/>
    </row>
    <row r="927" spans="18:30" x14ac:dyDescent="0.25">
      <c r="R927" s="25"/>
      <c r="S927" s="25"/>
      <c r="T927" s="25"/>
      <c r="U927" s="25"/>
      <c r="V927" s="25"/>
      <c r="W927" s="25"/>
      <c r="X927" s="25"/>
      <c r="Y927" s="25"/>
      <c r="Z927" s="25"/>
      <c r="AA927" s="25"/>
      <c r="AB927" s="25"/>
      <c r="AC927" s="25"/>
      <c r="AD927" s="178"/>
    </row>
    <row r="928" spans="18:30" x14ac:dyDescent="0.25">
      <c r="R928" s="25"/>
      <c r="S928" s="25"/>
      <c r="T928" s="25"/>
      <c r="U928" s="25"/>
      <c r="V928" s="25"/>
      <c r="W928" s="25"/>
      <c r="X928" s="25"/>
      <c r="Y928" s="25"/>
      <c r="Z928" s="25"/>
      <c r="AA928" s="25"/>
      <c r="AB928" s="25"/>
      <c r="AC928" s="25"/>
      <c r="AD928" s="178"/>
    </row>
    <row r="929" spans="18:30" x14ac:dyDescent="0.25">
      <c r="R929" s="25"/>
      <c r="S929" s="25"/>
      <c r="T929" s="25"/>
      <c r="U929" s="25"/>
      <c r="V929" s="25"/>
      <c r="W929" s="25"/>
      <c r="X929" s="25"/>
      <c r="Y929" s="25"/>
      <c r="Z929" s="25"/>
      <c r="AA929" s="25"/>
      <c r="AB929" s="25"/>
      <c r="AC929" s="25"/>
      <c r="AD929" s="178"/>
    </row>
    <row r="930" spans="18:30" x14ac:dyDescent="0.25">
      <c r="R930" s="25"/>
      <c r="S930" s="25"/>
      <c r="T930" s="25"/>
      <c r="U930" s="25"/>
      <c r="V930" s="25"/>
      <c r="W930" s="25"/>
      <c r="X930" s="25"/>
      <c r="Y930" s="25"/>
      <c r="Z930" s="25"/>
      <c r="AA930" s="25"/>
      <c r="AB930" s="25"/>
      <c r="AC930" s="25"/>
      <c r="AD930" s="178"/>
    </row>
    <row r="931" spans="18:30" x14ac:dyDescent="0.25">
      <c r="R931" s="25"/>
      <c r="S931" s="25"/>
      <c r="T931" s="25"/>
      <c r="U931" s="25"/>
      <c r="V931" s="25"/>
      <c r="W931" s="25"/>
      <c r="X931" s="25"/>
      <c r="Y931" s="25"/>
      <c r="Z931" s="25"/>
      <c r="AA931" s="25"/>
      <c r="AB931" s="25"/>
      <c r="AC931" s="25"/>
      <c r="AD931" s="178"/>
    </row>
    <row r="932" spans="18:30" x14ac:dyDescent="0.25">
      <c r="R932" s="25"/>
      <c r="S932" s="25"/>
      <c r="T932" s="25"/>
      <c r="U932" s="25"/>
      <c r="V932" s="25"/>
      <c r="W932" s="25"/>
      <c r="X932" s="25"/>
      <c r="Y932" s="25"/>
      <c r="Z932" s="25"/>
      <c r="AA932" s="25"/>
      <c r="AB932" s="25"/>
      <c r="AC932" s="25"/>
      <c r="AD932" s="178"/>
    </row>
    <row r="933" spans="18:30" x14ac:dyDescent="0.25">
      <c r="R933" s="25"/>
      <c r="S933" s="25"/>
      <c r="T933" s="25"/>
      <c r="U933" s="25"/>
      <c r="V933" s="25"/>
      <c r="W933" s="25"/>
      <c r="X933" s="25"/>
      <c r="Y933" s="25"/>
      <c r="Z933" s="25"/>
      <c r="AA933" s="25"/>
      <c r="AB933" s="25"/>
      <c r="AC933" s="25"/>
      <c r="AD933" s="178"/>
    </row>
    <row r="934" spans="18:30" x14ac:dyDescent="0.25">
      <c r="R934" s="25"/>
      <c r="S934" s="25"/>
      <c r="T934" s="25"/>
      <c r="U934" s="25"/>
      <c r="V934" s="25"/>
      <c r="W934" s="25"/>
      <c r="X934" s="25"/>
      <c r="Y934" s="25"/>
      <c r="Z934" s="25"/>
      <c r="AA934" s="25"/>
      <c r="AB934" s="25"/>
      <c r="AC934" s="25"/>
      <c r="AD934" s="178"/>
    </row>
    <row r="935" spans="18:30" x14ac:dyDescent="0.25">
      <c r="R935" s="25"/>
      <c r="S935" s="25"/>
      <c r="T935" s="25"/>
      <c r="U935" s="25"/>
      <c r="V935" s="25"/>
      <c r="W935" s="25"/>
      <c r="X935" s="25"/>
      <c r="Y935" s="25"/>
      <c r="Z935" s="25"/>
      <c r="AA935" s="25"/>
      <c r="AB935" s="25"/>
      <c r="AC935" s="25"/>
      <c r="AD935" s="178"/>
    </row>
    <row r="936" spans="18:30" x14ac:dyDescent="0.25">
      <c r="R936" s="25"/>
      <c r="S936" s="25"/>
      <c r="T936" s="25"/>
      <c r="U936" s="25"/>
      <c r="V936" s="25"/>
      <c r="W936" s="25"/>
      <c r="X936" s="25"/>
      <c r="Y936" s="25"/>
      <c r="Z936" s="25"/>
      <c r="AA936" s="25"/>
      <c r="AB936" s="25"/>
      <c r="AC936" s="25"/>
      <c r="AD936" s="178"/>
    </row>
    <row r="937" spans="18:30" x14ac:dyDescent="0.25">
      <c r="R937" s="25"/>
      <c r="S937" s="25"/>
      <c r="T937" s="25"/>
      <c r="U937" s="25"/>
      <c r="V937" s="25"/>
      <c r="W937" s="25"/>
      <c r="X937" s="25"/>
      <c r="Y937" s="25"/>
      <c r="Z937" s="25"/>
      <c r="AA937" s="25"/>
      <c r="AB937" s="25"/>
      <c r="AC937" s="25"/>
      <c r="AD937" s="178"/>
    </row>
    <row r="938" spans="18:30" x14ac:dyDescent="0.25">
      <c r="R938" s="25"/>
      <c r="S938" s="25"/>
      <c r="T938" s="25"/>
      <c r="U938" s="25"/>
      <c r="V938" s="25"/>
      <c r="W938" s="25"/>
      <c r="X938" s="25"/>
      <c r="Y938" s="25"/>
      <c r="Z938" s="25"/>
      <c r="AA938" s="25"/>
      <c r="AB938" s="25"/>
      <c r="AC938" s="25"/>
      <c r="AD938" s="178"/>
    </row>
    <row r="939" spans="18:30" x14ac:dyDescent="0.25">
      <c r="R939" s="25"/>
      <c r="S939" s="25"/>
      <c r="T939" s="25"/>
      <c r="U939" s="25"/>
      <c r="V939" s="25"/>
      <c r="W939" s="25"/>
      <c r="X939" s="25"/>
      <c r="Y939" s="25"/>
      <c r="Z939" s="25"/>
      <c r="AA939" s="25"/>
      <c r="AB939" s="25"/>
      <c r="AC939" s="25"/>
      <c r="AD939" s="178"/>
    </row>
    <row r="940" spans="18:30" x14ac:dyDescent="0.25">
      <c r="R940" s="25"/>
      <c r="S940" s="25"/>
      <c r="T940" s="25"/>
      <c r="U940" s="25"/>
      <c r="V940" s="25"/>
      <c r="W940" s="25"/>
      <c r="X940" s="25"/>
      <c r="Y940" s="25"/>
      <c r="Z940" s="25"/>
      <c r="AA940" s="25"/>
      <c r="AB940" s="25"/>
      <c r="AC940" s="25"/>
      <c r="AD940" s="178"/>
    </row>
    <row r="941" spans="18:30" x14ac:dyDescent="0.25">
      <c r="R941" s="25"/>
      <c r="S941" s="25"/>
      <c r="T941" s="25"/>
      <c r="U941" s="25"/>
      <c r="V941" s="25"/>
      <c r="W941" s="25"/>
      <c r="X941" s="25"/>
      <c r="Y941" s="25"/>
      <c r="Z941" s="25"/>
      <c r="AA941" s="25"/>
      <c r="AB941" s="25"/>
      <c r="AC941" s="25"/>
      <c r="AD941" s="178"/>
    </row>
    <row r="942" spans="18:30" x14ac:dyDescent="0.25">
      <c r="R942" s="25"/>
      <c r="S942" s="25"/>
      <c r="T942" s="25"/>
      <c r="U942" s="25"/>
      <c r="V942" s="25"/>
      <c r="W942" s="25"/>
      <c r="X942" s="25"/>
      <c r="Y942" s="25"/>
      <c r="Z942" s="25"/>
      <c r="AA942" s="25"/>
      <c r="AB942" s="25"/>
      <c r="AC942" s="25"/>
      <c r="AD942" s="178"/>
    </row>
    <row r="943" spans="18:30" x14ac:dyDescent="0.25">
      <c r="R943" s="25"/>
      <c r="S943" s="25"/>
      <c r="T943" s="25"/>
      <c r="U943" s="25"/>
      <c r="V943" s="25"/>
      <c r="W943" s="25"/>
      <c r="X943" s="25"/>
      <c r="Y943" s="25"/>
      <c r="Z943" s="25"/>
      <c r="AA943" s="25"/>
      <c r="AB943" s="25"/>
      <c r="AC943" s="25"/>
      <c r="AD943" s="178"/>
    </row>
    <row r="944" spans="18:30" x14ac:dyDescent="0.25">
      <c r="R944" s="25"/>
      <c r="S944" s="25"/>
      <c r="T944" s="25"/>
      <c r="U944" s="25"/>
      <c r="V944" s="25"/>
      <c r="W944" s="25"/>
      <c r="X944" s="25"/>
      <c r="Y944" s="25"/>
      <c r="Z944" s="25"/>
      <c r="AA944" s="25"/>
      <c r="AB944" s="25"/>
      <c r="AC944" s="25"/>
      <c r="AD944" s="178"/>
    </row>
    <row r="945" spans="18:30" x14ac:dyDescent="0.25">
      <c r="R945" s="25"/>
      <c r="S945" s="25"/>
      <c r="T945" s="25"/>
      <c r="U945" s="25"/>
      <c r="V945" s="25"/>
      <c r="W945" s="25"/>
      <c r="X945" s="25"/>
      <c r="Y945" s="25"/>
      <c r="Z945" s="25"/>
      <c r="AA945" s="25"/>
      <c r="AB945" s="25"/>
      <c r="AC945" s="25"/>
      <c r="AD945" s="178"/>
    </row>
    <row r="946" spans="18:30" x14ac:dyDescent="0.25">
      <c r="R946" s="25"/>
      <c r="S946" s="25"/>
      <c r="T946" s="25"/>
      <c r="U946" s="25"/>
      <c r="V946" s="25"/>
      <c r="W946" s="25"/>
      <c r="X946" s="25"/>
      <c r="Y946" s="25"/>
      <c r="Z946" s="25"/>
      <c r="AA946" s="25"/>
      <c r="AB946" s="25"/>
      <c r="AC946" s="25"/>
      <c r="AD946" s="178"/>
    </row>
    <row r="947" spans="18:30" x14ac:dyDescent="0.25">
      <c r="R947" s="25"/>
      <c r="S947" s="25"/>
      <c r="T947" s="25"/>
      <c r="U947" s="25"/>
      <c r="V947" s="25"/>
      <c r="W947" s="25"/>
      <c r="X947" s="25"/>
      <c r="Y947" s="25"/>
      <c r="Z947" s="25"/>
      <c r="AA947" s="25"/>
      <c r="AB947" s="25"/>
      <c r="AC947" s="25"/>
      <c r="AD947" s="178"/>
    </row>
    <row r="948" spans="18:30" x14ac:dyDescent="0.25">
      <c r="R948" s="25"/>
      <c r="S948" s="25"/>
      <c r="T948" s="25"/>
      <c r="U948" s="25"/>
      <c r="V948" s="25"/>
      <c r="W948" s="25"/>
      <c r="X948" s="25"/>
      <c r="Y948" s="25"/>
      <c r="Z948" s="25"/>
      <c r="AA948" s="25"/>
      <c r="AB948" s="25"/>
      <c r="AC948" s="25"/>
      <c r="AD948" s="178"/>
    </row>
    <row r="949" spans="18:30" x14ac:dyDescent="0.25">
      <c r="R949" s="25"/>
      <c r="S949" s="25"/>
      <c r="T949" s="25"/>
      <c r="U949" s="25"/>
      <c r="V949" s="25"/>
      <c r="W949" s="25"/>
      <c r="X949" s="25"/>
      <c r="Y949" s="25"/>
      <c r="Z949" s="25"/>
      <c r="AA949" s="25"/>
      <c r="AB949" s="25"/>
      <c r="AC949" s="25"/>
      <c r="AD949" s="178"/>
    </row>
    <row r="950" spans="18:30" x14ac:dyDescent="0.25">
      <c r="R950" s="25"/>
      <c r="S950" s="25"/>
      <c r="T950" s="25"/>
      <c r="U950" s="25"/>
      <c r="V950" s="25"/>
      <c r="W950" s="25"/>
      <c r="X950" s="25"/>
      <c r="Y950" s="25"/>
      <c r="Z950" s="25"/>
      <c r="AA950" s="25"/>
      <c r="AB950" s="25"/>
      <c r="AC950" s="25"/>
      <c r="AD950" s="178"/>
    </row>
    <row r="951" spans="18:30" x14ac:dyDescent="0.25">
      <c r="R951" s="25"/>
      <c r="S951" s="25"/>
      <c r="T951" s="25"/>
      <c r="U951" s="25"/>
      <c r="V951" s="25"/>
      <c r="W951" s="25"/>
      <c r="X951" s="25"/>
      <c r="Y951" s="25"/>
      <c r="Z951" s="25"/>
      <c r="AA951" s="25"/>
      <c r="AB951" s="25"/>
      <c r="AC951" s="25"/>
      <c r="AD951" s="178"/>
    </row>
    <row r="952" spans="18:30" x14ac:dyDescent="0.25">
      <c r="R952" s="25"/>
      <c r="S952" s="25"/>
      <c r="T952" s="25"/>
      <c r="U952" s="25"/>
      <c r="V952" s="25"/>
      <c r="W952" s="25"/>
      <c r="X952" s="25"/>
      <c r="Y952" s="25"/>
      <c r="Z952" s="25"/>
      <c r="AA952" s="25"/>
      <c r="AB952" s="25"/>
      <c r="AC952" s="25"/>
      <c r="AD952" s="178"/>
    </row>
    <row r="953" spans="18:30" x14ac:dyDescent="0.25">
      <c r="R953" s="25"/>
      <c r="S953" s="25"/>
      <c r="T953" s="25"/>
      <c r="U953" s="25"/>
      <c r="V953" s="25"/>
      <c r="W953" s="25"/>
      <c r="X953" s="25"/>
      <c r="Y953" s="25"/>
      <c r="Z953" s="25"/>
      <c r="AA953" s="25"/>
      <c r="AB953" s="25"/>
      <c r="AC953" s="25"/>
      <c r="AD953" s="178"/>
    </row>
    <row r="954" spans="18:30" x14ac:dyDescent="0.25">
      <c r="R954" s="25"/>
      <c r="S954" s="25"/>
      <c r="T954" s="25"/>
      <c r="U954" s="25"/>
      <c r="V954" s="25"/>
      <c r="W954" s="25"/>
      <c r="X954" s="25"/>
      <c r="Y954" s="25"/>
      <c r="Z954" s="25"/>
      <c r="AA954" s="25"/>
      <c r="AB954" s="25"/>
      <c r="AC954" s="25"/>
      <c r="AD954" s="178"/>
    </row>
    <row r="955" spans="18:30" x14ac:dyDescent="0.25">
      <c r="R955" s="25"/>
      <c r="S955" s="25"/>
      <c r="T955" s="25"/>
      <c r="U955" s="25"/>
      <c r="V955" s="25"/>
      <c r="W955" s="25"/>
      <c r="X955" s="25"/>
      <c r="Y955" s="25"/>
      <c r="Z955" s="25"/>
      <c r="AA955" s="25"/>
      <c r="AB955" s="25"/>
      <c r="AC955" s="25"/>
      <c r="AD955" s="178"/>
    </row>
    <row r="956" spans="18:30" x14ac:dyDescent="0.25">
      <c r="R956" s="25"/>
      <c r="S956" s="25"/>
      <c r="T956" s="25"/>
      <c r="U956" s="25"/>
      <c r="V956" s="25"/>
      <c r="W956" s="25"/>
      <c r="X956" s="25"/>
      <c r="Y956" s="25"/>
      <c r="Z956" s="25"/>
      <c r="AA956" s="25"/>
      <c r="AB956" s="25"/>
      <c r="AC956" s="25"/>
      <c r="AD956" s="178"/>
    </row>
    <row r="957" spans="18:30" x14ac:dyDescent="0.25">
      <c r="R957" s="25"/>
      <c r="S957" s="25"/>
      <c r="T957" s="25"/>
      <c r="U957" s="25"/>
      <c r="V957" s="25"/>
      <c r="W957" s="25"/>
      <c r="X957" s="25"/>
      <c r="Y957" s="25"/>
      <c r="Z957" s="25"/>
      <c r="AA957" s="25"/>
      <c r="AB957" s="25"/>
      <c r="AC957" s="25"/>
      <c r="AD957" s="178"/>
    </row>
    <row r="958" spans="18:30" x14ac:dyDescent="0.25">
      <c r="R958" s="25"/>
      <c r="S958" s="25"/>
      <c r="T958" s="25"/>
      <c r="U958" s="25"/>
      <c r="V958" s="25"/>
      <c r="W958" s="25"/>
      <c r="X958" s="25"/>
      <c r="Y958" s="25"/>
      <c r="Z958" s="25"/>
      <c r="AA958" s="25"/>
      <c r="AB958" s="25"/>
      <c r="AC958" s="25"/>
      <c r="AD958" s="178"/>
    </row>
    <row r="959" spans="18:30" x14ac:dyDescent="0.25">
      <c r="R959" s="25"/>
      <c r="S959" s="25"/>
      <c r="T959" s="25"/>
      <c r="U959" s="25"/>
      <c r="V959" s="25"/>
      <c r="W959" s="25"/>
      <c r="X959" s="25"/>
      <c r="Y959" s="25"/>
      <c r="Z959" s="25"/>
      <c r="AA959" s="25"/>
      <c r="AB959" s="25"/>
      <c r="AC959" s="25"/>
      <c r="AD959" s="178"/>
    </row>
    <row r="960" spans="18:30" x14ac:dyDescent="0.25">
      <c r="R960" s="25"/>
      <c r="S960" s="25"/>
      <c r="T960" s="25"/>
      <c r="U960" s="25"/>
      <c r="V960" s="25"/>
      <c r="W960" s="25"/>
      <c r="X960" s="25"/>
      <c r="Y960" s="25"/>
      <c r="Z960" s="25"/>
      <c r="AA960" s="25"/>
      <c r="AB960" s="25"/>
      <c r="AC960" s="25"/>
      <c r="AD960" s="178"/>
    </row>
    <row r="961" spans="18:30" x14ac:dyDescent="0.25">
      <c r="R961" s="25"/>
      <c r="S961" s="25"/>
      <c r="T961" s="25"/>
      <c r="U961" s="25"/>
      <c r="V961" s="25"/>
      <c r="W961" s="25"/>
      <c r="X961" s="25"/>
      <c r="Y961" s="25"/>
      <c r="Z961" s="25"/>
      <c r="AA961" s="25"/>
      <c r="AB961" s="25"/>
      <c r="AC961" s="25"/>
      <c r="AD961" s="178"/>
    </row>
    <row r="962" spans="18:30" x14ac:dyDescent="0.25">
      <c r="R962" s="25"/>
      <c r="S962" s="25"/>
      <c r="T962" s="25"/>
      <c r="U962" s="25"/>
      <c r="V962" s="25"/>
      <c r="W962" s="25"/>
      <c r="X962" s="25"/>
      <c r="Y962" s="25"/>
      <c r="Z962" s="25"/>
      <c r="AA962" s="25"/>
      <c r="AB962" s="25"/>
      <c r="AC962" s="25"/>
      <c r="AD962" s="178"/>
    </row>
    <row r="963" spans="18:30" x14ac:dyDescent="0.25">
      <c r="R963" s="25"/>
      <c r="S963" s="25"/>
      <c r="T963" s="25"/>
      <c r="U963" s="25"/>
      <c r="V963" s="25"/>
      <c r="W963" s="25"/>
      <c r="X963" s="25"/>
      <c r="Y963" s="25"/>
      <c r="Z963" s="25"/>
      <c r="AA963" s="25"/>
      <c r="AB963" s="25"/>
      <c r="AC963" s="25"/>
      <c r="AD963" s="178"/>
    </row>
    <row r="964" spans="18:30" x14ac:dyDescent="0.25">
      <c r="R964" s="25"/>
      <c r="S964" s="25"/>
      <c r="T964" s="25"/>
      <c r="U964" s="25"/>
      <c r="V964" s="25"/>
      <c r="W964" s="25"/>
      <c r="X964" s="25"/>
      <c r="Y964" s="25"/>
      <c r="Z964" s="25"/>
      <c r="AA964" s="25"/>
      <c r="AB964" s="25"/>
      <c r="AC964" s="25"/>
      <c r="AD964" s="178"/>
    </row>
    <row r="965" spans="18:30" x14ac:dyDescent="0.25">
      <c r="R965" s="25"/>
      <c r="S965" s="25"/>
      <c r="T965" s="25"/>
      <c r="U965" s="25"/>
      <c r="V965" s="25"/>
      <c r="W965" s="25"/>
      <c r="X965" s="25"/>
      <c r="Y965" s="25"/>
      <c r="Z965" s="25"/>
      <c r="AA965" s="25"/>
      <c r="AB965" s="25"/>
      <c r="AC965" s="25"/>
      <c r="AD965" s="178"/>
    </row>
    <row r="966" spans="18:30" x14ac:dyDescent="0.25">
      <c r="R966" s="25"/>
      <c r="S966" s="25"/>
      <c r="T966" s="25"/>
      <c r="U966" s="25"/>
      <c r="V966" s="25"/>
      <c r="W966" s="25"/>
      <c r="X966" s="25"/>
      <c r="Y966" s="25"/>
      <c r="Z966" s="25"/>
      <c r="AA966" s="25"/>
      <c r="AB966" s="25"/>
      <c r="AC966" s="25"/>
      <c r="AD966" s="178"/>
    </row>
    <row r="967" spans="18:30" x14ac:dyDescent="0.25">
      <c r="R967" s="25"/>
      <c r="S967" s="25"/>
      <c r="T967" s="25"/>
      <c r="U967" s="25"/>
      <c r="V967" s="25"/>
      <c r="W967" s="25"/>
      <c r="X967" s="25"/>
      <c r="Y967" s="25"/>
      <c r="Z967" s="25"/>
      <c r="AA967" s="25"/>
      <c r="AB967" s="25"/>
      <c r="AC967" s="25"/>
      <c r="AD967" s="178"/>
    </row>
    <row r="968" spans="18:30" x14ac:dyDescent="0.25">
      <c r="R968" s="25"/>
      <c r="S968" s="25"/>
      <c r="T968" s="25"/>
      <c r="U968" s="25"/>
      <c r="V968" s="25"/>
      <c r="W968" s="25"/>
      <c r="X968" s="25"/>
      <c r="Y968" s="25"/>
      <c r="Z968" s="25"/>
      <c r="AA968" s="25"/>
      <c r="AB968" s="25"/>
      <c r="AC968" s="25"/>
      <c r="AD968" s="178"/>
    </row>
    <row r="969" spans="18:30" x14ac:dyDescent="0.25">
      <c r="R969" s="25"/>
      <c r="S969" s="25"/>
      <c r="T969" s="25"/>
      <c r="U969" s="25"/>
      <c r="V969" s="25"/>
      <c r="W969" s="25"/>
      <c r="X969" s="25"/>
      <c r="Y969" s="25"/>
      <c r="Z969" s="25"/>
      <c r="AA969" s="25"/>
      <c r="AB969" s="25"/>
      <c r="AC969" s="25"/>
      <c r="AD969" s="178"/>
    </row>
    <row r="970" spans="18:30" x14ac:dyDescent="0.25">
      <c r="R970" s="25"/>
      <c r="S970" s="25"/>
      <c r="T970" s="25"/>
      <c r="U970" s="25"/>
      <c r="V970" s="25"/>
      <c r="W970" s="25"/>
      <c r="X970" s="25"/>
      <c r="Y970" s="25"/>
      <c r="Z970" s="25"/>
      <c r="AA970" s="25"/>
      <c r="AB970" s="25"/>
      <c r="AC970" s="25"/>
      <c r="AD970" s="178"/>
    </row>
    <row r="971" spans="18:30" x14ac:dyDescent="0.25">
      <c r="R971" s="25"/>
      <c r="S971" s="25"/>
      <c r="T971" s="25"/>
      <c r="U971" s="25"/>
      <c r="V971" s="25"/>
      <c r="W971" s="25"/>
      <c r="X971" s="25"/>
      <c r="Y971" s="25"/>
      <c r="Z971" s="25"/>
      <c r="AA971" s="25"/>
      <c r="AB971" s="25"/>
      <c r="AC971" s="25"/>
      <c r="AD971" s="178"/>
    </row>
    <row r="972" spans="18:30" x14ac:dyDescent="0.25">
      <c r="R972" s="25"/>
      <c r="S972" s="25"/>
      <c r="T972" s="25"/>
      <c r="U972" s="25"/>
      <c r="V972" s="25"/>
      <c r="W972" s="25"/>
      <c r="X972" s="25"/>
      <c r="Y972" s="25"/>
      <c r="Z972" s="25"/>
      <c r="AA972" s="25"/>
      <c r="AB972" s="25"/>
      <c r="AC972" s="25"/>
      <c r="AD972" s="178"/>
    </row>
    <row r="973" spans="18:30" x14ac:dyDescent="0.25">
      <c r="R973" s="25"/>
      <c r="S973" s="25"/>
      <c r="T973" s="25"/>
      <c r="U973" s="25"/>
      <c r="V973" s="25"/>
      <c r="W973" s="25"/>
      <c r="X973" s="25"/>
      <c r="Y973" s="25"/>
      <c r="Z973" s="25"/>
      <c r="AA973" s="25"/>
      <c r="AB973" s="25"/>
      <c r="AC973" s="25"/>
      <c r="AD973" s="178"/>
    </row>
    <row r="974" spans="18:30" x14ac:dyDescent="0.25">
      <c r="R974" s="25"/>
      <c r="S974" s="25"/>
      <c r="T974" s="25"/>
      <c r="U974" s="25"/>
      <c r="V974" s="25"/>
      <c r="W974" s="25"/>
      <c r="X974" s="25"/>
      <c r="Y974" s="25"/>
      <c r="Z974" s="25"/>
      <c r="AA974" s="25"/>
      <c r="AB974" s="25"/>
      <c r="AC974" s="25"/>
      <c r="AD974" s="178"/>
    </row>
    <row r="975" spans="18:30" x14ac:dyDescent="0.25">
      <c r="R975" s="25"/>
      <c r="S975" s="25"/>
      <c r="T975" s="25"/>
      <c r="U975" s="25"/>
      <c r="V975" s="25"/>
      <c r="W975" s="25"/>
      <c r="X975" s="25"/>
      <c r="Y975" s="25"/>
      <c r="Z975" s="25"/>
      <c r="AA975" s="25"/>
      <c r="AB975" s="25"/>
      <c r="AC975" s="25"/>
      <c r="AD975" s="178"/>
    </row>
    <row r="976" spans="18:30" x14ac:dyDescent="0.25">
      <c r="R976" s="25"/>
      <c r="S976" s="25"/>
      <c r="T976" s="25"/>
      <c r="U976" s="25"/>
      <c r="V976" s="25"/>
      <c r="W976" s="25"/>
      <c r="X976" s="25"/>
      <c r="Y976" s="25"/>
      <c r="Z976" s="25"/>
      <c r="AA976" s="25"/>
      <c r="AB976" s="25"/>
      <c r="AC976" s="25"/>
      <c r="AD976" s="178"/>
    </row>
    <row r="977" spans="18:30" x14ac:dyDescent="0.25">
      <c r="R977" s="25"/>
      <c r="S977" s="25"/>
      <c r="T977" s="25"/>
      <c r="U977" s="25"/>
      <c r="V977" s="25"/>
      <c r="W977" s="25"/>
      <c r="X977" s="25"/>
      <c r="Y977" s="25"/>
      <c r="Z977" s="25"/>
      <c r="AA977" s="25"/>
      <c r="AB977" s="25"/>
      <c r="AC977" s="25"/>
      <c r="AD977" s="178"/>
    </row>
    <row r="978" spans="18:30" x14ac:dyDescent="0.25">
      <c r="R978" s="25"/>
      <c r="S978" s="25"/>
      <c r="T978" s="25"/>
      <c r="U978" s="25"/>
      <c r="V978" s="25"/>
      <c r="W978" s="25"/>
      <c r="X978" s="25"/>
      <c r="Y978" s="25"/>
      <c r="Z978" s="25"/>
      <c r="AA978" s="25"/>
      <c r="AB978" s="25"/>
      <c r="AC978" s="25"/>
      <c r="AD978" s="178"/>
    </row>
    <row r="979" spans="18:30" x14ac:dyDescent="0.25">
      <c r="R979" s="25"/>
      <c r="S979" s="25"/>
      <c r="T979" s="25"/>
      <c r="U979" s="25"/>
      <c r="V979" s="25"/>
      <c r="W979" s="25"/>
      <c r="X979" s="25"/>
      <c r="Y979" s="25"/>
      <c r="Z979" s="25"/>
      <c r="AA979" s="25"/>
      <c r="AB979" s="25"/>
      <c r="AC979" s="25"/>
      <c r="AD979" s="178"/>
    </row>
    <row r="980" spans="18:30" x14ac:dyDescent="0.25">
      <c r="R980" s="25"/>
      <c r="S980" s="25"/>
      <c r="T980" s="25"/>
      <c r="U980" s="25"/>
      <c r="V980" s="25"/>
      <c r="W980" s="25"/>
      <c r="X980" s="25"/>
      <c r="Y980" s="25"/>
      <c r="Z980" s="25"/>
      <c r="AA980" s="25"/>
      <c r="AB980" s="25"/>
      <c r="AC980" s="25"/>
      <c r="AD980" s="178"/>
    </row>
    <row r="981" spans="18:30" x14ac:dyDescent="0.25">
      <c r="R981" s="25"/>
      <c r="S981" s="25"/>
      <c r="T981" s="25"/>
      <c r="U981" s="25"/>
      <c r="V981" s="25"/>
      <c r="W981" s="25"/>
      <c r="X981" s="25"/>
      <c r="Y981" s="25"/>
      <c r="Z981" s="25"/>
      <c r="AA981" s="25"/>
      <c r="AB981" s="25"/>
      <c r="AC981" s="25"/>
      <c r="AD981" s="178"/>
    </row>
    <row r="982" spans="18:30" x14ac:dyDescent="0.25">
      <c r="R982" s="25"/>
      <c r="S982" s="25"/>
      <c r="T982" s="25"/>
      <c r="U982" s="25"/>
      <c r="V982" s="25"/>
      <c r="W982" s="25"/>
      <c r="X982" s="25"/>
      <c r="Y982" s="25"/>
      <c r="Z982" s="25"/>
      <c r="AA982" s="25"/>
      <c r="AB982" s="25"/>
      <c r="AC982" s="25"/>
      <c r="AD982" s="178"/>
    </row>
    <row r="983" spans="18:30" x14ac:dyDescent="0.25">
      <c r="R983" s="25"/>
      <c r="S983" s="25"/>
      <c r="T983" s="25"/>
      <c r="U983" s="25"/>
      <c r="V983" s="25"/>
      <c r="W983" s="25"/>
      <c r="X983" s="25"/>
      <c r="Y983" s="25"/>
      <c r="Z983" s="25"/>
      <c r="AA983" s="25"/>
      <c r="AB983" s="25"/>
      <c r="AC983" s="25"/>
      <c r="AD983" s="178"/>
    </row>
    <row r="984" spans="18:30" x14ac:dyDescent="0.25">
      <c r="R984" s="25"/>
      <c r="S984" s="25"/>
      <c r="T984" s="25"/>
      <c r="U984" s="25"/>
      <c r="V984" s="25"/>
      <c r="W984" s="25"/>
      <c r="X984" s="25"/>
      <c r="Y984" s="25"/>
      <c r="Z984" s="25"/>
      <c r="AA984" s="25"/>
      <c r="AB984" s="25"/>
      <c r="AC984" s="25"/>
      <c r="AD984" s="178"/>
    </row>
    <row r="985" spans="18:30" x14ac:dyDescent="0.25">
      <c r="R985" s="25"/>
      <c r="S985" s="25"/>
      <c r="T985" s="25"/>
      <c r="U985" s="25"/>
      <c r="V985" s="25"/>
      <c r="W985" s="25"/>
      <c r="X985" s="25"/>
      <c r="Y985" s="25"/>
      <c r="Z985" s="25"/>
      <c r="AA985" s="25"/>
      <c r="AB985" s="25"/>
      <c r="AC985" s="25"/>
      <c r="AD985" s="178"/>
    </row>
    <row r="986" spans="18:30" x14ac:dyDescent="0.25">
      <c r="R986" s="25"/>
      <c r="S986" s="25"/>
      <c r="T986" s="25"/>
      <c r="U986" s="25"/>
      <c r="V986" s="25"/>
      <c r="W986" s="25"/>
      <c r="X986" s="25"/>
      <c r="Y986" s="25"/>
      <c r="Z986" s="25"/>
      <c r="AA986" s="25"/>
      <c r="AB986" s="25"/>
      <c r="AC986" s="25"/>
      <c r="AD986" s="178"/>
    </row>
    <row r="987" spans="18:30" x14ac:dyDescent="0.25">
      <c r="R987" s="25"/>
      <c r="S987" s="25"/>
      <c r="T987" s="25"/>
      <c r="U987" s="25"/>
      <c r="V987" s="25"/>
      <c r="W987" s="25"/>
      <c r="X987" s="25"/>
      <c r="Y987" s="25"/>
      <c r="Z987" s="25"/>
      <c r="AA987" s="25"/>
      <c r="AB987" s="25"/>
      <c r="AC987" s="25"/>
      <c r="AD987" s="178"/>
    </row>
    <row r="988" spans="18:30" x14ac:dyDescent="0.25">
      <c r="R988" s="25"/>
      <c r="S988" s="25"/>
      <c r="T988" s="25"/>
      <c r="U988" s="25"/>
      <c r="V988" s="25"/>
      <c r="W988" s="25"/>
      <c r="X988" s="25"/>
      <c r="Y988" s="25"/>
      <c r="Z988" s="25"/>
      <c r="AA988" s="25"/>
      <c r="AB988" s="25"/>
      <c r="AC988" s="25"/>
      <c r="AD988" s="178"/>
    </row>
    <row r="989" spans="18:30" x14ac:dyDescent="0.25">
      <c r="R989" s="25"/>
      <c r="S989" s="25"/>
      <c r="T989" s="25"/>
      <c r="U989" s="25"/>
      <c r="V989" s="25"/>
      <c r="W989" s="25"/>
      <c r="X989" s="25"/>
      <c r="Y989" s="25"/>
      <c r="Z989" s="25"/>
      <c r="AA989" s="25"/>
      <c r="AB989" s="25"/>
      <c r="AC989" s="25"/>
      <c r="AD989" s="178"/>
    </row>
    <row r="990" spans="18:30" x14ac:dyDescent="0.25">
      <c r="R990" s="25"/>
      <c r="S990" s="25"/>
      <c r="T990" s="25"/>
      <c r="U990" s="25"/>
      <c r="V990" s="25"/>
      <c r="W990" s="25"/>
      <c r="X990" s="25"/>
      <c r="Y990" s="25"/>
      <c r="Z990" s="25"/>
      <c r="AA990" s="25"/>
      <c r="AB990" s="25"/>
      <c r="AC990" s="25"/>
      <c r="AD990" s="178"/>
    </row>
    <row r="991" spans="18:30" x14ac:dyDescent="0.25">
      <c r="R991" s="25"/>
      <c r="S991" s="25"/>
      <c r="T991" s="25"/>
      <c r="U991" s="25"/>
      <c r="V991" s="25"/>
      <c r="W991" s="25"/>
      <c r="X991" s="25"/>
      <c r="Y991" s="25"/>
      <c r="Z991" s="25"/>
      <c r="AA991" s="25"/>
      <c r="AB991" s="25"/>
      <c r="AC991" s="25"/>
      <c r="AD991" s="178"/>
    </row>
    <row r="992" spans="18:30" x14ac:dyDescent="0.25">
      <c r="R992" s="25"/>
      <c r="S992" s="25"/>
      <c r="T992" s="25"/>
      <c r="U992" s="25"/>
      <c r="V992" s="25"/>
      <c r="W992" s="25"/>
      <c r="X992" s="25"/>
      <c r="Y992" s="25"/>
      <c r="Z992" s="25"/>
      <c r="AA992" s="25"/>
      <c r="AB992" s="25"/>
      <c r="AC992" s="25"/>
      <c r="AD992" s="178"/>
    </row>
    <row r="993" spans="18:30" x14ac:dyDescent="0.25">
      <c r="R993" s="25"/>
      <c r="S993" s="25"/>
      <c r="T993" s="25"/>
      <c r="U993" s="25"/>
      <c r="V993" s="25"/>
      <c r="W993" s="25"/>
      <c r="X993" s="25"/>
      <c r="Y993" s="25"/>
      <c r="Z993" s="25"/>
      <c r="AA993" s="25"/>
      <c r="AB993" s="25"/>
      <c r="AC993" s="25"/>
      <c r="AD993" s="178"/>
    </row>
    <row r="994" spans="18:30" x14ac:dyDescent="0.25">
      <c r="R994" s="25"/>
      <c r="S994" s="25"/>
      <c r="T994" s="25"/>
      <c r="U994" s="25"/>
      <c r="V994" s="25"/>
      <c r="W994" s="25"/>
      <c r="X994" s="25"/>
      <c r="Y994" s="25"/>
      <c r="Z994" s="25"/>
      <c r="AA994" s="25"/>
      <c r="AB994" s="25"/>
      <c r="AC994" s="25"/>
      <c r="AD994" s="178"/>
    </row>
    <row r="995" spans="18:30" x14ac:dyDescent="0.25">
      <c r="R995" s="25"/>
      <c r="S995" s="25"/>
      <c r="T995" s="25"/>
      <c r="U995" s="25"/>
      <c r="V995" s="25"/>
      <c r="W995" s="25"/>
      <c r="X995" s="25"/>
      <c r="Y995" s="25"/>
      <c r="Z995" s="25"/>
      <c r="AA995" s="25"/>
      <c r="AB995" s="25"/>
      <c r="AC995" s="25"/>
      <c r="AD995" s="178"/>
    </row>
    <row r="996" spans="18:30" x14ac:dyDescent="0.25">
      <c r="R996" s="25"/>
      <c r="S996" s="25"/>
      <c r="T996" s="25"/>
      <c r="U996" s="25"/>
      <c r="V996" s="25"/>
      <c r="W996" s="25"/>
      <c r="X996" s="25"/>
      <c r="Y996" s="25"/>
      <c r="Z996" s="25"/>
      <c r="AA996" s="25"/>
      <c r="AB996" s="25"/>
      <c r="AC996" s="25"/>
      <c r="AD996" s="178"/>
    </row>
    <row r="997" spans="18:30" x14ac:dyDescent="0.25">
      <c r="R997" s="25"/>
      <c r="S997" s="25"/>
      <c r="T997" s="25"/>
      <c r="U997" s="25"/>
      <c r="V997" s="25"/>
      <c r="W997" s="25"/>
      <c r="X997" s="25"/>
      <c r="Y997" s="25"/>
      <c r="Z997" s="25"/>
      <c r="AA997" s="25"/>
      <c r="AB997" s="25"/>
      <c r="AC997" s="25"/>
      <c r="AD997" s="178"/>
    </row>
    <row r="998" spans="18:30" x14ac:dyDescent="0.25">
      <c r="R998" s="25"/>
      <c r="S998" s="25"/>
      <c r="T998" s="25"/>
      <c r="U998" s="25"/>
      <c r="V998" s="25"/>
      <c r="W998" s="25"/>
      <c r="X998" s="25"/>
      <c r="Y998" s="25"/>
      <c r="Z998" s="25"/>
      <c r="AA998" s="25"/>
      <c r="AB998" s="25"/>
      <c r="AC998" s="25"/>
      <c r="AD998" s="178"/>
    </row>
    <row r="999" spans="18:30" x14ac:dyDescent="0.25">
      <c r="R999" s="25"/>
      <c r="S999" s="25"/>
      <c r="T999" s="25"/>
      <c r="U999" s="25"/>
      <c r="V999" s="25"/>
      <c r="W999" s="25"/>
      <c r="X999" s="25"/>
      <c r="Y999" s="25"/>
      <c r="Z999" s="25"/>
      <c r="AA999" s="25"/>
      <c r="AB999" s="25"/>
      <c r="AC999" s="25"/>
      <c r="AD999" s="178"/>
    </row>
    <row r="1000" spans="18:30" x14ac:dyDescent="0.25">
      <c r="R1000" s="25"/>
      <c r="S1000" s="25"/>
      <c r="T1000" s="25"/>
      <c r="U1000" s="25"/>
      <c r="V1000" s="25"/>
      <c r="W1000" s="25"/>
      <c r="X1000" s="25"/>
      <c r="Y1000" s="25"/>
      <c r="Z1000" s="25"/>
      <c r="AA1000" s="25"/>
      <c r="AB1000" s="25"/>
      <c r="AC1000" s="25"/>
      <c r="AD1000" s="178"/>
    </row>
    <row r="1001" spans="18:30" x14ac:dyDescent="0.25">
      <c r="R1001" s="25"/>
      <c r="S1001" s="25"/>
      <c r="T1001" s="25"/>
      <c r="U1001" s="25"/>
      <c r="V1001" s="25"/>
      <c r="W1001" s="25"/>
      <c r="X1001" s="25"/>
      <c r="Y1001" s="25"/>
      <c r="Z1001" s="25"/>
      <c r="AA1001" s="25"/>
      <c r="AB1001" s="25"/>
      <c r="AC1001" s="25"/>
      <c r="AD1001" s="178"/>
    </row>
    <row r="1002" spans="18:30" x14ac:dyDescent="0.25">
      <c r="R1002" s="25"/>
      <c r="S1002" s="25"/>
      <c r="T1002" s="25"/>
      <c r="U1002" s="25"/>
      <c r="V1002" s="25"/>
      <c r="W1002" s="25"/>
      <c r="X1002" s="25"/>
      <c r="Y1002" s="25"/>
      <c r="Z1002" s="25"/>
      <c r="AA1002" s="25"/>
      <c r="AB1002" s="25"/>
      <c r="AC1002" s="25"/>
      <c r="AD1002" s="178"/>
    </row>
    <row r="1003" spans="18:30" x14ac:dyDescent="0.25">
      <c r="R1003" s="25"/>
      <c r="S1003" s="25"/>
      <c r="T1003" s="25"/>
      <c r="U1003" s="25"/>
      <c r="V1003" s="25"/>
      <c r="W1003" s="25"/>
      <c r="X1003" s="25"/>
      <c r="Y1003" s="25"/>
      <c r="Z1003" s="25"/>
      <c r="AA1003" s="25"/>
      <c r="AB1003" s="25"/>
      <c r="AC1003" s="25"/>
      <c r="AD1003" s="178"/>
    </row>
    <row r="1004" spans="18:30" x14ac:dyDescent="0.25">
      <c r="R1004" s="25"/>
      <c r="S1004" s="25"/>
      <c r="T1004" s="25"/>
      <c r="U1004" s="25"/>
      <c r="V1004" s="25"/>
      <c r="W1004" s="25"/>
      <c r="X1004" s="25"/>
      <c r="Y1004" s="25"/>
      <c r="Z1004" s="25"/>
      <c r="AA1004" s="25"/>
      <c r="AB1004" s="25"/>
      <c r="AC1004" s="25"/>
      <c r="AD1004" s="178"/>
    </row>
    <row r="1005" spans="18:30" x14ac:dyDescent="0.25">
      <c r="R1005" s="25"/>
      <c r="S1005" s="25"/>
      <c r="T1005" s="25"/>
      <c r="U1005" s="25"/>
      <c r="V1005" s="25"/>
      <c r="W1005" s="25"/>
      <c r="X1005" s="25"/>
      <c r="Y1005" s="25"/>
      <c r="Z1005" s="25"/>
      <c r="AA1005" s="25"/>
      <c r="AB1005" s="25"/>
      <c r="AC1005" s="25"/>
      <c r="AD1005" s="178"/>
    </row>
    <row r="1006" spans="18:30" x14ac:dyDescent="0.25">
      <c r="R1006" s="25"/>
      <c r="S1006" s="25"/>
      <c r="T1006" s="25"/>
      <c r="U1006" s="25"/>
      <c r="V1006" s="25"/>
      <c r="W1006" s="25"/>
      <c r="X1006" s="25"/>
      <c r="Y1006" s="25"/>
      <c r="Z1006" s="25"/>
      <c r="AA1006" s="25"/>
      <c r="AB1006" s="25"/>
      <c r="AC1006" s="25"/>
      <c r="AD1006" s="178"/>
    </row>
    <row r="1007" spans="18:30" x14ac:dyDescent="0.25">
      <c r="R1007" s="25"/>
      <c r="S1007" s="25"/>
      <c r="T1007" s="25"/>
      <c r="U1007" s="25"/>
      <c r="V1007" s="25"/>
      <c r="W1007" s="25"/>
      <c r="X1007" s="25"/>
      <c r="Y1007" s="25"/>
      <c r="Z1007" s="25"/>
      <c r="AA1007" s="25"/>
      <c r="AB1007" s="25"/>
      <c r="AC1007" s="25"/>
      <c r="AD1007" s="178"/>
    </row>
    <row r="1008" spans="18:30" x14ac:dyDescent="0.25">
      <c r="R1008" s="25"/>
      <c r="S1008" s="25"/>
      <c r="T1008" s="25"/>
      <c r="U1008" s="25"/>
      <c r="V1008" s="25"/>
      <c r="W1008" s="25"/>
      <c r="X1008" s="25"/>
      <c r="Y1008" s="25"/>
      <c r="Z1008" s="25"/>
      <c r="AA1008" s="25"/>
      <c r="AB1008" s="25"/>
      <c r="AC1008" s="25"/>
      <c r="AD1008" s="178"/>
    </row>
    <row r="1009" spans="18:30" x14ac:dyDescent="0.25">
      <c r="R1009" s="25"/>
      <c r="S1009" s="25"/>
      <c r="T1009" s="25"/>
      <c r="U1009" s="25"/>
      <c r="V1009" s="25"/>
      <c r="W1009" s="25"/>
      <c r="X1009" s="25"/>
      <c r="Y1009" s="25"/>
      <c r="Z1009" s="25"/>
      <c r="AA1009" s="25"/>
      <c r="AB1009" s="25"/>
      <c r="AC1009" s="25"/>
      <c r="AD1009" s="178"/>
    </row>
    <row r="1010" spans="18:30" x14ac:dyDescent="0.25">
      <c r="R1010" s="25"/>
      <c r="S1010" s="25"/>
      <c r="T1010" s="25"/>
      <c r="U1010" s="25"/>
      <c r="V1010" s="25"/>
      <c r="W1010" s="25"/>
      <c r="X1010" s="25"/>
      <c r="Y1010" s="25"/>
      <c r="Z1010" s="25"/>
      <c r="AA1010" s="25"/>
      <c r="AB1010" s="25"/>
      <c r="AC1010" s="25"/>
      <c r="AD1010" s="178"/>
    </row>
    <row r="1011" spans="18:30" x14ac:dyDescent="0.25">
      <c r="R1011" s="25"/>
      <c r="S1011" s="25"/>
      <c r="T1011" s="25"/>
      <c r="U1011" s="25"/>
      <c r="V1011" s="25"/>
      <c r="W1011" s="25"/>
      <c r="X1011" s="25"/>
      <c r="Y1011" s="25"/>
      <c r="Z1011" s="25"/>
      <c r="AA1011" s="25"/>
      <c r="AB1011" s="25"/>
      <c r="AC1011" s="25"/>
      <c r="AD1011" s="178"/>
    </row>
    <row r="1012" spans="18:30" x14ac:dyDescent="0.25">
      <c r="R1012" s="25"/>
      <c r="S1012" s="25"/>
      <c r="T1012" s="25"/>
      <c r="U1012" s="25"/>
      <c r="V1012" s="25"/>
      <c r="W1012" s="25"/>
      <c r="X1012" s="25"/>
      <c r="Y1012" s="25"/>
      <c r="Z1012" s="25"/>
      <c r="AA1012" s="25"/>
      <c r="AB1012" s="25"/>
      <c r="AC1012" s="25"/>
      <c r="AD1012" s="178"/>
    </row>
    <row r="1013" spans="18:30" x14ac:dyDescent="0.25">
      <c r="R1013" s="25"/>
      <c r="S1013" s="25"/>
      <c r="T1013" s="25"/>
      <c r="U1013" s="25"/>
      <c r="V1013" s="25"/>
      <c r="W1013" s="25"/>
      <c r="X1013" s="25"/>
      <c r="Y1013" s="25"/>
      <c r="Z1013" s="25"/>
      <c r="AA1013" s="25"/>
      <c r="AB1013" s="25"/>
      <c r="AC1013" s="25"/>
      <c r="AD1013" s="178"/>
    </row>
    <row r="1014" spans="18:30" x14ac:dyDescent="0.25">
      <c r="R1014" s="25"/>
      <c r="S1014" s="25"/>
      <c r="T1014" s="25"/>
      <c r="U1014" s="25"/>
      <c r="V1014" s="25"/>
      <c r="W1014" s="25"/>
      <c r="X1014" s="25"/>
      <c r="Y1014" s="25"/>
      <c r="Z1014" s="25"/>
      <c r="AA1014" s="25"/>
      <c r="AB1014" s="25"/>
      <c r="AC1014" s="25"/>
      <c r="AD1014" s="178"/>
    </row>
    <row r="1015" spans="18:30" x14ac:dyDescent="0.25">
      <c r="R1015" s="25"/>
      <c r="S1015" s="25"/>
      <c r="T1015" s="25"/>
      <c r="U1015" s="25"/>
      <c r="V1015" s="25"/>
      <c r="W1015" s="25"/>
      <c r="X1015" s="25"/>
      <c r="Y1015" s="25"/>
      <c r="Z1015" s="25"/>
      <c r="AA1015" s="25"/>
      <c r="AB1015" s="25"/>
      <c r="AC1015" s="25"/>
      <c r="AD1015" s="178"/>
    </row>
    <row r="1016" spans="18:30" x14ac:dyDescent="0.25">
      <c r="R1016" s="25"/>
      <c r="S1016" s="25"/>
      <c r="T1016" s="25"/>
      <c r="U1016" s="25"/>
      <c r="V1016" s="25"/>
      <c r="W1016" s="25"/>
      <c r="X1016" s="25"/>
      <c r="Y1016" s="25"/>
      <c r="Z1016" s="25"/>
      <c r="AA1016" s="25"/>
      <c r="AB1016" s="25"/>
      <c r="AC1016" s="25"/>
      <c r="AD1016" s="178"/>
    </row>
    <row r="1017" spans="18:30" x14ac:dyDescent="0.25">
      <c r="R1017" s="25"/>
      <c r="S1017" s="25"/>
      <c r="T1017" s="25"/>
      <c r="U1017" s="25"/>
      <c r="V1017" s="25"/>
      <c r="W1017" s="25"/>
      <c r="X1017" s="25"/>
      <c r="Y1017" s="25"/>
      <c r="Z1017" s="25"/>
      <c r="AA1017" s="25"/>
      <c r="AB1017" s="25"/>
      <c r="AC1017" s="25"/>
      <c r="AD1017" s="178"/>
    </row>
    <row r="1018" spans="18:30" x14ac:dyDescent="0.25">
      <c r="R1018" s="25"/>
      <c r="S1018" s="25"/>
      <c r="T1018" s="25"/>
      <c r="U1018" s="25"/>
      <c r="V1018" s="25"/>
      <c r="W1018" s="25"/>
      <c r="X1018" s="25"/>
      <c r="Y1018" s="25"/>
      <c r="Z1018" s="25"/>
      <c r="AA1018" s="25"/>
      <c r="AB1018" s="25"/>
      <c r="AC1018" s="25"/>
      <c r="AD1018" s="178"/>
    </row>
    <row r="1019" spans="18:30" x14ac:dyDescent="0.25">
      <c r="R1019" s="25"/>
      <c r="S1019" s="25"/>
      <c r="T1019" s="25"/>
      <c r="U1019" s="25"/>
      <c r="V1019" s="25"/>
      <c r="W1019" s="25"/>
      <c r="X1019" s="25"/>
      <c r="Y1019" s="25"/>
      <c r="Z1019" s="25"/>
      <c r="AA1019" s="25"/>
      <c r="AB1019" s="25"/>
      <c r="AC1019" s="25"/>
      <c r="AD1019" s="178"/>
    </row>
    <row r="1020" spans="18:30" x14ac:dyDescent="0.25">
      <c r="R1020" s="25"/>
      <c r="S1020" s="25"/>
      <c r="T1020" s="25"/>
      <c r="U1020" s="25"/>
      <c r="V1020" s="25"/>
      <c r="W1020" s="25"/>
      <c r="X1020" s="25"/>
      <c r="Y1020" s="25"/>
      <c r="Z1020" s="25"/>
      <c r="AA1020" s="25"/>
      <c r="AB1020" s="25"/>
      <c r="AC1020" s="25"/>
      <c r="AD1020" s="178"/>
    </row>
    <row r="1021" spans="18:30" x14ac:dyDescent="0.25">
      <c r="R1021" s="25"/>
      <c r="S1021" s="25"/>
      <c r="T1021" s="25"/>
      <c r="U1021" s="25"/>
      <c r="V1021" s="25"/>
      <c r="W1021" s="25"/>
      <c r="X1021" s="25"/>
      <c r="Y1021" s="25"/>
      <c r="Z1021" s="25"/>
      <c r="AA1021" s="25"/>
      <c r="AB1021" s="25"/>
      <c r="AC1021" s="25"/>
      <c r="AD1021" s="178"/>
    </row>
    <row r="1022" spans="18:30" x14ac:dyDescent="0.25">
      <c r="R1022" s="25"/>
      <c r="S1022" s="25"/>
      <c r="T1022" s="25"/>
      <c r="U1022" s="25"/>
      <c r="V1022" s="25"/>
      <c r="W1022" s="25"/>
      <c r="X1022" s="25"/>
      <c r="Y1022" s="25"/>
      <c r="Z1022" s="25"/>
      <c r="AA1022" s="25"/>
      <c r="AB1022" s="25"/>
      <c r="AC1022" s="25"/>
      <c r="AD1022" s="178"/>
    </row>
    <row r="1023" spans="18:30" x14ac:dyDescent="0.25">
      <c r="R1023" s="25"/>
      <c r="S1023" s="25"/>
      <c r="T1023" s="25"/>
      <c r="U1023" s="25"/>
      <c r="V1023" s="25"/>
      <c r="W1023" s="25"/>
      <c r="X1023" s="25"/>
      <c r="Y1023" s="25"/>
      <c r="Z1023" s="25"/>
      <c r="AA1023" s="25"/>
      <c r="AB1023" s="25"/>
      <c r="AC1023" s="25"/>
      <c r="AD1023" s="178"/>
    </row>
    <row r="1024" spans="18:30" x14ac:dyDescent="0.25">
      <c r="R1024" s="25"/>
      <c r="S1024" s="25"/>
      <c r="T1024" s="25"/>
      <c r="U1024" s="25"/>
      <c r="V1024" s="25"/>
      <c r="W1024" s="25"/>
      <c r="X1024" s="25"/>
      <c r="Y1024" s="25"/>
      <c r="Z1024" s="25"/>
      <c r="AA1024" s="25"/>
      <c r="AB1024" s="25"/>
      <c r="AC1024" s="25"/>
      <c r="AD1024" s="178"/>
    </row>
    <row r="1025" spans="18:30" x14ac:dyDescent="0.25">
      <c r="R1025" s="25"/>
      <c r="S1025" s="25"/>
      <c r="T1025" s="25"/>
      <c r="U1025" s="25"/>
      <c r="V1025" s="25"/>
      <c r="W1025" s="25"/>
      <c r="X1025" s="25"/>
      <c r="Y1025" s="25"/>
      <c r="Z1025" s="25"/>
      <c r="AA1025" s="25"/>
      <c r="AB1025" s="25"/>
      <c r="AC1025" s="25"/>
      <c r="AD1025" s="178"/>
    </row>
    <row r="1026" spans="18:30" x14ac:dyDescent="0.25">
      <c r="R1026" s="25"/>
      <c r="S1026" s="25"/>
      <c r="T1026" s="25"/>
      <c r="U1026" s="25"/>
      <c r="V1026" s="25"/>
      <c r="W1026" s="25"/>
      <c r="X1026" s="25"/>
      <c r="Y1026" s="25"/>
      <c r="Z1026" s="25"/>
      <c r="AA1026" s="25"/>
      <c r="AB1026" s="25"/>
      <c r="AC1026" s="25"/>
      <c r="AD1026" s="178"/>
    </row>
    <row r="1027" spans="18:30" x14ac:dyDescent="0.25">
      <c r="R1027" s="25"/>
      <c r="S1027" s="25"/>
      <c r="T1027" s="25"/>
      <c r="U1027" s="25"/>
      <c r="V1027" s="25"/>
      <c r="W1027" s="25"/>
      <c r="X1027" s="25"/>
      <c r="Y1027" s="25"/>
      <c r="Z1027" s="25"/>
      <c r="AA1027" s="25"/>
      <c r="AB1027" s="25"/>
      <c r="AC1027" s="25"/>
      <c r="AD1027" s="178"/>
    </row>
    <row r="1028" spans="18:30" x14ac:dyDescent="0.25">
      <c r="R1028" s="25"/>
      <c r="S1028" s="25"/>
      <c r="T1028" s="25"/>
      <c r="U1028" s="25"/>
      <c r="V1028" s="25"/>
      <c r="W1028" s="25"/>
      <c r="X1028" s="25"/>
      <c r="Y1028" s="25"/>
      <c r="Z1028" s="25"/>
      <c r="AA1028" s="25"/>
      <c r="AB1028" s="25"/>
      <c r="AC1028" s="25"/>
      <c r="AD1028" s="178"/>
    </row>
    <row r="1029" spans="18:30" x14ac:dyDescent="0.25">
      <c r="R1029" s="25"/>
      <c r="S1029" s="25"/>
      <c r="T1029" s="25"/>
      <c r="U1029" s="25"/>
      <c r="V1029" s="25"/>
      <c r="W1029" s="25"/>
      <c r="X1029" s="25"/>
      <c r="Y1029" s="25"/>
      <c r="Z1029" s="25"/>
      <c r="AA1029" s="25"/>
      <c r="AB1029" s="25"/>
      <c r="AC1029" s="25"/>
      <c r="AD1029" s="178"/>
    </row>
    <row r="1030" spans="18:30" x14ac:dyDescent="0.25">
      <c r="R1030" s="25"/>
      <c r="S1030" s="25"/>
      <c r="T1030" s="25"/>
      <c r="U1030" s="25"/>
      <c r="V1030" s="25"/>
      <c r="W1030" s="25"/>
      <c r="X1030" s="25"/>
      <c r="Y1030" s="25"/>
      <c r="Z1030" s="25"/>
      <c r="AA1030" s="25"/>
      <c r="AB1030" s="25"/>
      <c r="AC1030" s="25"/>
      <c r="AD1030" s="178"/>
    </row>
    <row r="1031" spans="18:30" x14ac:dyDescent="0.25">
      <c r="R1031" s="25"/>
      <c r="S1031" s="25"/>
      <c r="T1031" s="25"/>
      <c r="U1031" s="25"/>
      <c r="V1031" s="25"/>
      <c r="W1031" s="25"/>
      <c r="X1031" s="25"/>
      <c r="Y1031" s="25"/>
      <c r="Z1031" s="25"/>
      <c r="AA1031" s="25"/>
      <c r="AB1031" s="25"/>
      <c r="AC1031" s="25"/>
      <c r="AD1031" s="178"/>
    </row>
    <row r="1032" spans="18:30" x14ac:dyDescent="0.25">
      <c r="R1032" s="25"/>
      <c r="S1032" s="25"/>
      <c r="T1032" s="25"/>
      <c r="U1032" s="25"/>
      <c r="V1032" s="25"/>
      <c r="W1032" s="25"/>
      <c r="X1032" s="25"/>
      <c r="Y1032" s="25"/>
      <c r="Z1032" s="25"/>
      <c r="AA1032" s="25"/>
      <c r="AB1032" s="25"/>
      <c r="AC1032" s="25"/>
      <c r="AD1032" s="178"/>
    </row>
    <row r="1033" spans="18:30" x14ac:dyDescent="0.25">
      <c r="R1033" s="25"/>
      <c r="S1033" s="25"/>
      <c r="T1033" s="25"/>
      <c r="U1033" s="25"/>
      <c r="V1033" s="25"/>
      <c r="W1033" s="25"/>
      <c r="X1033" s="25"/>
      <c r="Y1033" s="25"/>
      <c r="Z1033" s="25"/>
      <c r="AA1033" s="25"/>
      <c r="AB1033" s="25"/>
      <c r="AC1033" s="25"/>
      <c r="AD1033" s="178"/>
    </row>
    <row r="1034" spans="18:30" x14ac:dyDescent="0.25">
      <c r="R1034" s="25"/>
      <c r="S1034" s="25"/>
      <c r="T1034" s="25"/>
      <c r="U1034" s="25"/>
      <c r="V1034" s="25"/>
      <c r="W1034" s="25"/>
      <c r="X1034" s="25"/>
      <c r="Y1034" s="25"/>
      <c r="Z1034" s="25"/>
      <c r="AA1034" s="25"/>
      <c r="AB1034" s="25"/>
      <c r="AC1034" s="25"/>
      <c r="AD1034" s="178"/>
    </row>
    <row r="1035" spans="18:30" x14ac:dyDescent="0.25">
      <c r="R1035" s="25"/>
      <c r="S1035" s="25"/>
      <c r="T1035" s="25"/>
      <c r="U1035" s="25"/>
      <c r="V1035" s="25"/>
      <c r="W1035" s="25"/>
      <c r="X1035" s="25"/>
      <c r="Y1035" s="25"/>
      <c r="Z1035" s="25"/>
      <c r="AA1035" s="25"/>
      <c r="AB1035" s="25"/>
      <c r="AC1035" s="25"/>
      <c r="AD1035" s="178"/>
    </row>
    <row r="1036" spans="18:30" x14ac:dyDescent="0.25">
      <c r="R1036" s="25"/>
      <c r="S1036" s="25"/>
      <c r="T1036" s="25"/>
      <c r="U1036" s="25"/>
      <c r="V1036" s="25"/>
      <c r="W1036" s="25"/>
      <c r="X1036" s="25"/>
      <c r="Y1036" s="25"/>
      <c r="Z1036" s="25"/>
      <c r="AA1036" s="25"/>
      <c r="AB1036" s="25"/>
      <c r="AC1036" s="25"/>
      <c r="AD1036" s="178"/>
    </row>
    <row r="1037" spans="18:30" x14ac:dyDescent="0.25">
      <c r="R1037" s="25"/>
      <c r="S1037" s="25"/>
      <c r="T1037" s="25"/>
      <c r="U1037" s="25"/>
      <c r="V1037" s="25"/>
      <c r="W1037" s="25"/>
      <c r="X1037" s="25"/>
      <c r="Y1037" s="25"/>
      <c r="Z1037" s="25"/>
      <c r="AA1037" s="25"/>
      <c r="AB1037" s="25"/>
      <c r="AC1037" s="25"/>
      <c r="AD1037" s="178"/>
    </row>
    <row r="1038" spans="18:30" x14ac:dyDescent="0.25">
      <c r="R1038" s="25"/>
      <c r="S1038" s="25"/>
      <c r="T1038" s="25"/>
      <c r="U1038" s="25"/>
      <c r="V1038" s="25"/>
      <c r="W1038" s="25"/>
      <c r="X1038" s="25"/>
      <c r="Y1038" s="25"/>
      <c r="Z1038" s="25"/>
      <c r="AA1038" s="25"/>
      <c r="AB1038" s="25"/>
      <c r="AC1038" s="25"/>
      <c r="AD1038" s="178"/>
    </row>
    <row r="1039" spans="18:30" x14ac:dyDescent="0.25">
      <c r="R1039" s="25"/>
      <c r="S1039" s="25"/>
      <c r="T1039" s="25"/>
      <c r="U1039" s="25"/>
      <c r="V1039" s="25"/>
      <c r="W1039" s="25"/>
      <c r="X1039" s="25"/>
      <c r="Y1039" s="25"/>
      <c r="Z1039" s="25"/>
      <c r="AA1039" s="25"/>
      <c r="AB1039" s="25"/>
      <c r="AC1039" s="25"/>
      <c r="AD1039" s="178"/>
    </row>
    <row r="1040" spans="18:30" x14ac:dyDescent="0.25">
      <c r="R1040" s="25"/>
      <c r="S1040" s="25"/>
      <c r="T1040" s="25"/>
      <c r="U1040" s="25"/>
      <c r="V1040" s="25"/>
      <c r="W1040" s="25"/>
      <c r="X1040" s="25"/>
      <c r="Y1040" s="25"/>
      <c r="Z1040" s="25"/>
      <c r="AA1040" s="25"/>
      <c r="AB1040" s="25"/>
      <c r="AC1040" s="25"/>
      <c r="AD1040" s="178"/>
    </row>
    <row r="1041" spans="18:30" x14ac:dyDescent="0.25">
      <c r="R1041" s="25"/>
      <c r="S1041" s="25"/>
      <c r="T1041" s="25"/>
      <c r="U1041" s="25"/>
      <c r="V1041" s="25"/>
      <c r="W1041" s="25"/>
      <c r="X1041" s="25"/>
      <c r="Y1041" s="25"/>
      <c r="Z1041" s="25"/>
      <c r="AA1041" s="25"/>
      <c r="AB1041" s="25"/>
      <c r="AC1041" s="25"/>
      <c r="AD1041" s="178"/>
    </row>
    <row r="1042" spans="18:30" x14ac:dyDescent="0.25">
      <c r="R1042" s="25"/>
      <c r="S1042" s="25"/>
      <c r="T1042" s="25"/>
      <c r="U1042" s="25"/>
      <c r="V1042" s="25"/>
      <c r="W1042" s="25"/>
      <c r="X1042" s="25"/>
      <c r="Y1042" s="25"/>
      <c r="Z1042" s="25"/>
      <c r="AA1042" s="25"/>
      <c r="AB1042" s="25"/>
      <c r="AC1042" s="25"/>
      <c r="AD1042" s="178"/>
    </row>
    <row r="1043" spans="18:30" x14ac:dyDescent="0.25">
      <c r="R1043" s="25"/>
      <c r="S1043" s="25"/>
      <c r="T1043" s="25"/>
      <c r="U1043" s="25"/>
      <c r="V1043" s="25"/>
      <c r="W1043" s="25"/>
      <c r="X1043" s="25"/>
      <c r="Y1043" s="25"/>
      <c r="Z1043" s="25"/>
      <c r="AA1043" s="25"/>
      <c r="AB1043" s="25"/>
      <c r="AC1043" s="25"/>
      <c r="AD1043" s="178"/>
    </row>
    <row r="1044" spans="18:30" x14ac:dyDescent="0.25">
      <c r="R1044" s="25"/>
      <c r="S1044" s="25"/>
      <c r="T1044" s="25"/>
      <c r="U1044" s="25"/>
      <c r="V1044" s="25"/>
      <c r="W1044" s="25"/>
      <c r="X1044" s="25"/>
      <c r="Y1044" s="25"/>
      <c r="Z1044" s="25"/>
      <c r="AA1044" s="25"/>
      <c r="AB1044" s="25"/>
      <c r="AC1044" s="25"/>
      <c r="AD1044" s="178"/>
    </row>
    <row r="1045" spans="18:30" x14ac:dyDescent="0.25">
      <c r="R1045" s="25"/>
      <c r="S1045" s="25"/>
      <c r="T1045" s="25"/>
      <c r="U1045" s="25"/>
      <c r="V1045" s="25"/>
      <c r="W1045" s="25"/>
      <c r="X1045" s="25"/>
      <c r="Y1045" s="25"/>
      <c r="Z1045" s="25"/>
      <c r="AA1045" s="25"/>
      <c r="AB1045" s="25"/>
      <c r="AC1045" s="25"/>
      <c r="AD1045" s="178"/>
    </row>
    <row r="1046" spans="18:30" x14ac:dyDescent="0.25">
      <c r="R1046" s="25"/>
      <c r="S1046" s="25"/>
      <c r="T1046" s="25"/>
      <c r="U1046" s="25"/>
      <c r="V1046" s="25"/>
      <c r="W1046" s="25"/>
      <c r="X1046" s="25"/>
      <c r="Y1046" s="25"/>
      <c r="Z1046" s="25"/>
      <c r="AA1046" s="25"/>
      <c r="AB1046" s="25"/>
      <c r="AC1046" s="25"/>
      <c r="AD1046" s="178"/>
    </row>
    <row r="1047" spans="18:30" x14ac:dyDescent="0.25">
      <c r="R1047" s="25"/>
      <c r="S1047" s="25"/>
      <c r="T1047" s="25"/>
      <c r="U1047" s="25"/>
      <c r="V1047" s="25"/>
      <c r="W1047" s="25"/>
      <c r="X1047" s="25"/>
      <c r="Y1047" s="25"/>
      <c r="Z1047" s="25"/>
      <c r="AA1047" s="25"/>
      <c r="AB1047" s="25"/>
      <c r="AC1047" s="25"/>
      <c r="AD1047" s="178"/>
    </row>
    <row r="1048" spans="18:30" x14ac:dyDescent="0.25">
      <c r="R1048" s="25"/>
      <c r="S1048" s="25"/>
      <c r="T1048" s="25"/>
      <c r="U1048" s="25"/>
      <c r="V1048" s="25"/>
      <c r="W1048" s="25"/>
      <c r="X1048" s="25"/>
      <c r="Y1048" s="25"/>
      <c r="Z1048" s="25"/>
      <c r="AA1048" s="25"/>
      <c r="AB1048" s="25"/>
      <c r="AC1048" s="25"/>
      <c r="AD1048" s="178"/>
    </row>
    <row r="1049" spans="18:30" x14ac:dyDescent="0.25">
      <c r="R1049" s="25"/>
      <c r="S1049" s="25"/>
      <c r="T1049" s="25"/>
      <c r="U1049" s="25"/>
      <c r="V1049" s="25"/>
      <c r="W1049" s="25"/>
      <c r="X1049" s="25"/>
      <c r="Y1049" s="25"/>
      <c r="Z1049" s="25"/>
      <c r="AA1049" s="25"/>
      <c r="AB1049" s="25"/>
      <c r="AC1049" s="25"/>
      <c r="AD1049" s="178"/>
    </row>
    <row r="1050" spans="18:30" x14ac:dyDescent="0.25">
      <c r="R1050" s="25"/>
      <c r="S1050" s="25"/>
      <c r="T1050" s="25"/>
      <c r="U1050" s="25"/>
      <c r="V1050" s="25"/>
      <c r="W1050" s="25"/>
      <c r="X1050" s="25"/>
      <c r="Y1050" s="25"/>
      <c r="Z1050" s="25"/>
      <c r="AA1050" s="25"/>
      <c r="AB1050" s="25"/>
      <c r="AC1050" s="25"/>
      <c r="AD1050" s="178"/>
    </row>
    <row r="1051" spans="18:30" x14ac:dyDescent="0.25">
      <c r="R1051" s="25"/>
      <c r="S1051" s="25"/>
      <c r="T1051" s="25"/>
      <c r="U1051" s="25"/>
      <c r="V1051" s="25"/>
      <c r="W1051" s="25"/>
      <c r="X1051" s="25"/>
      <c r="Y1051" s="25"/>
      <c r="Z1051" s="25"/>
      <c r="AA1051" s="25"/>
      <c r="AB1051" s="25"/>
      <c r="AC1051" s="25"/>
      <c r="AD1051" s="178"/>
    </row>
    <row r="1052" spans="18:30" x14ac:dyDescent="0.25">
      <c r="R1052" s="25"/>
      <c r="S1052" s="25"/>
      <c r="T1052" s="25"/>
      <c r="U1052" s="25"/>
      <c r="V1052" s="25"/>
      <c r="W1052" s="25"/>
      <c r="X1052" s="25"/>
      <c r="Y1052" s="25"/>
      <c r="Z1052" s="25"/>
      <c r="AA1052" s="25"/>
      <c r="AB1052" s="25"/>
      <c r="AC1052" s="25"/>
      <c r="AD1052" s="178"/>
    </row>
    <row r="1053" spans="18:30" x14ac:dyDescent="0.25">
      <c r="R1053" s="25"/>
      <c r="S1053" s="25"/>
      <c r="T1053" s="25"/>
      <c r="U1053" s="25"/>
      <c r="V1053" s="25"/>
      <c r="W1053" s="25"/>
      <c r="X1053" s="25"/>
      <c r="Y1053" s="25"/>
      <c r="Z1053" s="25"/>
      <c r="AA1053" s="25"/>
      <c r="AB1053" s="25"/>
      <c r="AC1053" s="25"/>
      <c r="AD1053" s="178"/>
    </row>
    <row r="1054" spans="18:30" x14ac:dyDescent="0.25">
      <c r="R1054" s="25"/>
      <c r="S1054" s="25"/>
      <c r="T1054" s="25"/>
      <c r="U1054" s="25"/>
      <c r="V1054" s="25"/>
      <c r="W1054" s="25"/>
      <c r="X1054" s="25"/>
      <c r="Y1054" s="25"/>
      <c r="Z1054" s="25"/>
      <c r="AA1054" s="25"/>
      <c r="AB1054" s="25"/>
      <c r="AC1054" s="25"/>
      <c r="AD1054" s="178"/>
    </row>
    <row r="1055" spans="18:30" x14ac:dyDescent="0.25">
      <c r="R1055" s="25"/>
      <c r="S1055" s="25"/>
      <c r="T1055" s="25"/>
      <c r="U1055" s="25"/>
      <c r="V1055" s="25"/>
      <c r="W1055" s="25"/>
      <c r="X1055" s="25"/>
      <c r="Y1055" s="25"/>
      <c r="Z1055" s="25"/>
      <c r="AA1055" s="25"/>
      <c r="AB1055" s="25"/>
      <c r="AC1055" s="25"/>
      <c r="AD1055" s="178"/>
    </row>
    <row r="1056" spans="18:30" x14ac:dyDescent="0.25">
      <c r="R1056" s="25"/>
      <c r="S1056" s="25"/>
      <c r="T1056" s="25"/>
      <c r="U1056" s="25"/>
      <c r="V1056" s="25"/>
      <c r="W1056" s="25"/>
      <c r="X1056" s="25"/>
      <c r="Y1056" s="25"/>
      <c r="Z1056" s="25"/>
      <c r="AA1056" s="25"/>
      <c r="AB1056" s="25"/>
      <c r="AC1056" s="25"/>
      <c r="AD1056" s="178"/>
    </row>
    <row r="1057" spans="18:30" x14ac:dyDescent="0.25">
      <c r="R1057" s="25"/>
      <c r="S1057" s="25"/>
      <c r="T1057" s="25"/>
      <c r="U1057" s="25"/>
      <c r="V1057" s="25"/>
      <c r="W1057" s="25"/>
      <c r="X1057" s="25"/>
      <c r="Y1057" s="25"/>
      <c r="Z1057" s="25"/>
      <c r="AA1057" s="25"/>
      <c r="AB1057" s="25"/>
      <c r="AC1057" s="25"/>
      <c r="AD1057" s="178"/>
    </row>
    <row r="1058" spans="18:30" x14ac:dyDescent="0.25">
      <c r="R1058" s="25"/>
      <c r="S1058" s="25"/>
      <c r="T1058" s="25"/>
      <c r="U1058" s="25"/>
      <c r="V1058" s="25"/>
      <c r="W1058" s="25"/>
      <c r="X1058" s="25"/>
      <c r="Y1058" s="25"/>
      <c r="Z1058" s="25"/>
      <c r="AA1058" s="25"/>
      <c r="AB1058" s="25"/>
      <c r="AC1058" s="25"/>
      <c r="AD1058" s="178"/>
    </row>
    <row r="1059" spans="18:30" x14ac:dyDescent="0.25">
      <c r="R1059" s="25"/>
      <c r="S1059" s="25"/>
      <c r="T1059" s="25"/>
      <c r="U1059" s="25"/>
      <c r="V1059" s="25"/>
      <c r="W1059" s="25"/>
      <c r="X1059" s="25"/>
      <c r="Y1059" s="25"/>
      <c r="Z1059" s="25"/>
      <c r="AA1059" s="25"/>
      <c r="AB1059" s="25"/>
      <c r="AC1059" s="25"/>
      <c r="AD1059" s="178"/>
    </row>
    <row r="1060" spans="18:30" x14ac:dyDescent="0.25">
      <c r="R1060" s="25"/>
      <c r="S1060" s="25"/>
      <c r="T1060" s="25"/>
      <c r="U1060" s="25"/>
      <c r="V1060" s="25"/>
      <c r="W1060" s="25"/>
      <c r="X1060" s="25"/>
      <c r="Y1060" s="25"/>
      <c r="Z1060" s="25"/>
      <c r="AA1060" s="25"/>
      <c r="AB1060" s="25"/>
      <c r="AC1060" s="25"/>
      <c r="AD1060" s="178"/>
    </row>
    <row r="1061" spans="18:30" x14ac:dyDescent="0.25">
      <c r="R1061" s="25"/>
      <c r="S1061" s="25"/>
      <c r="T1061" s="25"/>
      <c r="U1061" s="25"/>
      <c r="V1061" s="25"/>
      <c r="W1061" s="25"/>
      <c r="X1061" s="25"/>
      <c r="Y1061" s="25"/>
      <c r="Z1061" s="25"/>
      <c r="AA1061" s="25"/>
      <c r="AB1061" s="25"/>
      <c r="AC1061" s="25"/>
      <c r="AD1061" s="178"/>
    </row>
    <row r="1062" spans="18:30" x14ac:dyDescent="0.25">
      <c r="R1062" s="25"/>
      <c r="S1062" s="25"/>
      <c r="T1062" s="25"/>
      <c r="U1062" s="25"/>
      <c r="V1062" s="25"/>
      <c r="W1062" s="25"/>
      <c r="X1062" s="25"/>
      <c r="Y1062" s="25"/>
      <c r="Z1062" s="25"/>
      <c r="AA1062" s="25"/>
      <c r="AB1062" s="25"/>
      <c r="AC1062" s="25"/>
      <c r="AD1062" s="178"/>
    </row>
    <row r="1063" spans="18:30" x14ac:dyDescent="0.25">
      <c r="R1063" s="25"/>
      <c r="S1063" s="25"/>
      <c r="T1063" s="25"/>
      <c r="U1063" s="25"/>
      <c r="V1063" s="25"/>
      <c r="W1063" s="25"/>
      <c r="X1063" s="25"/>
      <c r="Y1063" s="25"/>
      <c r="Z1063" s="25"/>
      <c r="AA1063" s="25"/>
      <c r="AB1063" s="25"/>
      <c r="AC1063" s="25"/>
      <c r="AD1063" s="178"/>
    </row>
    <row r="1064" spans="18:30" x14ac:dyDescent="0.25">
      <c r="R1064" s="25"/>
      <c r="S1064" s="25"/>
      <c r="T1064" s="25"/>
      <c r="U1064" s="25"/>
      <c r="V1064" s="25"/>
      <c r="W1064" s="25"/>
      <c r="X1064" s="25"/>
      <c r="Y1064" s="25"/>
      <c r="Z1064" s="25"/>
      <c r="AA1064" s="25"/>
      <c r="AB1064" s="25"/>
      <c r="AC1064" s="25"/>
      <c r="AD1064" s="178"/>
    </row>
    <row r="1065" spans="18:30" x14ac:dyDescent="0.25">
      <c r="R1065" s="25"/>
      <c r="S1065" s="25"/>
      <c r="T1065" s="25"/>
      <c r="U1065" s="25"/>
      <c r="V1065" s="25"/>
      <c r="W1065" s="25"/>
      <c r="X1065" s="25"/>
      <c r="Y1065" s="25"/>
      <c r="Z1065" s="25"/>
      <c r="AA1065" s="25"/>
      <c r="AB1065" s="25"/>
      <c r="AC1065" s="25"/>
      <c r="AD1065" s="178"/>
    </row>
    <row r="1066" spans="18:30" x14ac:dyDescent="0.25">
      <c r="R1066" s="25"/>
      <c r="S1066" s="25"/>
      <c r="T1066" s="25"/>
      <c r="U1066" s="25"/>
      <c r="V1066" s="25"/>
      <c r="W1066" s="25"/>
      <c r="X1066" s="25"/>
      <c r="Y1066" s="25"/>
      <c r="Z1066" s="25"/>
      <c r="AA1066" s="25"/>
      <c r="AB1066" s="25"/>
      <c r="AC1066" s="25"/>
      <c r="AD1066" s="178"/>
    </row>
    <row r="1067" spans="18:30" x14ac:dyDescent="0.25">
      <c r="R1067" s="25"/>
      <c r="S1067" s="25"/>
      <c r="T1067" s="25"/>
      <c r="U1067" s="25"/>
      <c r="V1067" s="25"/>
      <c r="W1067" s="25"/>
      <c r="X1067" s="25"/>
      <c r="Y1067" s="25"/>
      <c r="Z1067" s="25"/>
      <c r="AA1067" s="25"/>
      <c r="AB1067" s="25"/>
      <c r="AC1067" s="25"/>
      <c r="AD1067" s="178"/>
    </row>
    <row r="1068" spans="18:30" x14ac:dyDescent="0.25">
      <c r="R1068" s="25"/>
      <c r="S1068" s="25"/>
      <c r="T1068" s="25"/>
      <c r="U1068" s="25"/>
      <c r="V1068" s="25"/>
      <c r="W1068" s="25"/>
      <c r="X1068" s="25"/>
      <c r="Y1068" s="25"/>
      <c r="Z1068" s="25"/>
      <c r="AA1068" s="25"/>
      <c r="AB1068" s="25"/>
      <c r="AC1068" s="25"/>
      <c r="AD1068" s="178"/>
    </row>
    <row r="1069" spans="18:30" x14ac:dyDescent="0.25">
      <c r="R1069" s="25"/>
      <c r="S1069" s="25"/>
      <c r="T1069" s="25"/>
      <c r="U1069" s="25"/>
      <c r="V1069" s="25"/>
      <c r="W1069" s="25"/>
      <c r="X1069" s="25"/>
      <c r="Y1069" s="25"/>
      <c r="Z1069" s="25"/>
      <c r="AA1069" s="25"/>
      <c r="AB1069" s="25"/>
      <c r="AC1069" s="25"/>
      <c r="AD1069" s="178"/>
    </row>
    <row r="1070" spans="18:30" x14ac:dyDescent="0.25">
      <c r="R1070" s="25"/>
      <c r="S1070" s="25"/>
      <c r="T1070" s="25"/>
      <c r="U1070" s="25"/>
      <c r="V1070" s="25"/>
      <c r="W1070" s="25"/>
      <c r="X1070" s="25"/>
      <c r="Y1070" s="25"/>
      <c r="Z1070" s="25"/>
      <c r="AA1070" s="25"/>
      <c r="AB1070" s="25"/>
      <c r="AC1070" s="25"/>
      <c r="AD1070" s="178"/>
    </row>
    <row r="1071" spans="18:30" x14ac:dyDescent="0.25">
      <c r="R1071" s="25"/>
      <c r="S1071" s="25"/>
      <c r="T1071" s="25"/>
      <c r="U1071" s="25"/>
      <c r="V1071" s="25"/>
      <c r="W1071" s="25"/>
      <c r="X1071" s="25"/>
      <c r="Y1071" s="25"/>
      <c r="Z1071" s="25"/>
      <c r="AA1071" s="25"/>
      <c r="AB1071" s="25"/>
      <c r="AC1071" s="25"/>
      <c r="AD1071" s="178"/>
    </row>
    <row r="1072" spans="18:30" x14ac:dyDescent="0.25">
      <c r="R1072" s="25"/>
      <c r="S1072" s="25"/>
      <c r="T1072" s="25"/>
      <c r="U1072" s="25"/>
      <c r="V1072" s="25"/>
      <c r="W1072" s="25"/>
      <c r="X1072" s="25"/>
      <c r="Y1072" s="25"/>
      <c r="Z1072" s="25"/>
      <c r="AA1072" s="25"/>
      <c r="AB1072" s="25"/>
      <c r="AC1072" s="25"/>
      <c r="AD1072" s="178"/>
    </row>
    <row r="1073" spans="18:30" x14ac:dyDescent="0.25">
      <c r="R1073" s="25"/>
      <c r="S1073" s="25"/>
      <c r="T1073" s="25"/>
      <c r="U1073" s="25"/>
      <c r="V1073" s="25"/>
      <c r="W1073" s="25"/>
      <c r="X1073" s="25"/>
      <c r="Y1073" s="25"/>
      <c r="Z1073" s="25"/>
      <c r="AA1073" s="25"/>
      <c r="AB1073" s="25"/>
      <c r="AC1073" s="25"/>
      <c r="AD1073" s="178"/>
    </row>
    <row r="1074" spans="18:30" x14ac:dyDescent="0.25">
      <c r="R1074" s="25"/>
      <c r="S1074" s="25"/>
      <c r="T1074" s="25"/>
      <c r="U1074" s="25"/>
      <c r="V1074" s="25"/>
      <c r="W1074" s="25"/>
      <c r="X1074" s="25"/>
      <c r="Y1074" s="25"/>
      <c r="Z1074" s="25"/>
      <c r="AA1074" s="25"/>
      <c r="AB1074" s="25"/>
      <c r="AC1074" s="25"/>
      <c r="AD1074" s="178"/>
    </row>
    <row r="1075" spans="18:30" x14ac:dyDescent="0.25">
      <c r="R1075" s="25"/>
      <c r="S1075" s="25"/>
      <c r="T1075" s="25"/>
      <c r="U1075" s="25"/>
      <c r="V1075" s="25"/>
      <c r="W1075" s="25"/>
      <c r="X1075" s="25"/>
      <c r="Y1075" s="25"/>
      <c r="Z1075" s="25"/>
      <c r="AA1075" s="25"/>
      <c r="AB1075" s="25"/>
      <c r="AC1075" s="25"/>
      <c r="AD1075" s="178"/>
    </row>
    <row r="1076" spans="18:30" x14ac:dyDescent="0.25">
      <c r="R1076" s="25"/>
      <c r="S1076" s="25"/>
      <c r="T1076" s="25"/>
      <c r="U1076" s="25"/>
      <c r="V1076" s="25"/>
      <c r="W1076" s="25"/>
      <c r="X1076" s="25"/>
      <c r="Y1076" s="25"/>
      <c r="Z1076" s="25"/>
      <c r="AA1076" s="25"/>
      <c r="AB1076" s="25"/>
      <c r="AC1076" s="25"/>
      <c r="AD1076" s="178"/>
    </row>
    <row r="1077" spans="18:30" x14ac:dyDescent="0.25">
      <c r="R1077" s="25"/>
      <c r="S1077" s="25"/>
      <c r="T1077" s="25"/>
      <c r="U1077" s="25"/>
      <c r="V1077" s="25"/>
      <c r="W1077" s="25"/>
      <c r="X1077" s="25"/>
      <c r="Y1077" s="25"/>
      <c r="Z1077" s="25"/>
      <c r="AA1077" s="25"/>
      <c r="AB1077" s="25"/>
      <c r="AC1077" s="25"/>
      <c r="AD1077" s="178"/>
    </row>
    <row r="1078" spans="18:30" x14ac:dyDescent="0.25">
      <c r="R1078" s="25"/>
      <c r="S1078" s="25"/>
      <c r="T1078" s="25"/>
      <c r="U1078" s="25"/>
      <c r="V1078" s="25"/>
      <c r="W1078" s="25"/>
      <c r="X1078" s="25"/>
      <c r="Y1078" s="25"/>
      <c r="Z1078" s="25"/>
      <c r="AA1078" s="25"/>
      <c r="AB1078" s="25"/>
      <c r="AC1078" s="25"/>
      <c r="AD1078" s="178"/>
    </row>
    <row r="1079" spans="18:30" x14ac:dyDescent="0.25">
      <c r="R1079" s="25"/>
      <c r="S1079" s="25"/>
      <c r="T1079" s="25"/>
      <c r="U1079" s="25"/>
      <c r="V1079" s="25"/>
      <c r="W1079" s="25"/>
      <c r="X1079" s="25"/>
      <c r="Y1079" s="25"/>
      <c r="Z1079" s="25"/>
      <c r="AA1079" s="25"/>
      <c r="AB1079" s="25"/>
      <c r="AC1079" s="25"/>
      <c r="AD1079" s="178"/>
    </row>
    <row r="1080" spans="18:30" x14ac:dyDescent="0.25">
      <c r="R1080" s="25"/>
      <c r="S1080" s="25"/>
      <c r="T1080" s="25"/>
      <c r="U1080" s="25"/>
      <c r="V1080" s="25"/>
      <c r="W1080" s="25"/>
      <c r="X1080" s="25"/>
      <c r="Y1080" s="25"/>
      <c r="Z1080" s="25"/>
      <c r="AA1080" s="25"/>
      <c r="AB1080" s="25"/>
      <c r="AC1080" s="25"/>
      <c r="AD1080" s="178"/>
    </row>
    <row r="1081" spans="18:30" x14ac:dyDescent="0.25">
      <c r="R1081" s="25"/>
      <c r="S1081" s="25"/>
      <c r="T1081" s="25"/>
      <c r="U1081" s="25"/>
      <c r="V1081" s="25"/>
      <c r="W1081" s="25"/>
      <c r="X1081" s="25"/>
      <c r="Y1081" s="25"/>
      <c r="Z1081" s="25"/>
      <c r="AA1081" s="25"/>
      <c r="AB1081" s="25"/>
      <c r="AC1081" s="25"/>
      <c r="AD1081" s="178"/>
    </row>
    <row r="1082" spans="18:30" x14ac:dyDescent="0.25">
      <c r="R1082" s="25"/>
      <c r="S1082" s="25"/>
      <c r="T1082" s="25"/>
      <c r="U1082" s="25"/>
      <c r="V1082" s="25"/>
      <c r="W1082" s="25"/>
      <c r="X1082" s="25"/>
      <c r="Y1082" s="25"/>
      <c r="Z1082" s="25"/>
      <c r="AA1082" s="25"/>
      <c r="AB1082" s="25"/>
      <c r="AC1082" s="25"/>
      <c r="AD1082" s="178"/>
    </row>
    <row r="1083" spans="18:30" x14ac:dyDescent="0.25">
      <c r="R1083" s="25"/>
      <c r="S1083" s="25"/>
      <c r="T1083" s="25"/>
      <c r="U1083" s="25"/>
      <c r="V1083" s="25"/>
      <c r="W1083" s="25"/>
      <c r="X1083" s="25"/>
      <c r="Y1083" s="25"/>
      <c r="Z1083" s="25"/>
      <c r="AA1083" s="25"/>
      <c r="AB1083" s="25"/>
      <c r="AC1083" s="25"/>
      <c r="AD1083" s="178"/>
    </row>
    <row r="1084" spans="18:30" x14ac:dyDescent="0.25">
      <c r="R1084" s="25"/>
      <c r="S1084" s="25"/>
      <c r="T1084" s="25"/>
      <c r="U1084" s="25"/>
      <c r="V1084" s="25"/>
      <c r="W1084" s="25"/>
      <c r="X1084" s="25"/>
      <c r="Y1084" s="25"/>
      <c r="Z1084" s="25"/>
      <c r="AA1084" s="25"/>
      <c r="AB1084" s="25"/>
      <c r="AC1084" s="25"/>
      <c r="AD1084" s="178"/>
    </row>
    <row r="1085" spans="18:30" x14ac:dyDescent="0.25">
      <c r="R1085" s="25"/>
      <c r="S1085" s="25"/>
      <c r="T1085" s="25"/>
      <c r="U1085" s="25"/>
      <c r="V1085" s="25"/>
      <c r="W1085" s="25"/>
      <c r="X1085" s="25"/>
      <c r="Y1085" s="25"/>
      <c r="Z1085" s="25"/>
      <c r="AA1085" s="25"/>
      <c r="AB1085" s="25"/>
      <c r="AC1085" s="25"/>
      <c r="AD1085" s="178"/>
    </row>
    <row r="1086" spans="18:30" x14ac:dyDescent="0.25">
      <c r="R1086" s="25"/>
      <c r="S1086" s="25"/>
      <c r="T1086" s="25"/>
      <c r="U1086" s="25"/>
      <c r="V1086" s="25"/>
      <c r="W1086" s="25"/>
      <c r="X1086" s="25"/>
      <c r="Y1086" s="25"/>
      <c r="Z1086" s="25"/>
      <c r="AA1086" s="25"/>
      <c r="AB1086" s="25"/>
      <c r="AC1086" s="25"/>
      <c r="AD1086" s="178"/>
    </row>
    <row r="1087" spans="18:30" x14ac:dyDescent="0.25">
      <c r="R1087" s="25"/>
      <c r="S1087" s="25"/>
      <c r="T1087" s="25"/>
      <c r="U1087" s="25"/>
      <c r="V1087" s="25"/>
      <c r="W1087" s="25"/>
      <c r="X1087" s="25"/>
      <c r="Y1087" s="25"/>
      <c r="Z1087" s="25"/>
      <c r="AA1087" s="25"/>
      <c r="AB1087" s="25"/>
      <c r="AC1087" s="25"/>
      <c r="AD1087" s="178"/>
    </row>
    <row r="1088" spans="18:30" x14ac:dyDescent="0.25">
      <c r="R1088" s="25"/>
      <c r="S1088" s="25"/>
      <c r="T1088" s="25"/>
      <c r="U1088" s="25"/>
      <c r="V1088" s="25"/>
      <c r="W1088" s="25"/>
      <c r="X1088" s="25"/>
      <c r="Y1088" s="25"/>
      <c r="Z1088" s="25"/>
      <c r="AA1088" s="25"/>
      <c r="AB1088" s="25"/>
      <c r="AC1088" s="25"/>
      <c r="AD1088" s="178"/>
    </row>
    <row r="1089" spans="18:30" x14ac:dyDescent="0.25">
      <c r="R1089" s="25"/>
      <c r="S1089" s="25"/>
      <c r="T1089" s="25"/>
      <c r="U1089" s="25"/>
      <c r="V1089" s="25"/>
      <c r="W1089" s="25"/>
      <c r="X1089" s="25"/>
      <c r="Y1089" s="25"/>
      <c r="Z1089" s="25"/>
      <c r="AA1089" s="25"/>
      <c r="AB1089" s="25"/>
      <c r="AC1089" s="25"/>
      <c r="AD1089" s="178"/>
    </row>
    <row r="1090" spans="18:30" x14ac:dyDescent="0.25">
      <c r="R1090" s="25"/>
      <c r="S1090" s="25"/>
      <c r="T1090" s="25"/>
      <c r="U1090" s="25"/>
      <c r="V1090" s="25"/>
      <c r="W1090" s="25"/>
      <c r="X1090" s="25"/>
      <c r="Y1090" s="25"/>
      <c r="Z1090" s="25"/>
      <c r="AA1090" s="25"/>
      <c r="AB1090" s="25"/>
      <c r="AC1090" s="25"/>
      <c r="AD1090" s="178"/>
    </row>
    <row r="1091" spans="18:30" x14ac:dyDescent="0.25">
      <c r="R1091" s="25"/>
      <c r="S1091" s="25"/>
      <c r="T1091" s="25"/>
      <c r="U1091" s="25"/>
      <c r="V1091" s="25"/>
      <c r="W1091" s="25"/>
      <c r="X1091" s="25"/>
      <c r="Y1091" s="25"/>
      <c r="Z1091" s="25"/>
      <c r="AA1091" s="25"/>
      <c r="AB1091" s="25"/>
      <c r="AC1091" s="25"/>
      <c r="AD1091" s="178"/>
    </row>
    <row r="1092" spans="18:30" x14ac:dyDescent="0.25">
      <c r="R1092" s="25"/>
      <c r="S1092" s="25"/>
      <c r="T1092" s="25"/>
      <c r="U1092" s="25"/>
      <c r="V1092" s="25"/>
      <c r="W1092" s="25"/>
      <c r="X1092" s="25"/>
      <c r="Y1092" s="25"/>
      <c r="Z1092" s="25"/>
      <c r="AA1092" s="25"/>
      <c r="AB1092" s="25"/>
      <c r="AC1092" s="25"/>
      <c r="AD1092" s="178"/>
    </row>
    <row r="1093" spans="18:30" x14ac:dyDescent="0.25">
      <c r="R1093" s="25"/>
      <c r="S1093" s="25"/>
      <c r="T1093" s="25"/>
      <c r="U1093" s="25"/>
      <c r="V1093" s="25"/>
      <c r="W1093" s="25"/>
      <c r="X1093" s="25"/>
      <c r="Y1093" s="25"/>
      <c r="Z1093" s="25"/>
      <c r="AA1093" s="25"/>
      <c r="AB1093" s="25"/>
      <c r="AC1093" s="25"/>
      <c r="AD1093" s="178"/>
    </row>
    <row r="1094" spans="18:30" x14ac:dyDescent="0.25">
      <c r="R1094" s="25"/>
      <c r="S1094" s="25"/>
      <c r="T1094" s="25"/>
      <c r="U1094" s="25"/>
      <c r="V1094" s="25"/>
      <c r="W1094" s="25"/>
      <c r="X1094" s="25"/>
      <c r="Y1094" s="25"/>
      <c r="Z1094" s="25"/>
      <c r="AA1094" s="25"/>
      <c r="AB1094" s="25"/>
      <c r="AC1094" s="25"/>
      <c r="AD1094" s="178"/>
    </row>
    <row r="1095" spans="18:30" x14ac:dyDescent="0.25">
      <c r="R1095" s="25"/>
      <c r="S1095" s="25"/>
      <c r="T1095" s="25"/>
      <c r="U1095" s="25"/>
      <c r="V1095" s="25"/>
      <c r="W1095" s="25"/>
      <c r="X1095" s="25"/>
      <c r="Y1095" s="25"/>
      <c r="Z1095" s="25"/>
      <c r="AA1095" s="25"/>
      <c r="AB1095" s="25"/>
      <c r="AC1095" s="25"/>
      <c r="AD1095" s="178"/>
    </row>
    <row r="1096" spans="18:30" x14ac:dyDescent="0.25">
      <c r="R1096" s="25"/>
      <c r="S1096" s="25"/>
      <c r="T1096" s="25"/>
      <c r="U1096" s="25"/>
      <c r="V1096" s="25"/>
      <c r="W1096" s="25"/>
      <c r="X1096" s="25"/>
      <c r="Y1096" s="25"/>
      <c r="Z1096" s="25"/>
      <c r="AA1096" s="25"/>
      <c r="AB1096" s="25"/>
      <c r="AC1096" s="25"/>
      <c r="AD1096" s="178"/>
    </row>
    <row r="1097" spans="18:30" x14ac:dyDescent="0.25">
      <c r="R1097" s="25"/>
      <c r="S1097" s="25"/>
      <c r="T1097" s="25"/>
      <c r="U1097" s="25"/>
      <c r="V1097" s="25"/>
      <c r="W1097" s="25"/>
      <c r="X1097" s="25"/>
      <c r="Y1097" s="25"/>
      <c r="Z1097" s="25"/>
      <c r="AA1097" s="25"/>
      <c r="AB1097" s="25"/>
      <c r="AC1097" s="25"/>
      <c r="AD1097" s="178"/>
    </row>
    <row r="1098" spans="18:30" x14ac:dyDescent="0.25">
      <c r="R1098" s="25"/>
      <c r="S1098" s="25"/>
      <c r="T1098" s="25"/>
      <c r="U1098" s="25"/>
      <c r="V1098" s="25"/>
      <c r="W1098" s="25"/>
      <c r="X1098" s="25"/>
      <c r="Y1098" s="25"/>
      <c r="Z1098" s="25"/>
      <c r="AA1098" s="25"/>
      <c r="AB1098" s="25"/>
      <c r="AC1098" s="25"/>
      <c r="AD1098" s="178"/>
    </row>
    <row r="1099" spans="18:30" x14ac:dyDescent="0.25">
      <c r="R1099" s="25"/>
      <c r="S1099" s="25"/>
      <c r="T1099" s="25"/>
      <c r="U1099" s="25"/>
      <c r="V1099" s="25"/>
      <c r="W1099" s="25"/>
      <c r="X1099" s="25"/>
      <c r="Y1099" s="25"/>
      <c r="Z1099" s="25"/>
      <c r="AA1099" s="25"/>
      <c r="AB1099" s="25"/>
      <c r="AC1099" s="25"/>
      <c r="AD1099" s="178"/>
    </row>
    <row r="1100" spans="18:30" x14ac:dyDescent="0.25">
      <c r="R1100" s="25"/>
      <c r="S1100" s="25"/>
      <c r="T1100" s="25"/>
      <c r="U1100" s="25"/>
      <c r="V1100" s="25"/>
      <c r="W1100" s="25"/>
      <c r="X1100" s="25"/>
      <c r="Y1100" s="25"/>
      <c r="Z1100" s="25"/>
      <c r="AA1100" s="25"/>
      <c r="AB1100" s="25"/>
      <c r="AC1100" s="25"/>
      <c r="AD1100" s="178"/>
    </row>
    <row r="1101" spans="18:30" x14ac:dyDescent="0.25">
      <c r="R1101" s="25"/>
      <c r="S1101" s="25"/>
      <c r="T1101" s="25"/>
      <c r="U1101" s="25"/>
      <c r="V1101" s="25"/>
      <c r="W1101" s="25"/>
      <c r="X1101" s="25"/>
      <c r="Y1101" s="25"/>
      <c r="Z1101" s="25"/>
      <c r="AA1101" s="25"/>
      <c r="AB1101" s="25"/>
      <c r="AC1101" s="25"/>
      <c r="AD1101" s="178"/>
    </row>
    <row r="1102" spans="18:30" x14ac:dyDescent="0.25">
      <c r="R1102" s="25"/>
      <c r="S1102" s="25"/>
      <c r="T1102" s="25"/>
      <c r="U1102" s="25"/>
      <c r="V1102" s="25"/>
      <c r="W1102" s="25"/>
      <c r="X1102" s="25"/>
      <c r="Y1102" s="25"/>
      <c r="Z1102" s="25"/>
      <c r="AA1102" s="25"/>
      <c r="AB1102" s="25"/>
      <c r="AC1102" s="25"/>
      <c r="AD1102" s="178"/>
    </row>
    <row r="1103" spans="18:30" x14ac:dyDescent="0.25">
      <c r="R1103" s="25"/>
      <c r="S1103" s="25"/>
      <c r="T1103" s="25"/>
      <c r="U1103" s="25"/>
      <c r="V1103" s="25"/>
      <c r="W1103" s="25"/>
      <c r="X1103" s="25"/>
      <c r="Y1103" s="25"/>
      <c r="Z1103" s="25"/>
      <c r="AA1103" s="25"/>
      <c r="AB1103" s="25"/>
      <c r="AC1103" s="25"/>
      <c r="AD1103" s="178"/>
    </row>
    <row r="1104" spans="18:30" x14ac:dyDescent="0.25">
      <c r="R1104" s="25"/>
      <c r="S1104" s="25"/>
      <c r="T1104" s="25"/>
      <c r="U1104" s="25"/>
      <c r="V1104" s="25"/>
      <c r="W1104" s="25"/>
      <c r="X1104" s="25"/>
      <c r="Y1104" s="25"/>
      <c r="Z1104" s="25"/>
      <c r="AA1104" s="25"/>
      <c r="AB1104" s="25"/>
      <c r="AC1104" s="25"/>
      <c r="AD1104" s="178"/>
    </row>
    <row r="1105" spans="18:30" x14ac:dyDescent="0.25">
      <c r="R1105" s="25"/>
      <c r="S1105" s="25"/>
      <c r="T1105" s="25"/>
      <c r="U1105" s="25"/>
      <c r="V1105" s="25"/>
      <c r="W1105" s="25"/>
      <c r="X1105" s="25"/>
      <c r="Y1105" s="25"/>
      <c r="Z1105" s="25"/>
      <c r="AA1105" s="25"/>
      <c r="AB1105" s="25"/>
      <c r="AC1105" s="25"/>
      <c r="AD1105" s="178"/>
    </row>
    <row r="1106" spans="18:30" x14ac:dyDescent="0.25">
      <c r="R1106" s="25"/>
      <c r="S1106" s="25"/>
      <c r="T1106" s="25"/>
      <c r="U1106" s="25"/>
      <c r="V1106" s="25"/>
      <c r="W1106" s="25"/>
      <c r="X1106" s="25"/>
      <c r="Y1106" s="25"/>
      <c r="Z1106" s="25"/>
      <c r="AA1106" s="25"/>
      <c r="AB1106" s="25"/>
      <c r="AC1106" s="25"/>
      <c r="AD1106" s="178"/>
    </row>
    <row r="1107" spans="18:30" x14ac:dyDescent="0.25">
      <c r="R1107" s="25"/>
      <c r="S1107" s="25"/>
      <c r="T1107" s="25"/>
      <c r="U1107" s="25"/>
      <c r="V1107" s="25"/>
      <c r="W1107" s="25"/>
      <c r="X1107" s="25"/>
      <c r="Y1107" s="25"/>
      <c r="Z1107" s="25"/>
      <c r="AA1107" s="25"/>
      <c r="AB1107" s="25"/>
      <c r="AC1107" s="25"/>
      <c r="AD1107" s="178"/>
    </row>
    <row r="1108" spans="18:30" x14ac:dyDescent="0.25">
      <c r="R1108" s="25"/>
      <c r="S1108" s="25"/>
      <c r="T1108" s="25"/>
      <c r="U1108" s="25"/>
      <c r="V1108" s="25"/>
      <c r="W1108" s="25"/>
      <c r="X1108" s="25"/>
      <c r="Y1108" s="25"/>
      <c r="Z1108" s="25"/>
      <c r="AA1108" s="25"/>
      <c r="AB1108" s="25"/>
      <c r="AC1108" s="25"/>
      <c r="AD1108" s="178"/>
    </row>
    <row r="1109" spans="18:30" x14ac:dyDescent="0.25">
      <c r="R1109" s="25"/>
      <c r="S1109" s="25"/>
      <c r="T1109" s="25"/>
      <c r="U1109" s="25"/>
      <c r="V1109" s="25"/>
      <c r="W1109" s="25"/>
      <c r="X1109" s="25"/>
      <c r="Y1109" s="25"/>
      <c r="Z1109" s="25"/>
      <c r="AA1109" s="25"/>
      <c r="AB1109" s="25"/>
      <c r="AC1109" s="25"/>
      <c r="AD1109" s="178"/>
    </row>
    <row r="1110" spans="18:30" x14ac:dyDescent="0.25">
      <c r="R1110" s="25"/>
      <c r="S1110" s="25"/>
      <c r="T1110" s="25"/>
      <c r="U1110" s="25"/>
      <c r="V1110" s="25"/>
      <c r="W1110" s="25"/>
      <c r="X1110" s="25"/>
      <c r="Y1110" s="25"/>
      <c r="Z1110" s="25"/>
      <c r="AA1110" s="25"/>
      <c r="AB1110" s="25"/>
      <c r="AC1110" s="25"/>
      <c r="AD1110" s="178"/>
    </row>
    <row r="1111" spans="18:30" x14ac:dyDescent="0.25">
      <c r="R1111" s="25"/>
      <c r="S1111" s="25"/>
      <c r="T1111" s="25"/>
      <c r="U1111" s="25"/>
      <c r="V1111" s="25"/>
      <c r="W1111" s="25"/>
      <c r="X1111" s="25"/>
      <c r="Y1111" s="25"/>
      <c r="Z1111" s="25"/>
      <c r="AA1111" s="25"/>
      <c r="AB1111" s="25"/>
      <c r="AC1111" s="25"/>
      <c r="AD1111" s="178"/>
    </row>
    <row r="1112" spans="18:30" x14ac:dyDescent="0.25">
      <c r="R1112" s="25"/>
      <c r="S1112" s="25"/>
      <c r="T1112" s="25"/>
      <c r="U1112" s="25"/>
      <c r="V1112" s="25"/>
      <c r="W1112" s="25"/>
      <c r="X1112" s="25"/>
      <c r="Y1112" s="25"/>
      <c r="Z1112" s="25"/>
      <c r="AA1112" s="25"/>
      <c r="AB1112" s="25"/>
      <c r="AC1112" s="25"/>
      <c r="AD1112" s="178"/>
    </row>
    <row r="1113" spans="18:30" x14ac:dyDescent="0.25">
      <c r="R1113" s="25"/>
      <c r="S1113" s="25"/>
      <c r="T1113" s="25"/>
      <c r="U1113" s="25"/>
      <c r="V1113" s="25"/>
      <c r="W1113" s="25"/>
      <c r="X1113" s="25"/>
      <c r="Y1113" s="25"/>
      <c r="Z1113" s="25"/>
      <c r="AA1113" s="25"/>
      <c r="AB1113" s="25"/>
      <c r="AC1113" s="25"/>
      <c r="AD1113" s="178"/>
    </row>
    <row r="1114" spans="18:30" x14ac:dyDescent="0.25">
      <c r="R1114" s="25"/>
      <c r="S1114" s="25"/>
      <c r="T1114" s="25"/>
      <c r="U1114" s="25"/>
      <c r="V1114" s="25"/>
      <c r="W1114" s="25"/>
      <c r="X1114" s="25"/>
      <c r="Y1114" s="25"/>
      <c r="Z1114" s="25"/>
      <c r="AA1114" s="25"/>
      <c r="AB1114" s="25"/>
      <c r="AC1114" s="25"/>
      <c r="AD1114" s="178"/>
    </row>
    <row r="1115" spans="18:30" x14ac:dyDescent="0.25">
      <c r="R1115" s="25"/>
      <c r="S1115" s="25"/>
      <c r="T1115" s="25"/>
      <c r="U1115" s="25"/>
      <c r="V1115" s="25"/>
      <c r="W1115" s="25"/>
      <c r="X1115" s="25"/>
      <c r="Y1115" s="25"/>
      <c r="Z1115" s="25"/>
      <c r="AA1115" s="25"/>
      <c r="AB1115" s="25"/>
      <c r="AC1115" s="25"/>
      <c r="AD1115" s="178"/>
    </row>
    <row r="1116" spans="18:30" x14ac:dyDescent="0.25">
      <c r="R1116" s="25"/>
      <c r="S1116" s="25"/>
      <c r="T1116" s="25"/>
      <c r="U1116" s="25"/>
      <c r="V1116" s="25"/>
      <c r="W1116" s="25"/>
      <c r="X1116" s="25"/>
      <c r="Y1116" s="25"/>
      <c r="Z1116" s="25"/>
      <c r="AA1116" s="25"/>
      <c r="AB1116" s="25"/>
      <c r="AC1116" s="25"/>
      <c r="AD1116" s="178"/>
    </row>
    <row r="1117" spans="18:30" x14ac:dyDescent="0.25">
      <c r="R1117" s="25"/>
      <c r="S1117" s="25"/>
      <c r="T1117" s="25"/>
      <c r="U1117" s="25"/>
      <c r="V1117" s="25"/>
      <c r="W1117" s="25"/>
      <c r="X1117" s="25"/>
      <c r="Y1117" s="25"/>
      <c r="Z1117" s="25"/>
      <c r="AA1117" s="25"/>
      <c r="AB1117" s="25"/>
      <c r="AC1117" s="25"/>
      <c r="AD1117" s="178"/>
    </row>
    <row r="1118" spans="18:30" x14ac:dyDescent="0.25">
      <c r="R1118" s="25"/>
      <c r="S1118" s="25"/>
      <c r="T1118" s="25"/>
      <c r="U1118" s="25"/>
      <c r="V1118" s="25"/>
      <c r="W1118" s="25"/>
      <c r="X1118" s="25"/>
      <c r="Y1118" s="25"/>
      <c r="Z1118" s="25"/>
      <c r="AA1118" s="25"/>
      <c r="AB1118" s="25"/>
      <c r="AC1118" s="25"/>
      <c r="AD1118" s="178"/>
    </row>
    <row r="1119" spans="18:30" x14ac:dyDescent="0.25">
      <c r="R1119" s="25"/>
      <c r="S1119" s="25"/>
      <c r="T1119" s="25"/>
      <c r="U1119" s="25"/>
      <c r="V1119" s="25"/>
      <c r="W1119" s="25"/>
      <c r="X1119" s="25"/>
      <c r="Y1119" s="25"/>
      <c r="Z1119" s="25"/>
      <c r="AA1119" s="25"/>
      <c r="AB1119" s="25"/>
      <c r="AC1119" s="25"/>
      <c r="AD1119" s="178"/>
    </row>
    <row r="1120" spans="18:30" x14ac:dyDescent="0.25">
      <c r="R1120" s="25"/>
      <c r="S1120" s="25"/>
      <c r="T1120" s="25"/>
      <c r="U1120" s="25"/>
      <c r="V1120" s="25"/>
      <c r="W1120" s="25"/>
      <c r="X1120" s="25"/>
      <c r="Y1120" s="25"/>
      <c r="Z1120" s="25"/>
      <c r="AA1120" s="25"/>
      <c r="AB1120" s="25"/>
      <c r="AC1120" s="25"/>
      <c r="AD1120" s="178"/>
    </row>
    <row r="1121" spans="18:30" x14ac:dyDescent="0.25">
      <c r="R1121" s="25"/>
      <c r="S1121" s="25"/>
      <c r="T1121" s="25"/>
      <c r="U1121" s="25"/>
      <c r="V1121" s="25"/>
      <c r="W1121" s="25"/>
      <c r="X1121" s="25"/>
      <c r="Y1121" s="25"/>
      <c r="Z1121" s="25"/>
      <c r="AA1121" s="25"/>
      <c r="AB1121" s="25"/>
      <c r="AC1121" s="25"/>
      <c r="AD1121" s="178"/>
    </row>
    <row r="1122" spans="18:30" x14ac:dyDescent="0.25">
      <c r="R1122" s="25"/>
      <c r="S1122" s="25"/>
      <c r="T1122" s="25"/>
      <c r="U1122" s="25"/>
      <c r="V1122" s="25"/>
      <c r="W1122" s="25"/>
      <c r="X1122" s="25"/>
      <c r="Y1122" s="25"/>
      <c r="Z1122" s="25"/>
      <c r="AA1122" s="25"/>
      <c r="AB1122" s="25"/>
      <c r="AC1122" s="25"/>
      <c r="AD1122" s="178"/>
    </row>
    <row r="1123" spans="18:30" x14ac:dyDescent="0.25">
      <c r="R1123" s="25"/>
      <c r="S1123" s="25"/>
      <c r="T1123" s="25"/>
      <c r="U1123" s="25"/>
      <c r="V1123" s="25"/>
      <c r="W1123" s="25"/>
      <c r="X1123" s="25"/>
      <c r="Y1123" s="25"/>
      <c r="Z1123" s="25"/>
      <c r="AA1123" s="25"/>
      <c r="AB1123" s="25"/>
      <c r="AC1123" s="25"/>
      <c r="AD1123" s="178"/>
    </row>
    <row r="1124" spans="18:30" x14ac:dyDescent="0.25">
      <c r="R1124" s="25"/>
      <c r="S1124" s="25"/>
      <c r="T1124" s="25"/>
      <c r="U1124" s="25"/>
      <c r="V1124" s="25"/>
      <c r="W1124" s="25"/>
      <c r="X1124" s="25"/>
      <c r="Y1124" s="25"/>
      <c r="Z1124" s="25"/>
      <c r="AA1124" s="25"/>
      <c r="AB1124" s="25"/>
      <c r="AC1124" s="25"/>
      <c r="AD1124" s="178"/>
    </row>
    <row r="1125" spans="18:30" x14ac:dyDescent="0.25">
      <c r="R1125" s="25"/>
      <c r="S1125" s="25"/>
      <c r="T1125" s="25"/>
      <c r="U1125" s="25"/>
      <c r="V1125" s="25"/>
      <c r="W1125" s="25"/>
      <c r="X1125" s="25"/>
      <c r="Y1125" s="25"/>
      <c r="Z1125" s="25"/>
      <c r="AA1125" s="25"/>
      <c r="AB1125" s="25"/>
      <c r="AC1125" s="25"/>
      <c r="AD1125" s="178"/>
    </row>
    <row r="1126" spans="18:30" x14ac:dyDescent="0.25">
      <c r="R1126" s="25"/>
      <c r="S1126" s="25"/>
      <c r="T1126" s="25"/>
      <c r="U1126" s="25"/>
      <c r="V1126" s="25"/>
      <c r="W1126" s="25"/>
      <c r="X1126" s="25"/>
      <c r="Y1126" s="25"/>
      <c r="Z1126" s="25"/>
      <c r="AA1126" s="25"/>
      <c r="AB1126" s="25"/>
      <c r="AC1126" s="25"/>
      <c r="AD1126" s="178"/>
    </row>
    <row r="1127" spans="18:30" x14ac:dyDescent="0.25">
      <c r="R1127" s="25"/>
      <c r="S1127" s="25"/>
      <c r="T1127" s="25"/>
      <c r="U1127" s="25"/>
      <c r="V1127" s="25"/>
      <c r="W1127" s="25"/>
      <c r="X1127" s="25"/>
      <c r="Y1127" s="25"/>
      <c r="Z1127" s="25"/>
      <c r="AA1127" s="25"/>
      <c r="AB1127" s="25"/>
      <c r="AC1127" s="25"/>
      <c r="AD1127" s="178"/>
    </row>
    <row r="1128" spans="18:30" x14ac:dyDescent="0.25">
      <c r="R1128" s="25"/>
      <c r="S1128" s="25"/>
      <c r="T1128" s="25"/>
      <c r="U1128" s="25"/>
      <c r="V1128" s="25"/>
      <c r="W1128" s="25"/>
      <c r="X1128" s="25"/>
      <c r="Y1128" s="25"/>
      <c r="Z1128" s="25"/>
      <c r="AA1128" s="25"/>
      <c r="AB1128" s="25"/>
      <c r="AC1128" s="25"/>
      <c r="AD1128" s="178"/>
    </row>
    <row r="1129" spans="18:30" x14ac:dyDescent="0.25">
      <c r="R1129" s="25"/>
      <c r="S1129" s="25"/>
      <c r="T1129" s="25"/>
      <c r="U1129" s="25"/>
      <c r="V1129" s="25"/>
      <c r="W1129" s="25"/>
      <c r="X1129" s="25"/>
      <c r="Y1129" s="25"/>
      <c r="Z1129" s="25"/>
      <c r="AA1129" s="25"/>
      <c r="AB1129" s="25"/>
      <c r="AC1129" s="25"/>
      <c r="AD1129" s="178"/>
    </row>
    <row r="1130" spans="18:30" x14ac:dyDescent="0.25">
      <c r="R1130" s="25"/>
      <c r="S1130" s="25"/>
      <c r="T1130" s="25"/>
      <c r="U1130" s="25"/>
      <c r="V1130" s="25"/>
      <c r="W1130" s="25"/>
      <c r="X1130" s="25"/>
      <c r="Y1130" s="25"/>
      <c r="Z1130" s="25"/>
      <c r="AA1130" s="25"/>
      <c r="AB1130" s="25"/>
      <c r="AC1130" s="25"/>
      <c r="AD1130" s="178"/>
    </row>
    <row r="1131" spans="18:30" x14ac:dyDescent="0.25">
      <c r="R1131" s="25"/>
      <c r="S1131" s="25"/>
      <c r="T1131" s="25"/>
      <c r="U1131" s="25"/>
      <c r="V1131" s="25"/>
      <c r="W1131" s="25"/>
      <c r="X1131" s="25"/>
      <c r="Y1131" s="25"/>
      <c r="Z1131" s="25"/>
      <c r="AA1131" s="25"/>
      <c r="AB1131" s="25"/>
      <c r="AC1131" s="25"/>
      <c r="AD1131" s="178"/>
    </row>
    <row r="1132" spans="18:30" x14ac:dyDescent="0.25">
      <c r="R1132" s="25"/>
      <c r="S1132" s="25"/>
      <c r="T1132" s="25"/>
      <c r="U1132" s="25"/>
      <c r="V1132" s="25"/>
      <c r="W1132" s="25"/>
      <c r="X1132" s="25"/>
      <c r="Y1132" s="25"/>
      <c r="Z1132" s="25"/>
      <c r="AA1132" s="25"/>
      <c r="AB1132" s="25"/>
      <c r="AC1132" s="25"/>
      <c r="AD1132" s="178"/>
    </row>
    <row r="1133" spans="18:30" x14ac:dyDescent="0.25">
      <c r="R1133" s="25"/>
      <c r="S1133" s="25"/>
      <c r="T1133" s="25"/>
      <c r="U1133" s="25"/>
      <c r="V1133" s="25"/>
      <c r="W1133" s="25"/>
      <c r="X1133" s="25"/>
      <c r="Y1133" s="25"/>
      <c r="Z1133" s="25"/>
      <c r="AA1133" s="25"/>
      <c r="AB1133" s="25"/>
      <c r="AC1133" s="25"/>
      <c r="AD1133" s="178"/>
    </row>
    <row r="1134" spans="18:30" x14ac:dyDescent="0.25">
      <c r="R1134" s="25"/>
      <c r="S1134" s="25"/>
      <c r="T1134" s="25"/>
      <c r="U1134" s="25"/>
      <c r="V1134" s="25"/>
      <c r="W1134" s="25"/>
      <c r="X1134" s="25"/>
      <c r="Y1134" s="25"/>
      <c r="Z1134" s="25"/>
      <c r="AA1134" s="25"/>
      <c r="AB1134" s="25"/>
      <c r="AC1134" s="25"/>
      <c r="AD1134" s="178"/>
    </row>
    <row r="1135" spans="18:30" x14ac:dyDescent="0.25">
      <c r="R1135" s="25"/>
      <c r="S1135" s="25"/>
      <c r="T1135" s="25"/>
      <c r="U1135" s="25"/>
      <c r="V1135" s="25"/>
      <c r="W1135" s="25"/>
      <c r="X1135" s="25"/>
      <c r="Y1135" s="25"/>
      <c r="Z1135" s="25"/>
      <c r="AA1135" s="25"/>
      <c r="AB1135" s="25"/>
      <c r="AC1135" s="25"/>
      <c r="AD1135" s="178"/>
    </row>
    <row r="1136" spans="18:30" x14ac:dyDescent="0.25">
      <c r="R1136" s="25"/>
      <c r="S1136" s="25"/>
      <c r="T1136" s="25"/>
      <c r="U1136" s="25"/>
      <c r="V1136" s="25"/>
      <c r="W1136" s="25"/>
      <c r="X1136" s="25"/>
      <c r="Y1136" s="25"/>
      <c r="Z1136" s="25"/>
      <c r="AA1136" s="25"/>
      <c r="AB1136" s="25"/>
      <c r="AC1136" s="25"/>
      <c r="AD1136" s="178"/>
    </row>
    <row r="1137" spans="18:30" x14ac:dyDescent="0.25">
      <c r="R1137" s="25"/>
      <c r="S1137" s="25"/>
      <c r="T1137" s="25"/>
      <c r="U1137" s="25"/>
      <c r="V1137" s="25"/>
      <c r="W1137" s="25"/>
      <c r="X1137" s="25"/>
      <c r="Y1137" s="25"/>
      <c r="Z1137" s="25"/>
      <c r="AA1137" s="25"/>
      <c r="AB1137" s="25"/>
      <c r="AC1137" s="25"/>
      <c r="AD1137" s="178"/>
    </row>
    <row r="1138" spans="18:30" x14ac:dyDescent="0.25">
      <c r="R1138" s="25"/>
      <c r="S1138" s="25"/>
      <c r="T1138" s="25"/>
      <c r="U1138" s="25"/>
      <c r="V1138" s="25"/>
      <c r="W1138" s="25"/>
      <c r="X1138" s="25"/>
      <c r="Y1138" s="25"/>
      <c r="Z1138" s="25"/>
      <c r="AA1138" s="25"/>
      <c r="AB1138" s="25"/>
      <c r="AC1138" s="25"/>
      <c r="AD1138" s="178"/>
    </row>
    <row r="1139" spans="18:30" x14ac:dyDescent="0.25">
      <c r="R1139" s="25"/>
      <c r="S1139" s="25"/>
      <c r="T1139" s="25"/>
      <c r="U1139" s="25"/>
      <c r="V1139" s="25"/>
      <c r="W1139" s="25"/>
      <c r="X1139" s="25"/>
      <c r="Y1139" s="25"/>
      <c r="Z1139" s="25"/>
      <c r="AA1139" s="25"/>
      <c r="AB1139" s="25"/>
      <c r="AC1139" s="25"/>
      <c r="AD1139" s="178"/>
    </row>
    <row r="1140" spans="18:30" x14ac:dyDescent="0.25">
      <c r="R1140" s="25"/>
      <c r="S1140" s="25"/>
      <c r="T1140" s="25"/>
      <c r="U1140" s="25"/>
      <c r="V1140" s="25"/>
      <c r="W1140" s="25"/>
      <c r="X1140" s="25"/>
      <c r="Y1140" s="25"/>
      <c r="Z1140" s="25"/>
      <c r="AA1140" s="25"/>
      <c r="AB1140" s="25"/>
      <c r="AC1140" s="25"/>
      <c r="AD1140" s="178"/>
    </row>
    <row r="1141" spans="18:30" x14ac:dyDescent="0.25">
      <c r="R1141" s="25"/>
      <c r="S1141" s="25"/>
      <c r="T1141" s="25"/>
      <c r="U1141" s="25"/>
      <c r="V1141" s="25"/>
      <c r="W1141" s="25"/>
      <c r="X1141" s="25"/>
      <c r="Y1141" s="25"/>
      <c r="Z1141" s="25"/>
      <c r="AA1141" s="25"/>
      <c r="AB1141" s="25"/>
      <c r="AC1141" s="25"/>
      <c r="AD1141" s="178"/>
    </row>
    <row r="1142" spans="18:30" x14ac:dyDescent="0.25">
      <c r="R1142" s="25"/>
      <c r="S1142" s="25"/>
      <c r="T1142" s="25"/>
      <c r="U1142" s="25"/>
      <c r="V1142" s="25"/>
      <c r="W1142" s="25"/>
      <c r="X1142" s="25"/>
      <c r="Y1142" s="25"/>
      <c r="Z1142" s="25"/>
      <c r="AA1142" s="25"/>
      <c r="AB1142" s="25"/>
      <c r="AC1142" s="25"/>
      <c r="AD1142" s="178"/>
    </row>
    <row r="1143" spans="18:30" x14ac:dyDescent="0.25">
      <c r="R1143" s="25"/>
      <c r="S1143" s="25"/>
      <c r="T1143" s="25"/>
      <c r="U1143" s="25"/>
      <c r="V1143" s="25"/>
      <c r="W1143" s="25"/>
      <c r="X1143" s="25"/>
      <c r="Y1143" s="25"/>
      <c r="Z1143" s="25"/>
      <c r="AA1143" s="25"/>
      <c r="AB1143" s="25"/>
      <c r="AC1143" s="25"/>
      <c r="AD1143" s="178"/>
    </row>
    <row r="1144" spans="18:30" x14ac:dyDescent="0.25">
      <c r="R1144" s="25"/>
      <c r="S1144" s="25"/>
      <c r="T1144" s="25"/>
      <c r="U1144" s="25"/>
      <c r="V1144" s="25"/>
      <c r="W1144" s="25"/>
      <c r="X1144" s="25"/>
      <c r="Y1144" s="25"/>
      <c r="Z1144" s="25"/>
      <c r="AA1144" s="25"/>
      <c r="AB1144" s="25"/>
      <c r="AC1144" s="25"/>
      <c r="AD1144" s="178"/>
    </row>
    <row r="1145" spans="18:30" x14ac:dyDescent="0.25">
      <c r="R1145" s="25"/>
      <c r="S1145" s="25"/>
      <c r="T1145" s="25"/>
      <c r="U1145" s="25"/>
      <c r="V1145" s="25"/>
      <c r="W1145" s="25"/>
      <c r="X1145" s="25"/>
      <c r="Y1145" s="25"/>
      <c r="Z1145" s="25"/>
      <c r="AA1145" s="25"/>
      <c r="AB1145" s="25"/>
      <c r="AC1145" s="25"/>
      <c r="AD1145" s="178"/>
    </row>
    <row r="1146" spans="18:30" x14ac:dyDescent="0.25">
      <c r="R1146" s="25"/>
      <c r="S1146" s="25"/>
      <c r="T1146" s="25"/>
      <c r="U1146" s="25"/>
      <c r="V1146" s="25"/>
      <c r="W1146" s="25"/>
      <c r="X1146" s="25"/>
      <c r="Y1146" s="25"/>
      <c r="Z1146" s="25"/>
      <c r="AA1146" s="25"/>
      <c r="AB1146" s="25"/>
      <c r="AC1146" s="25"/>
      <c r="AD1146" s="178"/>
    </row>
    <row r="1147" spans="18:30" x14ac:dyDescent="0.25">
      <c r="R1147" s="25"/>
      <c r="S1147" s="25"/>
      <c r="T1147" s="25"/>
      <c r="U1147" s="25"/>
      <c r="V1147" s="25"/>
      <c r="W1147" s="25"/>
      <c r="X1147" s="25"/>
      <c r="Y1147" s="25"/>
      <c r="Z1147" s="25"/>
      <c r="AA1147" s="25"/>
      <c r="AB1147" s="25"/>
      <c r="AC1147" s="25"/>
      <c r="AD1147" s="178"/>
    </row>
    <row r="1148" spans="18:30" x14ac:dyDescent="0.25">
      <c r="R1148" s="25"/>
      <c r="S1148" s="25"/>
      <c r="T1148" s="25"/>
      <c r="U1148" s="25"/>
      <c r="V1148" s="25"/>
      <c r="W1148" s="25"/>
      <c r="X1148" s="25"/>
      <c r="Y1148" s="25"/>
      <c r="Z1148" s="25"/>
      <c r="AA1148" s="25"/>
      <c r="AB1148" s="25"/>
      <c r="AC1148" s="25"/>
      <c r="AD1148" s="178"/>
    </row>
    <row r="1149" spans="18:30" x14ac:dyDescent="0.25">
      <c r="R1149" s="25"/>
      <c r="S1149" s="25"/>
      <c r="T1149" s="25"/>
      <c r="U1149" s="25"/>
      <c r="V1149" s="25"/>
      <c r="W1149" s="25"/>
      <c r="X1149" s="25"/>
      <c r="Y1149" s="25"/>
      <c r="Z1149" s="25"/>
      <c r="AA1149" s="25"/>
      <c r="AB1149" s="25"/>
      <c r="AC1149" s="25"/>
      <c r="AD1149" s="178"/>
    </row>
    <row r="1150" spans="18:30" x14ac:dyDescent="0.25">
      <c r="R1150" s="25"/>
      <c r="S1150" s="25"/>
      <c r="T1150" s="25"/>
      <c r="U1150" s="25"/>
      <c r="V1150" s="25"/>
      <c r="W1150" s="25"/>
      <c r="X1150" s="25"/>
      <c r="Y1150" s="25"/>
      <c r="Z1150" s="25"/>
      <c r="AA1150" s="25"/>
      <c r="AB1150" s="25"/>
      <c r="AC1150" s="25"/>
      <c r="AD1150" s="178"/>
    </row>
    <row r="1151" spans="18:30" x14ac:dyDescent="0.25">
      <c r="R1151" s="25"/>
      <c r="S1151" s="25"/>
      <c r="T1151" s="25"/>
      <c r="U1151" s="25"/>
      <c r="V1151" s="25"/>
      <c r="W1151" s="25"/>
      <c r="X1151" s="25"/>
      <c r="Y1151" s="25"/>
      <c r="Z1151" s="25"/>
      <c r="AA1151" s="25"/>
      <c r="AB1151" s="25"/>
      <c r="AC1151" s="25"/>
      <c r="AD1151" s="178"/>
    </row>
    <row r="1152" spans="18:30" x14ac:dyDescent="0.25">
      <c r="R1152" s="25"/>
      <c r="S1152" s="25"/>
      <c r="T1152" s="25"/>
      <c r="U1152" s="25"/>
      <c r="V1152" s="25"/>
      <c r="W1152" s="25"/>
      <c r="X1152" s="25"/>
      <c r="Y1152" s="25"/>
      <c r="Z1152" s="25"/>
      <c r="AA1152" s="25"/>
      <c r="AB1152" s="25"/>
      <c r="AC1152" s="25"/>
      <c r="AD1152" s="178"/>
    </row>
    <row r="1153" spans="18:30" x14ac:dyDescent="0.25">
      <c r="R1153" s="25"/>
      <c r="S1153" s="25"/>
      <c r="T1153" s="25"/>
      <c r="U1153" s="25"/>
      <c r="V1153" s="25"/>
      <c r="W1153" s="25"/>
      <c r="X1153" s="25"/>
      <c r="Y1153" s="25"/>
      <c r="Z1153" s="25"/>
      <c r="AA1153" s="25"/>
      <c r="AB1153" s="25"/>
      <c r="AC1153" s="25"/>
      <c r="AD1153" s="178"/>
    </row>
    <row r="1154" spans="18:30" x14ac:dyDescent="0.25">
      <c r="R1154" s="25"/>
      <c r="S1154" s="25"/>
      <c r="T1154" s="25"/>
      <c r="U1154" s="25"/>
      <c r="V1154" s="25"/>
      <c r="W1154" s="25"/>
      <c r="X1154" s="25"/>
      <c r="Y1154" s="25"/>
      <c r="Z1154" s="25"/>
      <c r="AA1154" s="25"/>
      <c r="AB1154" s="25"/>
      <c r="AC1154" s="25"/>
      <c r="AD1154" s="178"/>
    </row>
    <row r="1155" spans="18:30" x14ac:dyDescent="0.25">
      <c r="R1155" s="25"/>
      <c r="S1155" s="25"/>
      <c r="T1155" s="25"/>
      <c r="U1155" s="25"/>
      <c r="V1155" s="25"/>
      <c r="W1155" s="25"/>
      <c r="X1155" s="25"/>
      <c r="Y1155" s="25"/>
      <c r="Z1155" s="25"/>
      <c r="AA1155" s="25"/>
      <c r="AB1155" s="25"/>
      <c r="AC1155" s="25"/>
      <c r="AD1155" s="178"/>
    </row>
    <row r="1156" spans="18:30" x14ac:dyDescent="0.25">
      <c r="R1156" s="25"/>
      <c r="S1156" s="25"/>
      <c r="T1156" s="25"/>
      <c r="U1156" s="25"/>
      <c r="V1156" s="25"/>
      <c r="W1156" s="25"/>
      <c r="X1156" s="25"/>
      <c r="Y1156" s="25"/>
      <c r="Z1156" s="25"/>
      <c r="AA1156" s="25"/>
      <c r="AB1156" s="25"/>
      <c r="AC1156" s="25"/>
      <c r="AD1156" s="178"/>
    </row>
    <row r="1157" spans="18:30" x14ac:dyDescent="0.25">
      <c r="R1157" s="25"/>
      <c r="S1157" s="25"/>
      <c r="T1157" s="25"/>
      <c r="U1157" s="25"/>
      <c r="V1157" s="25"/>
      <c r="W1157" s="25"/>
      <c r="X1157" s="25"/>
      <c r="Y1157" s="25"/>
      <c r="Z1157" s="25"/>
      <c r="AA1157" s="25"/>
      <c r="AB1157" s="25"/>
      <c r="AC1157" s="25"/>
      <c r="AD1157" s="178"/>
    </row>
    <row r="1158" spans="18:30" x14ac:dyDescent="0.25">
      <c r="R1158" s="25"/>
      <c r="S1158" s="25"/>
      <c r="T1158" s="25"/>
      <c r="U1158" s="25"/>
      <c r="V1158" s="25"/>
      <c r="W1158" s="25"/>
      <c r="X1158" s="25"/>
      <c r="Y1158" s="25"/>
      <c r="Z1158" s="25"/>
      <c r="AA1158" s="25"/>
      <c r="AB1158" s="25"/>
      <c r="AC1158" s="25"/>
      <c r="AD1158" s="178"/>
    </row>
    <row r="1159" spans="18:30" x14ac:dyDescent="0.25">
      <c r="R1159" s="25"/>
      <c r="S1159" s="25"/>
      <c r="T1159" s="25"/>
      <c r="U1159" s="25"/>
      <c r="V1159" s="25"/>
      <c r="W1159" s="25"/>
      <c r="X1159" s="25"/>
      <c r="Y1159" s="25"/>
      <c r="Z1159" s="25"/>
      <c r="AA1159" s="25"/>
      <c r="AB1159" s="25"/>
      <c r="AC1159" s="25"/>
      <c r="AD1159" s="178"/>
    </row>
    <row r="1160" spans="18:30" x14ac:dyDescent="0.25">
      <c r="R1160" s="25"/>
      <c r="S1160" s="25"/>
      <c r="T1160" s="25"/>
      <c r="U1160" s="25"/>
      <c r="V1160" s="25"/>
      <c r="W1160" s="25"/>
      <c r="X1160" s="25"/>
      <c r="Y1160" s="25"/>
      <c r="Z1160" s="25"/>
      <c r="AA1160" s="25"/>
      <c r="AB1160" s="25"/>
      <c r="AC1160" s="25"/>
      <c r="AD1160" s="178"/>
    </row>
    <row r="1161" spans="18:30" x14ac:dyDescent="0.25">
      <c r="R1161" s="25"/>
      <c r="S1161" s="25"/>
      <c r="T1161" s="25"/>
      <c r="U1161" s="25"/>
      <c r="V1161" s="25"/>
      <c r="W1161" s="25"/>
      <c r="X1161" s="25"/>
      <c r="Y1161" s="25"/>
      <c r="Z1161" s="25"/>
      <c r="AA1161" s="25"/>
      <c r="AB1161" s="25"/>
      <c r="AC1161" s="25"/>
      <c r="AD1161" s="178"/>
    </row>
    <row r="1162" spans="18:30" x14ac:dyDescent="0.25">
      <c r="R1162" s="25"/>
      <c r="S1162" s="25"/>
      <c r="T1162" s="25"/>
      <c r="U1162" s="25"/>
      <c r="V1162" s="25"/>
      <c r="W1162" s="25"/>
      <c r="X1162" s="25"/>
      <c r="Y1162" s="25"/>
      <c r="Z1162" s="25"/>
      <c r="AA1162" s="25"/>
      <c r="AB1162" s="25"/>
      <c r="AC1162" s="25"/>
      <c r="AD1162" s="178"/>
    </row>
    <row r="1163" spans="18:30" x14ac:dyDescent="0.25">
      <c r="R1163" s="25"/>
      <c r="S1163" s="25"/>
      <c r="T1163" s="25"/>
      <c r="U1163" s="25"/>
      <c r="V1163" s="25"/>
      <c r="W1163" s="25"/>
      <c r="X1163" s="25"/>
      <c r="Y1163" s="25"/>
      <c r="Z1163" s="25"/>
      <c r="AA1163" s="25"/>
      <c r="AB1163" s="25"/>
      <c r="AC1163" s="25"/>
      <c r="AD1163" s="178"/>
    </row>
    <row r="1164" spans="18:30" x14ac:dyDescent="0.25">
      <c r="R1164" s="25"/>
      <c r="S1164" s="25"/>
      <c r="T1164" s="25"/>
      <c r="U1164" s="25"/>
      <c r="V1164" s="25"/>
      <c r="W1164" s="25"/>
      <c r="X1164" s="25"/>
      <c r="Y1164" s="25"/>
      <c r="Z1164" s="25"/>
      <c r="AA1164" s="25"/>
      <c r="AB1164" s="25"/>
      <c r="AC1164" s="25"/>
      <c r="AD1164" s="178"/>
    </row>
    <row r="1165" spans="18:30" x14ac:dyDescent="0.25">
      <c r="R1165" s="25"/>
      <c r="S1165" s="25"/>
      <c r="T1165" s="25"/>
      <c r="U1165" s="25"/>
      <c r="V1165" s="25"/>
      <c r="W1165" s="25"/>
      <c r="X1165" s="25"/>
      <c r="Y1165" s="25"/>
      <c r="Z1165" s="25"/>
      <c r="AA1165" s="25"/>
      <c r="AB1165" s="25"/>
      <c r="AC1165" s="25"/>
      <c r="AD1165" s="178"/>
    </row>
    <row r="1166" spans="18:30" x14ac:dyDescent="0.25">
      <c r="R1166" s="25"/>
      <c r="S1166" s="25"/>
      <c r="T1166" s="25"/>
      <c r="U1166" s="25"/>
      <c r="V1166" s="25"/>
      <c r="W1166" s="25"/>
      <c r="X1166" s="25"/>
      <c r="Y1166" s="25"/>
      <c r="Z1166" s="25"/>
      <c r="AA1166" s="25"/>
      <c r="AB1166" s="25"/>
      <c r="AC1166" s="25"/>
      <c r="AD1166" s="178"/>
    </row>
    <row r="1167" spans="18:30" x14ac:dyDescent="0.25">
      <c r="R1167" s="25"/>
      <c r="S1167" s="25"/>
      <c r="T1167" s="25"/>
      <c r="U1167" s="25"/>
      <c r="V1167" s="25"/>
      <c r="W1167" s="25"/>
      <c r="X1167" s="25"/>
      <c r="Y1167" s="25"/>
      <c r="Z1167" s="25"/>
      <c r="AA1167" s="25"/>
      <c r="AB1167" s="25"/>
      <c r="AC1167" s="25"/>
      <c r="AD1167" s="178"/>
    </row>
    <row r="1168" spans="18:30" x14ac:dyDescent="0.25">
      <c r="R1168" s="25"/>
      <c r="S1168" s="25"/>
      <c r="T1168" s="25"/>
      <c r="U1168" s="25"/>
      <c r="V1168" s="25"/>
      <c r="W1168" s="25"/>
      <c r="X1168" s="25"/>
      <c r="Y1168" s="25"/>
      <c r="Z1168" s="25"/>
      <c r="AA1168" s="25"/>
      <c r="AB1168" s="25"/>
      <c r="AC1168" s="25"/>
      <c r="AD1168" s="178"/>
    </row>
    <row r="1169" spans="18:30" x14ac:dyDescent="0.25">
      <c r="R1169" s="25"/>
      <c r="S1169" s="25"/>
      <c r="T1169" s="25"/>
      <c r="U1169" s="25"/>
      <c r="V1169" s="25"/>
      <c r="W1169" s="25"/>
      <c r="X1169" s="25"/>
      <c r="Y1169" s="25"/>
      <c r="Z1169" s="25"/>
      <c r="AA1169" s="25"/>
      <c r="AB1169" s="25"/>
      <c r="AC1169" s="25"/>
      <c r="AD1169" s="178"/>
    </row>
    <row r="1170" spans="18:30" x14ac:dyDescent="0.25">
      <c r="R1170" s="25"/>
      <c r="S1170" s="25"/>
      <c r="T1170" s="25"/>
      <c r="U1170" s="25"/>
      <c r="V1170" s="25"/>
      <c r="W1170" s="25"/>
      <c r="X1170" s="25"/>
      <c r="Y1170" s="25"/>
      <c r="Z1170" s="25"/>
      <c r="AA1170" s="25"/>
      <c r="AB1170" s="25"/>
      <c r="AC1170" s="25"/>
      <c r="AD1170" s="178"/>
    </row>
    <row r="1171" spans="18:30" x14ac:dyDescent="0.25">
      <c r="R1171" s="25"/>
      <c r="S1171" s="25"/>
      <c r="T1171" s="25"/>
      <c r="U1171" s="25"/>
      <c r="V1171" s="25"/>
      <c r="W1171" s="25"/>
      <c r="X1171" s="25"/>
      <c r="Y1171" s="25"/>
      <c r="Z1171" s="25"/>
      <c r="AA1171" s="25"/>
      <c r="AB1171" s="25"/>
      <c r="AC1171" s="25"/>
      <c r="AD1171" s="178"/>
    </row>
    <row r="1172" spans="18:30" x14ac:dyDescent="0.25">
      <c r="R1172" s="25"/>
      <c r="S1172" s="25"/>
      <c r="T1172" s="25"/>
      <c r="U1172" s="25"/>
      <c r="V1172" s="25"/>
      <c r="W1172" s="25"/>
      <c r="X1172" s="25"/>
      <c r="Y1172" s="25"/>
      <c r="Z1172" s="25"/>
      <c r="AA1172" s="25"/>
      <c r="AB1172" s="25"/>
      <c r="AC1172" s="25"/>
      <c r="AD1172" s="178"/>
    </row>
    <row r="1173" spans="18:30" x14ac:dyDescent="0.25">
      <c r="R1173" s="25"/>
      <c r="S1173" s="25"/>
      <c r="T1173" s="25"/>
      <c r="U1173" s="25"/>
      <c r="V1173" s="25"/>
      <c r="W1173" s="25"/>
      <c r="X1173" s="25"/>
      <c r="Y1173" s="25"/>
      <c r="Z1173" s="25"/>
      <c r="AA1173" s="25"/>
      <c r="AB1173" s="25"/>
      <c r="AC1173" s="25"/>
      <c r="AD1173" s="178"/>
    </row>
    <row r="1174" spans="18:30" x14ac:dyDescent="0.25">
      <c r="R1174" s="25"/>
      <c r="S1174" s="25"/>
      <c r="T1174" s="25"/>
      <c r="U1174" s="25"/>
      <c r="V1174" s="25"/>
      <c r="W1174" s="25"/>
      <c r="X1174" s="25"/>
      <c r="Y1174" s="25"/>
      <c r="Z1174" s="25"/>
      <c r="AA1174" s="25"/>
      <c r="AB1174" s="25"/>
      <c r="AC1174" s="25"/>
      <c r="AD1174" s="178"/>
    </row>
    <row r="1175" spans="18:30" x14ac:dyDescent="0.25">
      <c r="R1175" s="25"/>
      <c r="S1175" s="25"/>
      <c r="T1175" s="25"/>
      <c r="U1175" s="25"/>
      <c r="V1175" s="25"/>
      <c r="W1175" s="25"/>
      <c r="X1175" s="25"/>
      <c r="Y1175" s="25"/>
      <c r="Z1175" s="25"/>
      <c r="AA1175" s="25"/>
      <c r="AB1175" s="25"/>
      <c r="AC1175" s="25"/>
      <c r="AD1175" s="178"/>
    </row>
    <row r="1176" spans="18:30" x14ac:dyDescent="0.25">
      <c r="R1176" s="25"/>
      <c r="S1176" s="25"/>
      <c r="T1176" s="25"/>
      <c r="U1176" s="25"/>
      <c r="V1176" s="25"/>
      <c r="W1176" s="25"/>
      <c r="X1176" s="25"/>
      <c r="Y1176" s="25"/>
      <c r="Z1176" s="25"/>
      <c r="AA1176" s="25"/>
      <c r="AB1176" s="25"/>
      <c r="AC1176" s="25"/>
      <c r="AD1176" s="178"/>
    </row>
    <row r="1177" spans="18:30" x14ac:dyDescent="0.25">
      <c r="R1177" s="25"/>
      <c r="S1177" s="25"/>
      <c r="T1177" s="25"/>
      <c r="U1177" s="25"/>
      <c r="V1177" s="25"/>
      <c r="W1177" s="25"/>
      <c r="X1177" s="25"/>
      <c r="Y1177" s="25"/>
      <c r="Z1177" s="25"/>
      <c r="AA1177" s="25"/>
      <c r="AB1177" s="25"/>
      <c r="AC1177" s="25"/>
      <c r="AD1177" s="178"/>
    </row>
    <row r="1178" spans="18:30" x14ac:dyDescent="0.25">
      <c r="R1178" s="25"/>
      <c r="S1178" s="25"/>
      <c r="T1178" s="25"/>
      <c r="U1178" s="25"/>
      <c r="V1178" s="25"/>
      <c r="W1178" s="25"/>
      <c r="X1178" s="25"/>
      <c r="Y1178" s="25"/>
      <c r="Z1178" s="25"/>
      <c r="AA1178" s="25"/>
      <c r="AB1178" s="25"/>
      <c r="AC1178" s="25"/>
      <c r="AD1178" s="178"/>
    </row>
    <row r="1179" spans="18:30" x14ac:dyDescent="0.25">
      <c r="R1179" s="25"/>
      <c r="S1179" s="25"/>
      <c r="T1179" s="25"/>
      <c r="U1179" s="25"/>
      <c r="V1179" s="25"/>
      <c r="W1179" s="25"/>
      <c r="X1179" s="25"/>
      <c r="Y1179" s="25"/>
      <c r="Z1179" s="25"/>
      <c r="AA1179" s="25"/>
      <c r="AB1179" s="25"/>
      <c r="AC1179" s="25"/>
      <c r="AD1179" s="178"/>
    </row>
    <row r="1180" spans="18:30" x14ac:dyDescent="0.25">
      <c r="R1180" s="25"/>
      <c r="S1180" s="25"/>
      <c r="T1180" s="25"/>
      <c r="U1180" s="25"/>
      <c r="V1180" s="25"/>
      <c r="W1180" s="25"/>
      <c r="X1180" s="25"/>
      <c r="Y1180" s="25"/>
      <c r="Z1180" s="25"/>
      <c r="AA1180" s="25"/>
      <c r="AB1180" s="25"/>
      <c r="AC1180" s="25"/>
      <c r="AD1180" s="178"/>
    </row>
    <row r="1181" spans="18:30" x14ac:dyDescent="0.25">
      <c r="R1181" s="25"/>
      <c r="S1181" s="25"/>
      <c r="T1181" s="25"/>
      <c r="U1181" s="25"/>
      <c r="V1181" s="25"/>
      <c r="W1181" s="25"/>
      <c r="X1181" s="25"/>
      <c r="Y1181" s="25"/>
      <c r="Z1181" s="25"/>
      <c r="AA1181" s="25"/>
      <c r="AB1181" s="25"/>
      <c r="AC1181" s="25"/>
      <c r="AD1181" s="178"/>
    </row>
    <row r="1182" spans="18:30" x14ac:dyDescent="0.25">
      <c r="R1182" s="25"/>
      <c r="S1182" s="25"/>
      <c r="T1182" s="25"/>
      <c r="U1182" s="25"/>
      <c r="V1182" s="25"/>
      <c r="W1182" s="25"/>
      <c r="X1182" s="25"/>
      <c r="Y1182" s="25"/>
      <c r="Z1182" s="25"/>
      <c r="AA1182" s="25"/>
      <c r="AB1182" s="25"/>
      <c r="AC1182" s="25"/>
      <c r="AD1182" s="178"/>
    </row>
    <row r="1183" spans="18:30" x14ac:dyDescent="0.25">
      <c r="R1183" s="25"/>
      <c r="S1183" s="25"/>
      <c r="T1183" s="25"/>
      <c r="U1183" s="25"/>
      <c r="V1183" s="25"/>
      <c r="W1183" s="25"/>
      <c r="X1183" s="25"/>
      <c r="Y1183" s="25"/>
      <c r="Z1183" s="25"/>
      <c r="AA1183" s="25"/>
      <c r="AB1183" s="25"/>
      <c r="AC1183" s="25"/>
      <c r="AD1183" s="178"/>
    </row>
    <row r="1184" spans="18:30" x14ac:dyDescent="0.25">
      <c r="R1184" s="25"/>
      <c r="S1184" s="25"/>
      <c r="T1184" s="25"/>
      <c r="U1184" s="25"/>
      <c r="V1184" s="25"/>
      <c r="W1184" s="25"/>
      <c r="X1184" s="25"/>
      <c r="Y1184" s="25"/>
      <c r="Z1184" s="25"/>
      <c r="AA1184" s="25"/>
      <c r="AB1184" s="25"/>
      <c r="AC1184" s="25"/>
      <c r="AD1184" s="178"/>
    </row>
    <row r="1185" spans="18:30" x14ac:dyDescent="0.25">
      <c r="R1185" s="25"/>
      <c r="S1185" s="25"/>
      <c r="T1185" s="25"/>
      <c r="U1185" s="25"/>
      <c r="V1185" s="25"/>
      <c r="W1185" s="25"/>
      <c r="X1185" s="25"/>
      <c r="Y1185" s="25"/>
      <c r="Z1185" s="25"/>
      <c r="AA1185" s="25"/>
      <c r="AB1185" s="25"/>
      <c r="AC1185" s="25"/>
      <c r="AD1185" s="178"/>
    </row>
    <row r="1186" spans="18:30" x14ac:dyDescent="0.25">
      <c r="R1186" s="25"/>
      <c r="S1186" s="25"/>
      <c r="T1186" s="25"/>
      <c r="U1186" s="25"/>
      <c r="V1186" s="25"/>
      <c r="W1186" s="25"/>
      <c r="X1186" s="25"/>
      <c r="Y1186" s="25"/>
      <c r="Z1186" s="25"/>
      <c r="AA1186" s="25"/>
      <c r="AB1186" s="25"/>
      <c r="AC1186" s="25"/>
      <c r="AD1186" s="178"/>
    </row>
    <row r="1187" spans="18:30" x14ac:dyDescent="0.25">
      <c r="R1187" s="25"/>
      <c r="S1187" s="25"/>
      <c r="T1187" s="25"/>
      <c r="U1187" s="25"/>
      <c r="V1187" s="25"/>
      <c r="W1187" s="25"/>
      <c r="X1187" s="25"/>
      <c r="Y1187" s="25"/>
      <c r="Z1187" s="25"/>
      <c r="AA1187" s="25"/>
      <c r="AB1187" s="25"/>
      <c r="AC1187" s="25"/>
      <c r="AD1187" s="178"/>
    </row>
    <row r="1188" spans="18:30" x14ac:dyDescent="0.25">
      <c r="R1188" s="25"/>
      <c r="S1188" s="25"/>
      <c r="T1188" s="25"/>
      <c r="U1188" s="25"/>
      <c r="V1188" s="25"/>
      <c r="W1188" s="25"/>
      <c r="X1188" s="25"/>
      <c r="Y1188" s="25"/>
      <c r="Z1188" s="25"/>
      <c r="AA1188" s="25"/>
      <c r="AB1188" s="25"/>
      <c r="AC1188" s="25"/>
      <c r="AD1188" s="178"/>
    </row>
    <row r="1189" spans="18:30" x14ac:dyDescent="0.25">
      <c r="R1189" s="25"/>
      <c r="S1189" s="25"/>
      <c r="T1189" s="25"/>
      <c r="U1189" s="25"/>
      <c r="V1189" s="25"/>
      <c r="W1189" s="25"/>
      <c r="X1189" s="25"/>
      <c r="Y1189" s="25"/>
      <c r="Z1189" s="25"/>
      <c r="AA1189" s="25"/>
      <c r="AB1189" s="25"/>
      <c r="AC1189" s="25"/>
      <c r="AD1189" s="178"/>
    </row>
    <row r="1190" spans="18:30" x14ac:dyDescent="0.25">
      <c r="R1190" s="25"/>
      <c r="S1190" s="25"/>
      <c r="T1190" s="25"/>
      <c r="U1190" s="25"/>
      <c r="V1190" s="25"/>
      <c r="W1190" s="25"/>
      <c r="X1190" s="25"/>
      <c r="Y1190" s="25"/>
      <c r="Z1190" s="25"/>
      <c r="AA1190" s="25"/>
      <c r="AB1190" s="25"/>
      <c r="AC1190" s="25"/>
      <c r="AD1190" s="178"/>
    </row>
    <row r="1191" spans="18:30" x14ac:dyDescent="0.25">
      <c r="R1191" s="25"/>
      <c r="S1191" s="25"/>
      <c r="T1191" s="25"/>
      <c r="U1191" s="25"/>
      <c r="V1191" s="25"/>
      <c r="W1191" s="25"/>
      <c r="X1191" s="25"/>
      <c r="Y1191" s="25"/>
      <c r="Z1191" s="25"/>
      <c r="AA1191" s="25"/>
      <c r="AB1191" s="25"/>
      <c r="AC1191" s="25"/>
      <c r="AD1191" s="178"/>
    </row>
    <row r="1192" spans="18:30" x14ac:dyDescent="0.25">
      <c r="R1192" s="25"/>
      <c r="S1192" s="25"/>
      <c r="T1192" s="25"/>
      <c r="U1192" s="25"/>
      <c r="V1192" s="25"/>
      <c r="W1192" s="25"/>
      <c r="X1192" s="25"/>
      <c r="Y1192" s="25"/>
      <c r="Z1192" s="25"/>
      <c r="AA1192" s="25"/>
      <c r="AB1192" s="25"/>
      <c r="AC1192" s="25"/>
      <c r="AD1192" s="178"/>
    </row>
    <row r="1193" spans="18:30" x14ac:dyDescent="0.25">
      <c r="R1193" s="25"/>
      <c r="S1193" s="25"/>
      <c r="T1193" s="25"/>
      <c r="U1193" s="25"/>
      <c r="V1193" s="25"/>
      <c r="W1193" s="25"/>
      <c r="X1193" s="25"/>
      <c r="Y1193" s="25"/>
      <c r="Z1193" s="25"/>
      <c r="AA1193" s="25"/>
      <c r="AB1193" s="25"/>
      <c r="AC1193" s="25"/>
      <c r="AD1193" s="178"/>
    </row>
    <row r="1194" spans="18:30" x14ac:dyDescent="0.25">
      <c r="R1194" s="25"/>
      <c r="S1194" s="25"/>
      <c r="T1194" s="25"/>
      <c r="U1194" s="25"/>
      <c r="V1194" s="25"/>
      <c r="W1194" s="25"/>
      <c r="X1194" s="25"/>
      <c r="Y1194" s="25"/>
      <c r="Z1194" s="25"/>
      <c r="AA1194" s="25"/>
      <c r="AB1194" s="25"/>
      <c r="AC1194" s="25"/>
      <c r="AD1194" s="178"/>
    </row>
    <row r="1195" spans="18:30" x14ac:dyDescent="0.25">
      <c r="R1195" s="25"/>
      <c r="S1195" s="25"/>
      <c r="T1195" s="25"/>
      <c r="U1195" s="25"/>
      <c r="V1195" s="25"/>
      <c r="W1195" s="25"/>
      <c r="X1195" s="25"/>
      <c r="Y1195" s="25"/>
      <c r="Z1195" s="25"/>
      <c r="AA1195" s="25"/>
      <c r="AB1195" s="25"/>
      <c r="AC1195" s="25"/>
      <c r="AD1195" s="178"/>
    </row>
    <row r="1196" spans="18:30" x14ac:dyDescent="0.25">
      <c r="R1196" s="25"/>
      <c r="S1196" s="25"/>
      <c r="T1196" s="25"/>
      <c r="U1196" s="25"/>
      <c r="V1196" s="25"/>
      <c r="W1196" s="25"/>
      <c r="X1196" s="25"/>
      <c r="Y1196" s="25"/>
      <c r="Z1196" s="25"/>
      <c r="AA1196" s="25"/>
      <c r="AB1196" s="25"/>
      <c r="AC1196" s="25"/>
      <c r="AD1196" s="178"/>
    </row>
    <row r="1197" spans="18:30" x14ac:dyDescent="0.25">
      <c r="R1197" s="25"/>
      <c r="S1197" s="25"/>
      <c r="T1197" s="25"/>
      <c r="U1197" s="25"/>
      <c r="V1197" s="25"/>
      <c r="W1197" s="25"/>
      <c r="X1197" s="25"/>
      <c r="Y1197" s="25"/>
      <c r="Z1197" s="25"/>
      <c r="AA1197" s="25"/>
      <c r="AB1197" s="25"/>
      <c r="AC1197" s="25"/>
      <c r="AD1197" s="178"/>
    </row>
    <row r="1198" spans="18:30" x14ac:dyDescent="0.25">
      <c r="R1198" s="25"/>
      <c r="S1198" s="25"/>
      <c r="T1198" s="25"/>
      <c r="U1198" s="25"/>
      <c r="V1198" s="25"/>
      <c r="W1198" s="25"/>
      <c r="X1198" s="25"/>
      <c r="Y1198" s="25"/>
      <c r="Z1198" s="25"/>
      <c r="AA1198" s="25"/>
      <c r="AB1198" s="25"/>
      <c r="AC1198" s="25"/>
      <c r="AD1198" s="178"/>
    </row>
    <row r="1199" spans="18:30" x14ac:dyDescent="0.25">
      <c r="R1199" s="25"/>
      <c r="S1199" s="25"/>
      <c r="T1199" s="25"/>
      <c r="U1199" s="25"/>
      <c r="V1199" s="25"/>
      <c r="W1199" s="25"/>
      <c r="X1199" s="25"/>
      <c r="Y1199" s="25"/>
      <c r="Z1199" s="25"/>
      <c r="AA1199" s="25"/>
      <c r="AB1199" s="25"/>
      <c r="AC1199" s="25"/>
      <c r="AD1199" s="178"/>
    </row>
    <row r="1200" spans="18:30" x14ac:dyDescent="0.25">
      <c r="R1200" s="25"/>
      <c r="S1200" s="25"/>
      <c r="T1200" s="25"/>
      <c r="U1200" s="25"/>
      <c r="V1200" s="25"/>
      <c r="W1200" s="25"/>
      <c r="X1200" s="25"/>
      <c r="Y1200" s="25"/>
      <c r="Z1200" s="25"/>
      <c r="AA1200" s="25"/>
      <c r="AB1200" s="25"/>
      <c r="AC1200" s="25"/>
      <c r="AD1200" s="178"/>
    </row>
    <row r="1201" spans="18:30" x14ac:dyDescent="0.25">
      <c r="R1201" s="25"/>
      <c r="S1201" s="25"/>
      <c r="T1201" s="25"/>
      <c r="U1201" s="25"/>
      <c r="V1201" s="25"/>
      <c r="W1201" s="25"/>
      <c r="X1201" s="25"/>
      <c r="Y1201" s="25"/>
      <c r="Z1201" s="25"/>
      <c r="AA1201" s="25"/>
      <c r="AB1201" s="25"/>
      <c r="AC1201" s="25"/>
      <c r="AD1201" s="178"/>
    </row>
    <row r="1202" spans="18:30" x14ac:dyDescent="0.25">
      <c r="R1202" s="25"/>
      <c r="S1202" s="25"/>
      <c r="T1202" s="25"/>
      <c r="U1202" s="25"/>
      <c r="V1202" s="25"/>
      <c r="W1202" s="25"/>
      <c r="X1202" s="25"/>
      <c r="Y1202" s="25"/>
      <c r="Z1202" s="25"/>
      <c r="AA1202" s="25"/>
      <c r="AB1202" s="25"/>
      <c r="AC1202" s="25"/>
      <c r="AD1202" s="178"/>
    </row>
    <row r="1203" spans="18:30" x14ac:dyDescent="0.25">
      <c r="R1203" s="25"/>
      <c r="S1203" s="25"/>
      <c r="T1203" s="25"/>
      <c r="U1203" s="25"/>
      <c r="V1203" s="25"/>
      <c r="W1203" s="25"/>
      <c r="X1203" s="25"/>
      <c r="Y1203" s="25"/>
      <c r="Z1203" s="25"/>
      <c r="AA1203" s="25"/>
      <c r="AB1203" s="25"/>
      <c r="AC1203" s="25"/>
      <c r="AD1203" s="178"/>
    </row>
    <row r="1204" spans="18:30" x14ac:dyDescent="0.25">
      <c r="R1204" s="25"/>
      <c r="S1204" s="25"/>
      <c r="T1204" s="25"/>
      <c r="U1204" s="25"/>
      <c r="V1204" s="25"/>
      <c r="W1204" s="25"/>
      <c r="X1204" s="25"/>
      <c r="Y1204" s="25"/>
      <c r="Z1204" s="25"/>
      <c r="AA1204" s="25"/>
      <c r="AB1204" s="25"/>
      <c r="AC1204" s="25"/>
      <c r="AD1204" s="178"/>
    </row>
    <row r="1205" spans="18:30" x14ac:dyDescent="0.25">
      <c r="R1205" s="25"/>
      <c r="S1205" s="25"/>
      <c r="T1205" s="25"/>
      <c r="U1205" s="25"/>
      <c r="V1205" s="25"/>
      <c r="W1205" s="25"/>
      <c r="X1205" s="25"/>
      <c r="Y1205" s="25"/>
      <c r="Z1205" s="25"/>
      <c r="AA1205" s="25"/>
      <c r="AB1205" s="25"/>
      <c r="AC1205" s="25"/>
      <c r="AD1205" s="178"/>
    </row>
    <row r="1206" spans="18:30" x14ac:dyDescent="0.25">
      <c r="R1206" s="25"/>
      <c r="S1206" s="25"/>
      <c r="T1206" s="25"/>
      <c r="U1206" s="25"/>
      <c r="V1206" s="25"/>
      <c r="W1206" s="25"/>
      <c r="X1206" s="25"/>
      <c r="Y1206" s="25"/>
      <c r="Z1206" s="25"/>
      <c r="AA1206" s="25"/>
      <c r="AB1206" s="25"/>
      <c r="AC1206" s="25"/>
      <c r="AD1206" s="178"/>
    </row>
    <row r="1207" spans="18:30" x14ac:dyDescent="0.25">
      <c r="R1207" s="25"/>
      <c r="S1207" s="25"/>
      <c r="T1207" s="25"/>
      <c r="U1207" s="25"/>
      <c r="V1207" s="25"/>
      <c r="W1207" s="25"/>
      <c r="X1207" s="25"/>
      <c r="Y1207" s="25"/>
      <c r="Z1207" s="25"/>
      <c r="AA1207" s="25"/>
      <c r="AB1207" s="25"/>
      <c r="AC1207" s="25"/>
      <c r="AD1207" s="178"/>
    </row>
    <row r="1208" spans="18:30" x14ac:dyDescent="0.25">
      <c r="R1208" s="25"/>
      <c r="S1208" s="25"/>
      <c r="T1208" s="25"/>
      <c r="U1208" s="25"/>
      <c r="V1208" s="25"/>
      <c r="W1208" s="25"/>
      <c r="X1208" s="25"/>
      <c r="Y1208" s="25"/>
      <c r="Z1208" s="25"/>
      <c r="AA1208" s="25"/>
      <c r="AB1208" s="25"/>
      <c r="AC1208" s="25"/>
      <c r="AD1208" s="178"/>
    </row>
    <row r="1209" spans="18:30" x14ac:dyDescent="0.25">
      <c r="R1209" s="25"/>
      <c r="S1209" s="25"/>
      <c r="T1209" s="25"/>
      <c r="U1209" s="25"/>
      <c r="V1209" s="25"/>
      <c r="W1209" s="25"/>
      <c r="X1209" s="25"/>
      <c r="Y1209" s="25"/>
      <c r="Z1209" s="25"/>
      <c r="AA1209" s="25"/>
      <c r="AB1209" s="25"/>
      <c r="AC1209" s="25"/>
      <c r="AD1209" s="178"/>
    </row>
    <row r="1210" spans="18:30" x14ac:dyDescent="0.25">
      <c r="R1210" s="25"/>
      <c r="S1210" s="25"/>
      <c r="T1210" s="25"/>
      <c r="U1210" s="25"/>
      <c r="V1210" s="25"/>
      <c r="W1210" s="25"/>
      <c r="X1210" s="25"/>
      <c r="Y1210" s="25"/>
      <c r="Z1210" s="25"/>
      <c r="AA1210" s="25"/>
      <c r="AB1210" s="25"/>
      <c r="AC1210" s="25"/>
      <c r="AD1210" s="178"/>
    </row>
    <row r="1211" spans="18:30" x14ac:dyDescent="0.25">
      <c r="R1211" s="25"/>
      <c r="S1211" s="25"/>
      <c r="T1211" s="25"/>
      <c r="U1211" s="25"/>
      <c r="V1211" s="25"/>
      <c r="W1211" s="25"/>
      <c r="X1211" s="25"/>
      <c r="Y1211" s="25"/>
      <c r="Z1211" s="25"/>
      <c r="AA1211" s="25"/>
      <c r="AB1211" s="25"/>
      <c r="AC1211" s="25"/>
      <c r="AD1211" s="178"/>
    </row>
    <row r="1212" spans="18:30" x14ac:dyDescent="0.25">
      <c r="R1212" s="25"/>
      <c r="S1212" s="25"/>
      <c r="T1212" s="25"/>
      <c r="U1212" s="25"/>
      <c r="V1212" s="25"/>
      <c r="W1212" s="25"/>
      <c r="X1212" s="25"/>
      <c r="Y1212" s="25"/>
      <c r="Z1212" s="25"/>
      <c r="AA1212" s="25"/>
      <c r="AB1212" s="25"/>
      <c r="AC1212" s="25"/>
      <c r="AD1212" s="178"/>
    </row>
    <row r="1213" spans="18:30" x14ac:dyDescent="0.25">
      <c r="R1213" s="25"/>
      <c r="S1213" s="25"/>
      <c r="T1213" s="25"/>
      <c r="U1213" s="25"/>
      <c r="V1213" s="25"/>
      <c r="W1213" s="25"/>
      <c r="X1213" s="25"/>
      <c r="Y1213" s="25"/>
      <c r="Z1213" s="25"/>
      <c r="AA1213" s="25"/>
      <c r="AB1213" s="25"/>
      <c r="AC1213" s="25"/>
      <c r="AD1213" s="178"/>
    </row>
    <row r="1214" spans="18:30" x14ac:dyDescent="0.25">
      <c r="R1214" s="25"/>
      <c r="S1214" s="25"/>
      <c r="T1214" s="25"/>
      <c r="U1214" s="25"/>
      <c r="V1214" s="25"/>
      <c r="W1214" s="25"/>
      <c r="X1214" s="25"/>
      <c r="Y1214" s="25"/>
      <c r="Z1214" s="25"/>
      <c r="AA1214" s="25"/>
      <c r="AB1214" s="25"/>
      <c r="AC1214" s="25"/>
      <c r="AD1214" s="178"/>
    </row>
    <row r="1215" spans="18:30" x14ac:dyDescent="0.25">
      <c r="R1215" s="25"/>
      <c r="S1215" s="25"/>
      <c r="T1215" s="25"/>
      <c r="U1215" s="25"/>
      <c r="V1215" s="25"/>
      <c r="W1215" s="25"/>
      <c r="X1215" s="25"/>
      <c r="Y1215" s="25"/>
      <c r="Z1215" s="25"/>
      <c r="AA1215" s="25"/>
      <c r="AB1215" s="25"/>
      <c r="AC1215" s="25"/>
      <c r="AD1215" s="178"/>
    </row>
    <row r="1216" spans="18:30" x14ac:dyDescent="0.25">
      <c r="R1216" s="25"/>
      <c r="S1216" s="25"/>
      <c r="T1216" s="25"/>
      <c r="U1216" s="25"/>
      <c r="V1216" s="25"/>
      <c r="W1216" s="25"/>
      <c r="X1216" s="25"/>
      <c r="Y1216" s="25"/>
      <c r="Z1216" s="25"/>
      <c r="AA1216" s="25"/>
      <c r="AB1216" s="25"/>
      <c r="AC1216" s="25"/>
      <c r="AD1216" s="178"/>
    </row>
    <row r="1217" spans="18:30" x14ac:dyDescent="0.25">
      <c r="R1217" s="25"/>
      <c r="S1217" s="25"/>
      <c r="T1217" s="25"/>
      <c r="U1217" s="25"/>
      <c r="V1217" s="25"/>
      <c r="W1217" s="25"/>
      <c r="X1217" s="25"/>
      <c r="Y1217" s="25"/>
      <c r="Z1217" s="25"/>
      <c r="AA1217" s="25"/>
      <c r="AB1217" s="25"/>
      <c r="AC1217" s="25"/>
      <c r="AD1217" s="178"/>
    </row>
    <row r="1218" spans="18:30" x14ac:dyDescent="0.25">
      <c r="R1218" s="25"/>
      <c r="S1218" s="25"/>
      <c r="T1218" s="25"/>
      <c r="U1218" s="25"/>
      <c r="V1218" s="25"/>
      <c r="W1218" s="25"/>
      <c r="X1218" s="25"/>
      <c r="Y1218" s="25"/>
      <c r="Z1218" s="25"/>
      <c r="AA1218" s="25"/>
      <c r="AB1218" s="25"/>
      <c r="AC1218" s="25"/>
      <c r="AD1218" s="178"/>
    </row>
    <row r="1219" spans="18:30" x14ac:dyDescent="0.25">
      <c r="R1219" s="25"/>
      <c r="S1219" s="25"/>
      <c r="T1219" s="25"/>
      <c r="U1219" s="25"/>
      <c r="V1219" s="25"/>
      <c r="W1219" s="25"/>
      <c r="X1219" s="25"/>
      <c r="Y1219" s="25"/>
      <c r="Z1219" s="25"/>
      <c r="AA1219" s="25"/>
      <c r="AB1219" s="25"/>
      <c r="AC1219" s="25"/>
      <c r="AD1219" s="178"/>
    </row>
    <row r="1220" spans="18:30" x14ac:dyDescent="0.25">
      <c r="R1220" s="25"/>
      <c r="S1220" s="25"/>
      <c r="T1220" s="25"/>
      <c r="U1220" s="25"/>
      <c r="V1220" s="25"/>
      <c r="W1220" s="25"/>
      <c r="X1220" s="25"/>
      <c r="Y1220" s="25"/>
      <c r="Z1220" s="25"/>
      <c r="AA1220" s="25"/>
      <c r="AB1220" s="25"/>
      <c r="AC1220" s="25"/>
      <c r="AD1220" s="178"/>
    </row>
    <row r="1221" spans="18:30" x14ac:dyDescent="0.25">
      <c r="R1221" s="25"/>
      <c r="S1221" s="25"/>
      <c r="T1221" s="25"/>
      <c r="U1221" s="25"/>
      <c r="V1221" s="25"/>
      <c r="W1221" s="25"/>
      <c r="X1221" s="25"/>
      <c r="Y1221" s="25"/>
      <c r="Z1221" s="25"/>
      <c r="AA1221" s="25"/>
      <c r="AB1221" s="25"/>
      <c r="AC1221" s="25"/>
      <c r="AD1221" s="178"/>
    </row>
    <row r="1222" spans="18:30" x14ac:dyDescent="0.25">
      <c r="R1222" s="25"/>
      <c r="S1222" s="25"/>
      <c r="T1222" s="25"/>
      <c r="U1222" s="25"/>
      <c r="V1222" s="25"/>
      <c r="W1222" s="25"/>
      <c r="X1222" s="25"/>
      <c r="Y1222" s="25"/>
      <c r="Z1222" s="25"/>
      <c r="AA1222" s="25"/>
      <c r="AB1222" s="25"/>
      <c r="AC1222" s="25"/>
      <c r="AD1222" s="178"/>
    </row>
    <row r="1223" spans="18:30" x14ac:dyDescent="0.25">
      <c r="R1223" s="25"/>
      <c r="S1223" s="25"/>
      <c r="T1223" s="25"/>
      <c r="U1223" s="25"/>
      <c r="V1223" s="25"/>
      <c r="W1223" s="25"/>
      <c r="X1223" s="25"/>
      <c r="Y1223" s="25"/>
      <c r="Z1223" s="25"/>
      <c r="AA1223" s="25"/>
      <c r="AB1223" s="25"/>
      <c r="AC1223" s="25"/>
      <c r="AD1223" s="178"/>
    </row>
    <row r="1224" spans="18:30" x14ac:dyDescent="0.25">
      <c r="R1224" s="25"/>
      <c r="S1224" s="25"/>
      <c r="T1224" s="25"/>
      <c r="U1224" s="25"/>
      <c r="V1224" s="25"/>
      <c r="W1224" s="25"/>
      <c r="X1224" s="25"/>
      <c r="Y1224" s="25"/>
      <c r="Z1224" s="25"/>
      <c r="AA1224" s="25"/>
      <c r="AB1224" s="25"/>
      <c r="AC1224" s="25"/>
      <c r="AD1224" s="178"/>
    </row>
    <row r="1225" spans="18:30" x14ac:dyDescent="0.25">
      <c r="R1225" s="25"/>
      <c r="S1225" s="25"/>
      <c r="T1225" s="25"/>
      <c r="U1225" s="25"/>
      <c r="V1225" s="25"/>
      <c r="W1225" s="25"/>
      <c r="X1225" s="25"/>
      <c r="Y1225" s="25"/>
      <c r="Z1225" s="25"/>
      <c r="AA1225" s="25"/>
      <c r="AB1225" s="25"/>
      <c r="AC1225" s="25"/>
      <c r="AD1225" s="178"/>
    </row>
    <row r="1226" spans="18:30" x14ac:dyDescent="0.25">
      <c r="R1226" s="25"/>
      <c r="S1226" s="25"/>
      <c r="T1226" s="25"/>
      <c r="U1226" s="25"/>
      <c r="V1226" s="25"/>
      <c r="W1226" s="25"/>
      <c r="X1226" s="25"/>
      <c r="Y1226" s="25"/>
      <c r="Z1226" s="25"/>
      <c r="AA1226" s="25"/>
      <c r="AB1226" s="25"/>
      <c r="AC1226" s="25"/>
      <c r="AD1226" s="178"/>
    </row>
    <row r="1227" spans="18:30" x14ac:dyDescent="0.25">
      <c r="R1227" s="25"/>
      <c r="S1227" s="25"/>
      <c r="T1227" s="25"/>
      <c r="U1227" s="25"/>
      <c r="V1227" s="25"/>
      <c r="W1227" s="25"/>
      <c r="X1227" s="25"/>
      <c r="Y1227" s="25"/>
      <c r="Z1227" s="25"/>
      <c r="AA1227" s="25"/>
      <c r="AB1227" s="25"/>
      <c r="AC1227" s="25"/>
      <c r="AD1227" s="178"/>
    </row>
    <row r="1228" spans="18:30" x14ac:dyDescent="0.25">
      <c r="R1228" s="25"/>
      <c r="S1228" s="25"/>
      <c r="T1228" s="25"/>
      <c r="U1228" s="25"/>
      <c r="V1228" s="25"/>
      <c r="W1228" s="25"/>
      <c r="X1228" s="25"/>
      <c r="Y1228" s="25"/>
      <c r="Z1228" s="25"/>
      <c r="AA1228" s="25"/>
      <c r="AB1228" s="25"/>
      <c r="AC1228" s="25"/>
      <c r="AD1228" s="178"/>
    </row>
    <row r="1229" spans="18:30" x14ac:dyDescent="0.25">
      <c r="R1229" s="25"/>
      <c r="S1229" s="25"/>
      <c r="T1229" s="25"/>
      <c r="U1229" s="25"/>
      <c r="V1229" s="25"/>
      <c r="W1229" s="25"/>
      <c r="X1229" s="25"/>
      <c r="Y1229" s="25"/>
      <c r="Z1229" s="25"/>
      <c r="AA1229" s="25"/>
      <c r="AB1229" s="25"/>
      <c r="AC1229" s="25"/>
      <c r="AD1229" s="178"/>
    </row>
    <row r="1230" spans="18:30" x14ac:dyDescent="0.25">
      <c r="R1230" s="25"/>
      <c r="S1230" s="25"/>
      <c r="T1230" s="25"/>
      <c r="U1230" s="25"/>
      <c r="V1230" s="25"/>
      <c r="W1230" s="25"/>
      <c r="X1230" s="25"/>
      <c r="Y1230" s="25"/>
      <c r="Z1230" s="25"/>
      <c r="AA1230" s="25"/>
      <c r="AB1230" s="25"/>
      <c r="AC1230" s="25"/>
      <c r="AD1230" s="178"/>
    </row>
    <row r="1231" spans="18:30" x14ac:dyDescent="0.25">
      <c r="R1231" s="25"/>
      <c r="S1231" s="25"/>
      <c r="T1231" s="25"/>
      <c r="U1231" s="25"/>
      <c r="V1231" s="25"/>
      <c r="W1231" s="25"/>
      <c r="X1231" s="25"/>
      <c r="Y1231" s="25"/>
      <c r="Z1231" s="25"/>
      <c r="AA1231" s="25"/>
      <c r="AB1231" s="25"/>
      <c r="AC1231" s="25"/>
      <c r="AD1231" s="178"/>
    </row>
    <row r="1232" spans="18:30" x14ac:dyDescent="0.25">
      <c r="R1232" s="25"/>
      <c r="S1232" s="25"/>
      <c r="T1232" s="25"/>
      <c r="U1232" s="25"/>
      <c r="V1232" s="25"/>
      <c r="W1232" s="25"/>
      <c r="X1232" s="25"/>
      <c r="Y1232" s="25"/>
      <c r="Z1232" s="25"/>
      <c r="AA1232" s="25"/>
      <c r="AB1232" s="25"/>
      <c r="AC1232" s="25"/>
      <c r="AD1232" s="178"/>
    </row>
    <row r="1233" spans="18:30" x14ac:dyDescent="0.25">
      <c r="R1233" s="25"/>
      <c r="S1233" s="25"/>
      <c r="T1233" s="25"/>
      <c r="U1233" s="25"/>
      <c r="V1233" s="25"/>
      <c r="W1233" s="25"/>
      <c r="X1233" s="25"/>
      <c r="Y1233" s="25"/>
      <c r="Z1233" s="25"/>
      <c r="AA1233" s="25"/>
      <c r="AB1233" s="25"/>
      <c r="AC1233" s="25"/>
      <c r="AD1233" s="178"/>
    </row>
    <row r="1234" spans="18:30" x14ac:dyDescent="0.25">
      <c r="R1234" s="25"/>
      <c r="S1234" s="25"/>
      <c r="T1234" s="25"/>
      <c r="U1234" s="25"/>
      <c r="V1234" s="25"/>
      <c r="W1234" s="25"/>
      <c r="X1234" s="25"/>
      <c r="Y1234" s="25"/>
      <c r="Z1234" s="25"/>
      <c r="AA1234" s="25"/>
      <c r="AB1234" s="25"/>
      <c r="AC1234" s="25"/>
      <c r="AD1234" s="178"/>
    </row>
    <row r="1235" spans="18:30" x14ac:dyDescent="0.25">
      <c r="R1235" s="25"/>
      <c r="S1235" s="25"/>
      <c r="T1235" s="25"/>
      <c r="U1235" s="25"/>
      <c r="V1235" s="25"/>
      <c r="W1235" s="25"/>
      <c r="X1235" s="25"/>
      <c r="Y1235" s="25"/>
      <c r="Z1235" s="25"/>
      <c r="AA1235" s="25"/>
      <c r="AB1235" s="25"/>
      <c r="AC1235" s="25"/>
      <c r="AD1235" s="178"/>
    </row>
    <row r="1236" spans="18:30" x14ac:dyDescent="0.25">
      <c r="R1236" s="25"/>
      <c r="S1236" s="25"/>
      <c r="T1236" s="25"/>
      <c r="U1236" s="25"/>
      <c r="V1236" s="25"/>
      <c r="W1236" s="25"/>
      <c r="X1236" s="25"/>
      <c r="Y1236" s="25"/>
      <c r="Z1236" s="25"/>
      <c r="AA1236" s="25"/>
      <c r="AB1236" s="25"/>
      <c r="AC1236" s="25"/>
      <c r="AD1236" s="178"/>
    </row>
    <row r="1237" spans="18:30" x14ac:dyDescent="0.25">
      <c r="R1237" s="25"/>
      <c r="S1237" s="25"/>
      <c r="T1237" s="25"/>
      <c r="U1237" s="25"/>
      <c r="V1237" s="25"/>
      <c r="W1237" s="25"/>
      <c r="X1237" s="25"/>
      <c r="Y1237" s="25"/>
      <c r="Z1237" s="25"/>
      <c r="AA1237" s="25"/>
      <c r="AB1237" s="25"/>
      <c r="AC1237" s="25"/>
      <c r="AD1237" s="178"/>
    </row>
    <row r="1238" spans="18:30" x14ac:dyDescent="0.25">
      <c r="R1238" s="25"/>
      <c r="S1238" s="25"/>
      <c r="T1238" s="25"/>
      <c r="U1238" s="25"/>
      <c r="V1238" s="25"/>
      <c r="W1238" s="25"/>
      <c r="X1238" s="25"/>
      <c r="Y1238" s="25"/>
      <c r="Z1238" s="25"/>
      <c r="AA1238" s="25"/>
      <c r="AB1238" s="25"/>
      <c r="AC1238" s="25"/>
      <c r="AD1238" s="178"/>
    </row>
    <row r="1239" spans="18:30" x14ac:dyDescent="0.25">
      <c r="R1239" s="25"/>
      <c r="S1239" s="25"/>
      <c r="T1239" s="25"/>
      <c r="U1239" s="25"/>
      <c r="V1239" s="25"/>
      <c r="W1239" s="25"/>
      <c r="X1239" s="25"/>
      <c r="Y1239" s="25"/>
      <c r="Z1239" s="25"/>
      <c r="AA1239" s="25"/>
      <c r="AB1239" s="25"/>
      <c r="AC1239" s="25"/>
      <c r="AD1239" s="178"/>
    </row>
    <row r="1240" spans="18:30" x14ac:dyDescent="0.25">
      <c r="R1240" s="25"/>
      <c r="S1240" s="25"/>
      <c r="T1240" s="25"/>
      <c r="U1240" s="25"/>
      <c r="V1240" s="25"/>
      <c r="W1240" s="25"/>
      <c r="X1240" s="25"/>
      <c r="Y1240" s="25"/>
      <c r="Z1240" s="25"/>
      <c r="AA1240" s="25"/>
      <c r="AB1240" s="25"/>
      <c r="AC1240" s="25"/>
      <c r="AD1240" s="178"/>
    </row>
    <row r="1241" spans="18:30" x14ac:dyDescent="0.25">
      <c r="R1241" s="25"/>
      <c r="S1241" s="25"/>
      <c r="T1241" s="25"/>
      <c r="U1241" s="25"/>
      <c r="V1241" s="25"/>
      <c r="W1241" s="25"/>
      <c r="X1241" s="25"/>
      <c r="Y1241" s="25"/>
      <c r="Z1241" s="25"/>
      <c r="AA1241" s="25"/>
      <c r="AB1241" s="25"/>
      <c r="AC1241" s="25"/>
      <c r="AD1241" s="178"/>
    </row>
    <row r="1242" spans="18:30" x14ac:dyDescent="0.25">
      <c r="R1242" s="25"/>
      <c r="S1242" s="25"/>
      <c r="T1242" s="25"/>
      <c r="U1242" s="25"/>
      <c r="V1242" s="25"/>
      <c r="W1242" s="25"/>
      <c r="X1242" s="25"/>
      <c r="Y1242" s="25"/>
      <c r="Z1242" s="25"/>
      <c r="AA1242" s="25"/>
      <c r="AB1242" s="25"/>
      <c r="AC1242" s="25"/>
      <c r="AD1242" s="178"/>
    </row>
    <row r="1243" spans="18:30" x14ac:dyDescent="0.25">
      <c r="R1243" s="25"/>
      <c r="S1243" s="25"/>
      <c r="T1243" s="25"/>
      <c r="U1243" s="25"/>
      <c r="V1243" s="25"/>
      <c r="W1243" s="25"/>
      <c r="X1243" s="25"/>
      <c r="Y1243" s="25"/>
      <c r="Z1243" s="25"/>
      <c r="AA1243" s="25"/>
      <c r="AB1243" s="25"/>
      <c r="AC1243" s="25"/>
      <c r="AD1243" s="178"/>
    </row>
    <row r="1244" spans="18:30" x14ac:dyDescent="0.25">
      <c r="R1244" s="25"/>
      <c r="S1244" s="25"/>
      <c r="T1244" s="25"/>
      <c r="U1244" s="25"/>
      <c r="V1244" s="25"/>
      <c r="W1244" s="25"/>
      <c r="X1244" s="25"/>
      <c r="Y1244" s="25"/>
      <c r="Z1244" s="25"/>
      <c r="AA1244" s="25"/>
      <c r="AB1244" s="25"/>
      <c r="AC1244" s="25"/>
      <c r="AD1244" s="178"/>
    </row>
    <row r="1245" spans="18:30" x14ac:dyDescent="0.25">
      <c r="R1245" s="25"/>
      <c r="S1245" s="25"/>
      <c r="T1245" s="25"/>
      <c r="U1245" s="25"/>
      <c r="V1245" s="25"/>
      <c r="W1245" s="25"/>
      <c r="X1245" s="25"/>
      <c r="Y1245" s="25"/>
      <c r="Z1245" s="25"/>
      <c r="AA1245" s="25"/>
      <c r="AB1245" s="25"/>
      <c r="AC1245" s="25"/>
      <c r="AD1245" s="178"/>
    </row>
    <row r="1246" spans="18:30" x14ac:dyDescent="0.25">
      <c r="R1246" s="25"/>
      <c r="S1246" s="25"/>
      <c r="T1246" s="25"/>
      <c r="U1246" s="25"/>
      <c r="V1246" s="25"/>
      <c r="W1246" s="25"/>
      <c r="X1246" s="25"/>
      <c r="Y1246" s="25"/>
      <c r="Z1246" s="25"/>
      <c r="AA1246" s="25"/>
      <c r="AB1246" s="25"/>
      <c r="AC1246" s="25"/>
      <c r="AD1246" s="178"/>
    </row>
    <row r="1247" spans="18:30" x14ac:dyDescent="0.25">
      <c r="R1247" s="25"/>
      <c r="S1247" s="25"/>
      <c r="T1247" s="25"/>
      <c r="U1247" s="25"/>
      <c r="V1247" s="25"/>
      <c r="W1247" s="25"/>
      <c r="X1247" s="25"/>
      <c r="Y1247" s="25"/>
      <c r="Z1247" s="25"/>
      <c r="AA1247" s="25"/>
      <c r="AB1247" s="25"/>
      <c r="AC1247" s="25"/>
      <c r="AD1247" s="178"/>
    </row>
    <row r="1248" spans="18:30" x14ac:dyDescent="0.25">
      <c r="R1248" s="25"/>
      <c r="S1248" s="25"/>
      <c r="T1248" s="25"/>
      <c r="U1248" s="25"/>
      <c r="V1248" s="25"/>
      <c r="W1248" s="25"/>
      <c r="X1248" s="25"/>
      <c r="Y1248" s="25"/>
      <c r="Z1248" s="25"/>
      <c r="AA1248" s="25"/>
      <c r="AB1248" s="25"/>
      <c r="AC1248" s="25"/>
      <c r="AD1248" s="178"/>
    </row>
    <row r="1249" spans="18:30" x14ac:dyDescent="0.25">
      <c r="R1249" s="25"/>
      <c r="S1249" s="25"/>
      <c r="T1249" s="25"/>
      <c r="U1249" s="25"/>
      <c r="V1249" s="25"/>
      <c r="W1249" s="25"/>
      <c r="X1249" s="25"/>
      <c r="Y1249" s="25"/>
      <c r="Z1249" s="25"/>
      <c r="AA1249" s="25"/>
      <c r="AB1249" s="25"/>
      <c r="AC1249" s="25"/>
      <c r="AD1249" s="178"/>
    </row>
    <row r="1250" spans="18:30" x14ac:dyDescent="0.25">
      <c r="R1250" s="25"/>
      <c r="S1250" s="25"/>
      <c r="T1250" s="25"/>
      <c r="U1250" s="25"/>
      <c r="V1250" s="25"/>
      <c r="W1250" s="25"/>
      <c r="X1250" s="25"/>
      <c r="Y1250" s="25"/>
      <c r="Z1250" s="25"/>
      <c r="AA1250" s="25"/>
      <c r="AB1250" s="25"/>
      <c r="AC1250" s="25"/>
      <c r="AD1250" s="178"/>
    </row>
    <row r="1251" spans="18:30" x14ac:dyDescent="0.25">
      <c r="R1251" s="25"/>
      <c r="S1251" s="25"/>
      <c r="T1251" s="25"/>
      <c r="U1251" s="25"/>
      <c r="V1251" s="25"/>
      <c r="W1251" s="25"/>
      <c r="X1251" s="25"/>
      <c r="Y1251" s="25"/>
      <c r="Z1251" s="25"/>
      <c r="AA1251" s="25"/>
      <c r="AB1251" s="25"/>
      <c r="AC1251" s="25"/>
      <c r="AD1251" s="178"/>
    </row>
    <row r="1252" spans="18:30" x14ac:dyDescent="0.25">
      <c r="R1252" s="25"/>
      <c r="S1252" s="25"/>
      <c r="T1252" s="25"/>
      <c r="U1252" s="25"/>
      <c r="V1252" s="25"/>
      <c r="W1252" s="25"/>
      <c r="X1252" s="25"/>
      <c r="Y1252" s="25"/>
      <c r="Z1252" s="25"/>
      <c r="AA1252" s="25"/>
      <c r="AB1252" s="25"/>
      <c r="AC1252" s="25"/>
      <c r="AD1252" s="178"/>
    </row>
    <row r="1253" spans="18:30" x14ac:dyDescent="0.25">
      <c r="R1253" s="25"/>
      <c r="S1253" s="25"/>
      <c r="T1253" s="25"/>
      <c r="U1253" s="25"/>
      <c r="V1253" s="25"/>
      <c r="W1253" s="25"/>
      <c r="X1253" s="25"/>
      <c r="Y1253" s="25"/>
      <c r="Z1253" s="25"/>
      <c r="AA1253" s="25"/>
      <c r="AB1253" s="25"/>
      <c r="AC1253" s="25"/>
      <c r="AD1253" s="178"/>
    </row>
    <row r="1254" spans="18:30" x14ac:dyDescent="0.25">
      <c r="R1254" s="25"/>
      <c r="S1254" s="25"/>
      <c r="T1254" s="25"/>
      <c r="U1254" s="25"/>
      <c r="V1254" s="25"/>
      <c r="W1254" s="25"/>
      <c r="X1254" s="25"/>
      <c r="Y1254" s="25"/>
      <c r="Z1254" s="25"/>
      <c r="AA1254" s="25"/>
      <c r="AB1254" s="25"/>
      <c r="AC1254" s="25"/>
      <c r="AD1254" s="178"/>
    </row>
    <row r="1255" spans="18:30" x14ac:dyDescent="0.25">
      <c r="R1255" s="25"/>
      <c r="S1255" s="25"/>
      <c r="T1255" s="25"/>
      <c r="U1255" s="25"/>
      <c r="V1255" s="25"/>
      <c r="W1255" s="25"/>
      <c r="X1255" s="25"/>
      <c r="Y1255" s="25"/>
      <c r="Z1255" s="25"/>
      <c r="AA1255" s="25"/>
      <c r="AB1255" s="25"/>
      <c r="AC1255" s="25"/>
      <c r="AD1255" s="178"/>
    </row>
    <row r="1256" spans="18:30" x14ac:dyDescent="0.25">
      <c r="R1256" s="25"/>
      <c r="S1256" s="25"/>
      <c r="T1256" s="25"/>
      <c r="U1256" s="25"/>
      <c r="V1256" s="25"/>
      <c r="W1256" s="25"/>
      <c r="X1256" s="25"/>
      <c r="Y1256" s="25"/>
      <c r="Z1256" s="25"/>
      <c r="AA1256" s="25"/>
      <c r="AB1256" s="25"/>
      <c r="AC1256" s="25"/>
      <c r="AD1256" s="178"/>
    </row>
    <row r="1257" spans="18:30" x14ac:dyDescent="0.25">
      <c r="R1257" s="25"/>
      <c r="S1257" s="25"/>
      <c r="T1257" s="25"/>
      <c r="U1257" s="25"/>
      <c r="V1257" s="25"/>
      <c r="W1257" s="25"/>
      <c r="X1257" s="25"/>
      <c r="Y1257" s="25"/>
      <c r="Z1257" s="25"/>
      <c r="AA1257" s="25"/>
      <c r="AB1257" s="25"/>
      <c r="AC1257" s="25"/>
      <c r="AD1257" s="178"/>
    </row>
    <row r="1258" spans="18:30" x14ac:dyDescent="0.25">
      <c r="R1258" s="25"/>
      <c r="S1258" s="25"/>
      <c r="T1258" s="25"/>
      <c r="U1258" s="25"/>
      <c r="V1258" s="25"/>
      <c r="W1258" s="25"/>
      <c r="X1258" s="25"/>
      <c r="Y1258" s="25"/>
      <c r="Z1258" s="25"/>
      <c r="AA1258" s="25"/>
      <c r="AB1258" s="25"/>
      <c r="AC1258" s="25"/>
      <c r="AD1258" s="178"/>
    </row>
    <row r="1259" spans="18:30" x14ac:dyDescent="0.25">
      <c r="R1259" s="25"/>
      <c r="S1259" s="25"/>
      <c r="T1259" s="25"/>
      <c r="U1259" s="25"/>
      <c r="V1259" s="25"/>
      <c r="W1259" s="25"/>
      <c r="X1259" s="25"/>
      <c r="Y1259" s="25"/>
      <c r="Z1259" s="25"/>
      <c r="AA1259" s="25"/>
      <c r="AB1259" s="25"/>
      <c r="AC1259" s="25"/>
      <c r="AD1259" s="178"/>
    </row>
    <row r="1260" spans="18:30" x14ac:dyDescent="0.25">
      <c r="R1260" s="25"/>
      <c r="S1260" s="25"/>
      <c r="T1260" s="25"/>
      <c r="U1260" s="25"/>
      <c r="V1260" s="25"/>
      <c r="W1260" s="25"/>
      <c r="X1260" s="25"/>
      <c r="Y1260" s="25"/>
      <c r="Z1260" s="25"/>
      <c r="AA1260" s="25"/>
      <c r="AB1260" s="25"/>
      <c r="AC1260" s="25"/>
      <c r="AD1260" s="178"/>
    </row>
    <row r="1261" spans="18:30" x14ac:dyDescent="0.25">
      <c r="R1261" s="25"/>
      <c r="S1261" s="25"/>
      <c r="T1261" s="25"/>
      <c r="U1261" s="25"/>
      <c r="V1261" s="25"/>
      <c r="W1261" s="25"/>
      <c r="X1261" s="25"/>
      <c r="Y1261" s="25"/>
      <c r="Z1261" s="25"/>
      <c r="AA1261" s="25"/>
      <c r="AB1261" s="25"/>
      <c r="AC1261" s="25"/>
      <c r="AD1261" s="178"/>
    </row>
    <row r="1262" spans="18:30" x14ac:dyDescent="0.25">
      <c r="R1262" s="25"/>
      <c r="S1262" s="25"/>
      <c r="T1262" s="25"/>
      <c r="U1262" s="25"/>
      <c r="V1262" s="25"/>
      <c r="W1262" s="25"/>
      <c r="X1262" s="25"/>
      <c r="Y1262" s="25"/>
      <c r="Z1262" s="25"/>
      <c r="AA1262" s="25"/>
      <c r="AB1262" s="25"/>
      <c r="AC1262" s="25"/>
      <c r="AD1262" s="178"/>
    </row>
    <row r="1263" spans="18:30" x14ac:dyDescent="0.25">
      <c r="R1263" s="25"/>
      <c r="S1263" s="25"/>
      <c r="T1263" s="25"/>
      <c r="U1263" s="25"/>
      <c r="V1263" s="25"/>
      <c r="W1263" s="25"/>
      <c r="X1263" s="25"/>
      <c r="Y1263" s="25"/>
      <c r="Z1263" s="25"/>
      <c r="AA1263" s="25"/>
      <c r="AB1263" s="25"/>
      <c r="AC1263" s="25"/>
      <c r="AD1263" s="178"/>
    </row>
    <row r="1264" spans="18:30" x14ac:dyDescent="0.25">
      <c r="R1264" s="25"/>
      <c r="S1264" s="25"/>
      <c r="T1264" s="25"/>
      <c r="U1264" s="25"/>
      <c r="V1264" s="25"/>
      <c r="W1264" s="25"/>
      <c r="X1264" s="25"/>
      <c r="Y1264" s="25"/>
      <c r="Z1264" s="25"/>
      <c r="AA1264" s="25"/>
      <c r="AB1264" s="25"/>
      <c r="AC1264" s="25"/>
      <c r="AD1264" s="178"/>
    </row>
    <row r="1265" spans="18:30" x14ac:dyDescent="0.25">
      <c r="R1265" s="25"/>
      <c r="S1265" s="25"/>
      <c r="T1265" s="25"/>
      <c r="U1265" s="25"/>
      <c r="V1265" s="25"/>
      <c r="W1265" s="25"/>
      <c r="X1265" s="25"/>
      <c r="Y1265" s="25"/>
      <c r="Z1265" s="25"/>
      <c r="AA1265" s="25"/>
      <c r="AB1265" s="25"/>
      <c r="AC1265" s="25"/>
      <c r="AD1265" s="178"/>
    </row>
    <row r="1266" spans="18:30" x14ac:dyDescent="0.25">
      <c r="R1266" s="25"/>
      <c r="S1266" s="25"/>
      <c r="T1266" s="25"/>
      <c r="U1266" s="25"/>
      <c r="V1266" s="25"/>
      <c r="W1266" s="25"/>
      <c r="X1266" s="25"/>
      <c r="Y1266" s="25"/>
      <c r="Z1266" s="25"/>
      <c r="AA1266" s="25"/>
      <c r="AB1266" s="25"/>
      <c r="AC1266" s="25"/>
      <c r="AD1266" s="178"/>
    </row>
    <row r="1267" spans="18:30" x14ac:dyDescent="0.25">
      <c r="R1267" s="25"/>
      <c r="S1267" s="25"/>
      <c r="T1267" s="25"/>
      <c r="U1267" s="25"/>
      <c r="V1267" s="25"/>
      <c r="W1267" s="25"/>
      <c r="X1267" s="25"/>
      <c r="Y1267" s="25"/>
      <c r="Z1267" s="25"/>
      <c r="AA1267" s="25"/>
      <c r="AB1267" s="25"/>
      <c r="AC1267" s="25"/>
      <c r="AD1267" s="178"/>
    </row>
    <row r="1268" spans="18:30" x14ac:dyDescent="0.25">
      <c r="R1268" s="25"/>
      <c r="S1268" s="25"/>
      <c r="T1268" s="25"/>
      <c r="U1268" s="25"/>
      <c r="V1268" s="25"/>
      <c r="W1268" s="25"/>
      <c r="X1268" s="25"/>
      <c r="Y1268" s="25"/>
      <c r="Z1268" s="25"/>
      <c r="AA1268" s="25"/>
      <c r="AB1268" s="25"/>
      <c r="AC1268" s="25"/>
      <c r="AD1268" s="178"/>
    </row>
    <row r="1269" spans="18:30" x14ac:dyDescent="0.25">
      <c r="R1269" s="25"/>
      <c r="S1269" s="25"/>
      <c r="T1269" s="25"/>
      <c r="U1269" s="25"/>
      <c r="V1269" s="25"/>
      <c r="W1269" s="25"/>
      <c r="X1269" s="25"/>
      <c r="Y1269" s="25"/>
      <c r="Z1269" s="25"/>
      <c r="AA1269" s="25"/>
      <c r="AB1269" s="25"/>
      <c r="AC1269" s="25"/>
      <c r="AD1269" s="178"/>
    </row>
    <row r="1270" spans="18:30" x14ac:dyDescent="0.25">
      <c r="R1270" s="25"/>
      <c r="S1270" s="25"/>
      <c r="T1270" s="25"/>
      <c r="U1270" s="25"/>
      <c r="V1270" s="25"/>
      <c r="W1270" s="25"/>
      <c r="X1270" s="25"/>
      <c r="Y1270" s="25"/>
      <c r="Z1270" s="25"/>
      <c r="AA1270" s="25"/>
      <c r="AB1270" s="25"/>
      <c r="AC1270" s="25"/>
      <c r="AD1270" s="178"/>
    </row>
    <row r="1271" spans="18:30" x14ac:dyDescent="0.25">
      <c r="R1271" s="25"/>
      <c r="S1271" s="25"/>
      <c r="T1271" s="25"/>
      <c r="U1271" s="25"/>
      <c r="V1271" s="25"/>
      <c r="W1271" s="25"/>
      <c r="X1271" s="25"/>
      <c r="Y1271" s="25"/>
      <c r="Z1271" s="25"/>
      <c r="AA1271" s="25"/>
      <c r="AB1271" s="25"/>
      <c r="AC1271" s="25"/>
      <c r="AD1271" s="178"/>
    </row>
    <row r="1272" spans="18:30" x14ac:dyDescent="0.25">
      <c r="R1272" s="25"/>
      <c r="S1272" s="25"/>
      <c r="T1272" s="25"/>
      <c r="U1272" s="25"/>
      <c r="V1272" s="25"/>
      <c r="W1272" s="25"/>
      <c r="X1272" s="25"/>
      <c r="Y1272" s="25"/>
      <c r="Z1272" s="25"/>
      <c r="AA1272" s="25"/>
      <c r="AB1272" s="25"/>
      <c r="AC1272" s="25"/>
      <c r="AD1272" s="178"/>
    </row>
    <row r="1273" spans="18:30" x14ac:dyDescent="0.25">
      <c r="R1273" s="25"/>
      <c r="S1273" s="25"/>
      <c r="T1273" s="25"/>
      <c r="U1273" s="25"/>
      <c r="V1273" s="25"/>
      <c r="W1273" s="25"/>
      <c r="X1273" s="25"/>
      <c r="Y1273" s="25"/>
      <c r="Z1273" s="25"/>
      <c r="AA1273" s="25"/>
      <c r="AB1273" s="25"/>
      <c r="AC1273" s="25"/>
      <c r="AD1273" s="178"/>
    </row>
    <row r="1274" spans="18:30" x14ac:dyDescent="0.25">
      <c r="R1274" s="25"/>
      <c r="S1274" s="25"/>
      <c r="T1274" s="25"/>
      <c r="U1274" s="25"/>
      <c r="V1274" s="25"/>
      <c r="W1274" s="25"/>
      <c r="X1274" s="25"/>
      <c r="Y1274" s="25"/>
      <c r="Z1274" s="25"/>
      <c r="AA1274" s="25"/>
      <c r="AB1274" s="25"/>
      <c r="AC1274" s="25"/>
      <c r="AD1274" s="178"/>
    </row>
    <row r="1275" spans="18:30" x14ac:dyDescent="0.25">
      <c r="R1275" s="25"/>
      <c r="S1275" s="25"/>
      <c r="T1275" s="25"/>
      <c r="U1275" s="25"/>
      <c r="V1275" s="25"/>
      <c r="W1275" s="25"/>
      <c r="X1275" s="25"/>
      <c r="Y1275" s="25"/>
      <c r="Z1275" s="25"/>
      <c r="AA1275" s="25"/>
      <c r="AB1275" s="25"/>
      <c r="AC1275" s="25"/>
      <c r="AD1275" s="178"/>
    </row>
    <row r="1276" spans="18:30" x14ac:dyDescent="0.25">
      <c r="R1276" s="25"/>
      <c r="S1276" s="25"/>
      <c r="T1276" s="25"/>
      <c r="U1276" s="25"/>
      <c r="V1276" s="25"/>
      <c r="W1276" s="25"/>
      <c r="X1276" s="25"/>
      <c r="Y1276" s="25"/>
      <c r="Z1276" s="25"/>
      <c r="AA1276" s="25"/>
      <c r="AB1276" s="25"/>
      <c r="AC1276" s="25"/>
      <c r="AD1276" s="178"/>
    </row>
    <row r="1277" spans="18:30" x14ac:dyDescent="0.25">
      <c r="R1277" s="25"/>
      <c r="S1277" s="25"/>
      <c r="T1277" s="25"/>
      <c r="U1277" s="25"/>
      <c r="V1277" s="25"/>
      <c r="W1277" s="25"/>
      <c r="X1277" s="25"/>
      <c r="Y1277" s="25"/>
      <c r="Z1277" s="25"/>
      <c r="AA1277" s="25"/>
      <c r="AB1277" s="25"/>
      <c r="AC1277" s="25"/>
      <c r="AD1277" s="178"/>
    </row>
    <row r="1278" spans="18:30" x14ac:dyDescent="0.25">
      <c r="R1278" s="25"/>
      <c r="S1278" s="25"/>
      <c r="T1278" s="25"/>
      <c r="U1278" s="25"/>
      <c r="V1278" s="25"/>
      <c r="W1278" s="25"/>
      <c r="X1278" s="25"/>
      <c r="Y1278" s="25"/>
      <c r="Z1278" s="25"/>
      <c r="AA1278" s="25"/>
      <c r="AB1278" s="25"/>
      <c r="AC1278" s="25"/>
      <c r="AD1278" s="178"/>
    </row>
    <row r="1279" spans="18:30" x14ac:dyDescent="0.25">
      <c r="R1279" s="25"/>
      <c r="S1279" s="25"/>
      <c r="T1279" s="25"/>
      <c r="U1279" s="25"/>
      <c r="V1279" s="25"/>
      <c r="W1279" s="25"/>
      <c r="X1279" s="25"/>
      <c r="Y1279" s="25"/>
      <c r="Z1279" s="25"/>
      <c r="AA1279" s="25"/>
      <c r="AB1279" s="25"/>
      <c r="AC1279" s="25"/>
      <c r="AD1279" s="178"/>
    </row>
    <row r="1280" spans="18:30" x14ac:dyDescent="0.25">
      <c r="R1280" s="25"/>
      <c r="S1280" s="25"/>
      <c r="T1280" s="25"/>
      <c r="U1280" s="25"/>
      <c r="V1280" s="25"/>
      <c r="W1280" s="25"/>
      <c r="X1280" s="25"/>
      <c r="Y1280" s="25"/>
      <c r="Z1280" s="25"/>
      <c r="AA1280" s="25"/>
      <c r="AB1280" s="25"/>
      <c r="AC1280" s="25"/>
      <c r="AD1280" s="178"/>
    </row>
    <row r="1281" spans="18:30" x14ac:dyDescent="0.25">
      <c r="R1281" s="25"/>
      <c r="S1281" s="25"/>
      <c r="T1281" s="25"/>
      <c r="U1281" s="25"/>
      <c r="V1281" s="25"/>
      <c r="W1281" s="25"/>
      <c r="X1281" s="25"/>
      <c r="Y1281" s="25"/>
      <c r="Z1281" s="25"/>
      <c r="AA1281" s="25"/>
      <c r="AB1281" s="25"/>
      <c r="AC1281" s="25"/>
      <c r="AD1281" s="178"/>
    </row>
    <row r="1282" spans="18:30" x14ac:dyDescent="0.25">
      <c r="R1282" s="25"/>
      <c r="S1282" s="25"/>
      <c r="T1282" s="25"/>
      <c r="U1282" s="25"/>
      <c r="V1282" s="25"/>
      <c r="W1282" s="25"/>
      <c r="X1282" s="25"/>
      <c r="Y1282" s="25"/>
      <c r="Z1282" s="25"/>
      <c r="AA1282" s="25"/>
      <c r="AB1282" s="25"/>
      <c r="AC1282" s="25"/>
      <c r="AD1282" s="178"/>
    </row>
    <row r="1283" spans="18:30" x14ac:dyDescent="0.25">
      <c r="R1283" s="25"/>
      <c r="S1283" s="25"/>
      <c r="T1283" s="25"/>
      <c r="U1283" s="25"/>
      <c r="V1283" s="25"/>
      <c r="W1283" s="25"/>
      <c r="X1283" s="25"/>
      <c r="Y1283" s="25"/>
      <c r="Z1283" s="25"/>
      <c r="AA1283" s="25"/>
      <c r="AB1283" s="25"/>
      <c r="AC1283" s="25"/>
      <c r="AD1283" s="178"/>
    </row>
    <row r="1284" spans="18:30" x14ac:dyDescent="0.25">
      <c r="R1284" s="25"/>
      <c r="S1284" s="25"/>
      <c r="T1284" s="25"/>
      <c r="U1284" s="25"/>
      <c r="V1284" s="25"/>
      <c r="W1284" s="25"/>
      <c r="X1284" s="25"/>
      <c r="Y1284" s="25"/>
      <c r="Z1284" s="25"/>
      <c r="AA1284" s="25"/>
      <c r="AB1284" s="25"/>
      <c r="AC1284" s="25"/>
      <c r="AD1284" s="178"/>
    </row>
    <row r="1285" spans="18:30" x14ac:dyDescent="0.25">
      <c r="R1285" s="25"/>
      <c r="S1285" s="25"/>
      <c r="T1285" s="25"/>
      <c r="U1285" s="25"/>
      <c r="V1285" s="25"/>
      <c r="W1285" s="25"/>
      <c r="X1285" s="25"/>
      <c r="Y1285" s="25"/>
      <c r="Z1285" s="25"/>
      <c r="AA1285" s="25"/>
      <c r="AB1285" s="25"/>
      <c r="AC1285" s="25"/>
      <c r="AD1285" s="178"/>
    </row>
    <row r="1286" spans="18:30" x14ac:dyDescent="0.25">
      <c r="R1286" s="25"/>
      <c r="S1286" s="25"/>
      <c r="T1286" s="25"/>
      <c r="U1286" s="25"/>
      <c r="V1286" s="25"/>
      <c r="W1286" s="25"/>
      <c r="X1286" s="25"/>
      <c r="Y1286" s="25"/>
      <c r="Z1286" s="25"/>
      <c r="AA1286" s="25"/>
      <c r="AB1286" s="25"/>
      <c r="AC1286" s="25"/>
      <c r="AD1286" s="178"/>
    </row>
    <row r="1287" spans="18:30" x14ac:dyDescent="0.25">
      <c r="R1287" s="25"/>
      <c r="S1287" s="25"/>
      <c r="T1287" s="25"/>
      <c r="U1287" s="25"/>
      <c r="V1287" s="25"/>
      <c r="W1287" s="25"/>
      <c r="X1287" s="25"/>
      <c r="Y1287" s="25"/>
      <c r="Z1287" s="25"/>
      <c r="AA1287" s="25"/>
      <c r="AB1287" s="25"/>
      <c r="AC1287" s="25"/>
      <c r="AD1287" s="178"/>
    </row>
    <row r="1288" spans="18:30" x14ac:dyDescent="0.25">
      <c r="R1288" s="25"/>
      <c r="S1288" s="25"/>
      <c r="T1288" s="25"/>
      <c r="U1288" s="25"/>
      <c r="V1288" s="25"/>
      <c r="W1288" s="25"/>
      <c r="X1288" s="25"/>
      <c r="Y1288" s="25"/>
      <c r="Z1288" s="25"/>
      <c r="AA1288" s="25"/>
      <c r="AB1288" s="25"/>
      <c r="AC1288" s="25"/>
      <c r="AD1288" s="178"/>
    </row>
    <row r="1289" spans="18:30" x14ac:dyDescent="0.25">
      <c r="R1289" s="25"/>
      <c r="S1289" s="25"/>
      <c r="T1289" s="25"/>
      <c r="U1289" s="25"/>
      <c r="V1289" s="25"/>
      <c r="W1289" s="25"/>
      <c r="X1289" s="25"/>
      <c r="Y1289" s="25"/>
      <c r="Z1289" s="25"/>
      <c r="AA1289" s="25"/>
      <c r="AB1289" s="25"/>
      <c r="AC1289" s="25"/>
      <c r="AD1289" s="178"/>
    </row>
    <row r="1290" spans="18:30" x14ac:dyDescent="0.25">
      <c r="R1290" s="25"/>
      <c r="S1290" s="25"/>
      <c r="T1290" s="25"/>
      <c r="U1290" s="25"/>
      <c r="V1290" s="25"/>
      <c r="W1290" s="25"/>
      <c r="X1290" s="25"/>
      <c r="Y1290" s="25"/>
      <c r="Z1290" s="25"/>
      <c r="AA1290" s="25"/>
      <c r="AB1290" s="25"/>
      <c r="AC1290" s="25"/>
      <c r="AD1290" s="178"/>
    </row>
    <row r="1291" spans="18:30" x14ac:dyDescent="0.25">
      <c r="R1291" s="25"/>
      <c r="S1291" s="25"/>
      <c r="T1291" s="25"/>
      <c r="U1291" s="25"/>
      <c r="V1291" s="25"/>
      <c r="W1291" s="25"/>
      <c r="X1291" s="25"/>
      <c r="Y1291" s="25"/>
      <c r="Z1291" s="25"/>
      <c r="AA1291" s="25"/>
      <c r="AB1291" s="25"/>
      <c r="AC1291" s="25"/>
      <c r="AD1291" s="178"/>
    </row>
    <row r="1292" spans="18:30" x14ac:dyDescent="0.25">
      <c r="R1292" s="25"/>
      <c r="S1292" s="25"/>
      <c r="T1292" s="25"/>
      <c r="U1292" s="25"/>
      <c r="V1292" s="25"/>
      <c r="W1292" s="25"/>
      <c r="X1292" s="25"/>
      <c r="Y1292" s="25"/>
      <c r="Z1292" s="25"/>
      <c r="AA1292" s="25"/>
      <c r="AB1292" s="25"/>
      <c r="AC1292" s="25"/>
      <c r="AD1292" s="178"/>
    </row>
    <row r="1293" spans="18:30" x14ac:dyDescent="0.25">
      <c r="R1293" s="25"/>
      <c r="S1293" s="25"/>
      <c r="T1293" s="25"/>
      <c r="U1293" s="25"/>
      <c r="V1293" s="25"/>
      <c r="W1293" s="25"/>
      <c r="X1293" s="25"/>
      <c r="Y1293" s="25"/>
      <c r="Z1293" s="25"/>
      <c r="AA1293" s="25"/>
      <c r="AB1293" s="25"/>
      <c r="AC1293" s="25"/>
      <c r="AD1293" s="178"/>
    </row>
    <row r="1294" spans="18:30" x14ac:dyDescent="0.25">
      <c r="R1294" s="25"/>
      <c r="S1294" s="25"/>
      <c r="T1294" s="25"/>
      <c r="U1294" s="25"/>
      <c r="V1294" s="25"/>
      <c r="W1294" s="25"/>
      <c r="X1294" s="25"/>
      <c r="Y1294" s="25"/>
      <c r="Z1294" s="25"/>
      <c r="AA1294" s="25"/>
      <c r="AB1294" s="25"/>
      <c r="AC1294" s="25"/>
      <c r="AD1294" s="178"/>
    </row>
    <row r="1295" spans="18:30" x14ac:dyDescent="0.25">
      <c r="R1295" s="25"/>
      <c r="S1295" s="25"/>
      <c r="T1295" s="25"/>
      <c r="U1295" s="25"/>
      <c r="V1295" s="25"/>
      <c r="W1295" s="25"/>
      <c r="X1295" s="25"/>
      <c r="Y1295" s="25"/>
      <c r="Z1295" s="25"/>
      <c r="AA1295" s="25"/>
      <c r="AB1295" s="25"/>
      <c r="AC1295" s="25"/>
      <c r="AD1295" s="178"/>
    </row>
    <row r="1296" spans="18:30" x14ac:dyDescent="0.25">
      <c r="R1296" s="25"/>
      <c r="S1296" s="25"/>
      <c r="T1296" s="25"/>
      <c r="U1296" s="25"/>
      <c r="V1296" s="25"/>
      <c r="W1296" s="25"/>
      <c r="X1296" s="25"/>
      <c r="Y1296" s="25"/>
      <c r="Z1296" s="25"/>
      <c r="AA1296" s="25"/>
      <c r="AB1296" s="25"/>
      <c r="AC1296" s="25"/>
      <c r="AD1296" s="178"/>
    </row>
    <row r="1297" spans="18:30" x14ac:dyDescent="0.25">
      <c r="R1297" s="25"/>
      <c r="S1297" s="25"/>
      <c r="T1297" s="25"/>
      <c r="U1297" s="25"/>
      <c r="V1297" s="25"/>
      <c r="W1297" s="25"/>
      <c r="X1297" s="25"/>
      <c r="Y1297" s="25"/>
      <c r="Z1297" s="25"/>
      <c r="AA1297" s="25"/>
      <c r="AB1297" s="25"/>
      <c r="AC1297" s="25"/>
      <c r="AD1297" s="178"/>
    </row>
    <row r="1298" spans="18:30" x14ac:dyDescent="0.25">
      <c r="R1298" s="25"/>
      <c r="S1298" s="25"/>
      <c r="T1298" s="25"/>
      <c r="U1298" s="25"/>
      <c r="V1298" s="25"/>
      <c r="W1298" s="25"/>
      <c r="X1298" s="25"/>
      <c r="Y1298" s="25"/>
      <c r="Z1298" s="25"/>
      <c r="AA1298" s="25"/>
      <c r="AB1298" s="25"/>
      <c r="AC1298" s="25"/>
      <c r="AD1298" s="178"/>
    </row>
    <row r="1299" spans="18:30" x14ac:dyDescent="0.25">
      <c r="R1299" s="25"/>
      <c r="S1299" s="25"/>
      <c r="T1299" s="25"/>
      <c r="U1299" s="25"/>
      <c r="V1299" s="25"/>
      <c r="W1299" s="25"/>
      <c r="X1299" s="25"/>
      <c r="Y1299" s="25"/>
      <c r="Z1299" s="25"/>
      <c r="AA1299" s="25"/>
      <c r="AB1299" s="25"/>
      <c r="AC1299" s="25"/>
      <c r="AD1299" s="178"/>
    </row>
    <row r="1300" spans="18:30" x14ac:dyDescent="0.25">
      <c r="R1300" s="25"/>
      <c r="S1300" s="25"/>
      <c r="T1300" s="25"/>
      <c r="U1300" s="25"/>
      <c r="V1300" s="25"/>
      <c r="W1300" s="25"/>
      <c r="X1300" s="25"/>
      <c r="Y1300" s="25"/>
      <c r="Z1300" s="25"/>
      <c r="AA1300" s="25"/>
      <c r="AB1300" s="25"/>
      <c r="AC1300" s="25"/>
      <c r="AD1300" s="178"/>
    </row>
    <row r="1301" spans="18:30" x14ac:dyDescent="0.25">
      <c r="R1301" s="25"/>
      <c r="S1301" s="25"/>
      <c r="T1301" s="25"/>
      <c r="U1301" s="25"/>
      <c r="V1301" s="25"/>
      <c r="W1301" s="25"/>
      <c r="X1301" s="25"/>
      <c r="Y1301" s="25"/>
      <c r="Z1301" s="25"/>
      <c r="AA1301" s="25"/>
      <c r="AB1301" s="25"/>
      <c r="AC1301" s="25"/>
      <c r="AD1301" s="178"/>
    </row>
    <row r="1302" spans="18:30" x14ac:dyDescent="0.25">
      <c r="R1302" s="25"/>
      <c r="S1302" s="25"/>
      <c r="T1302" s="25"/>
      <c r="U1302" s="25"/>
      <c r="V1302" s="25"/>
      <c r="W1302" s="25"/>
      <c r="X1302" s="25"/>
      <c r="Y1302" s="25"/>
      <c r="Z1302" s="25"/>
      <c r="AA1302" s="25"/>
      <c r="AB1302" s="25"/>
      <c r="AC1302" s="25"/>
      <c r="AD1302" s="178"/>
    </row>
    <row r="1303" spans="18:30" x14ac:dyDescent="0.25">
      <c r="R1303" s="25"/>
      <c r="S1303" s="25"/>
      <c r="T1303" s="25"/>
      <c r="U1303" s="25"/>
      <c r="V1303" s="25"/>
      <c r="W1303" s="25"/>
      <c r="X1303" s="25"/>
      <c r="Y1303" s="25"/>
      <c r="Z1303" s="25"/>
      <c r="AA1303" s="25"/>
      <c r="AB1303" s="25"/>
      <c r="AC1303" s="25"/>
      <c r="AD1303" s="178"/>
    </row>
    <row r="1304" spans="18:30" x14ac:dyDescent="0.25">
      <c r="R1304" s="25"/>
      <c r="S1304" s="25"/>
      <c r="T1304" s="25"/>
      <c r="U1304" s="25"/>
      <c r="V1304" s="25"/>
      <c r="W1304" s="25"/>
      <c r="X1304" s="25"/>
      <c r="Y1304" s="25"/>
      <c r="Z1304" s="25"/>
      <c r="AA1304" s="25"/>
      <c r="AB1304" s="25"/>
      <c r="AC1304" s="25"/>
      <c r="AD1304" s="178"/>
    </row>
    <row r="1305" spans="18:30" x14ac:dyDescent="0.25">
      <c r="R1305" s="25"/>
      <c r="S1305" s="25"/>
      <c r="T1305" s="25"/>
      <c r="U1305" s="25"/>
      <c r="V1305" s="25"/>
      <c r="W1305" s="25"/>
      <c r="X1305" s="25"/>
      <c r="Y1305" s="25"/>
      <c r="Z1305" s="25"/>
      <c r="AA1305" s="25"/>
      <c r="AB1305" s="25"/>
      <c r="AC1305" s="25"/>
      <c r="AD1305" s="178"/>
    </row>
    <row r="1306" spans="18:30" x14ac:dyDescent="0.25">
      <c r="R1306" s="25"/>
      <c r="S1306" s="25"/>
      <c r="T1306" s="25"/>
      <c r="U1306" s="25"/>
      <c r="V1306" s="25"/>
      <c r="W1306" s="25"/>
      <c r="X1306" s="25"/>
      <c r="Y1306" s="25"/>
      <c r="Z1306" s="25"/>
      <c r="AA1306" s="25"/>
      <c r="AB1306" s="25"/>
      <c r="AC1306" s="25"/>
      <c r="AD1306" s="178"/>
    </row>
    <row r="1307" spans="18:30" x14ac:dyDescent="0.25">
      <c r="R1307" s="25"/>
      <c r="S1307" s="25"/>
      <c r="T1307" s="25"/>
      <c r="U1307" s="25"/>
      <c r="V1307" s="25"/>
      <c r="W1307" s="25"/>
      <c r="X1307" s="25"/>
      <c r="Y1307" s="25"/>
      <c r="Z1307" s="25"/>
      <c r="AA1307" s="25"/>
      <c r="AB1307" s="25"/>
      <c r="AC1307" s="25"/>
      <c r="AD1307" s="178"/>
    </row>
    <row r="1308" spans="18:30" x14ac:dyDescent="0.25">
      <c r="R1308" s="25"/>
      <c r="S1308" s="25"/>
      <c r="T1308" s="25"/>
      <c r="U1308" s="25"/>
      <c r="V1308" s="25"/>
      <c r="W1308" s="25"/>
      <c r="X1308" s="25"/>
      <c r="Y1308" s="25"/>
      <c r="Z1308" s="25"/>
      <c r="AA1308" s="25"/>
      <c r="AB1308" s="25"/>
      <c r="AC1308" s="25"/>
      <c r="AD1308" s="178"/>
    </row>
    <row r="1309" spans="18:30" x14ac:dyDescent="0.25">
      <c r="R1309" s="25"/>
      <c r="S1309" s="25"/>
      <c r="T1309" s="25"/>
      <c r="U1309" s="25"/>
      <c r="V1309" s="25"/>
      <c r="W1309" s="25"/>
      <c r="X1309" s="25"/>
      <c r="Y1309" s="25"/>
      <c r="Z1309" s="25"/>
      <c r="AA1309" s="25"/>
      <c r="AB1309" s="25"/>
      <c r="AC1309" s="25"/>
      <c r="AD1309" s="178"/>
    </row>
    <row r="1310" spans="18:30" x14ac:dyDescent="0.25">
      <c r="R1310" s="25"/>
      <c r="S1310" s="25"/>
      <c r="T1310" s="25"/>
      <c r="U1310" s="25"/>
      <c r="V1310" s="25"/>
      <c r="W1310" s="25"/>
      <c r="X1310" s="25"/>
      <c r="Y1310" s="25"/>
      <c r="Z1310" s="25"/>
      <c r="AA1310" s="25"/>
      <c r="AB1310" s="25"/>
      <c r="AC1310" s="25"/>
      <c r="AD1310" s="178"/>
    </row>
    <row r="1311" spans="18:30" x14ac:dyDescent="0.25">
      <c r="R1311" s="25"/>
      <c r="S1311" s="25"/>
      <c r="T1311" s="25"/>
      <c r="U1311" s="25"/>
      <c r="V1311" s="25"/>
      <c r="W1311" s="25"/>
      <c r="X1311" s="25"/>
      <c r="Y1311" s="25"/>
      <c r="Z1311" s="25"/>
      <c r="AA1311" s="25"/>
      <c r="AB1311" s="25"/>
      <c r="AC1311" s="25"/>
      <c r="AD1311" s="178"/>
    </row>
    <row r="1312" spans="18:30" x14ac:dyDescent="0.25">
      <c r="R1312" s="25"/>
      <c r="S1312" s="25"/>
      <c r="T1312" s="25"/>
      <c r="U1312" s="25"/>
      <c r="V1312" s="25"/>
      <c r="W1312" s="25"/>
      <c r="X1312" s="25"/>
      <c r="Y1312" s="25"/>
      <c r="Z1312" s="25"/>
      <c r="AA1312" s="25"/>
      <c r="AB1312" s="25"/>
      <c r="AC1312" s="25"/>
      <c r="AD1312" s="178"/>
    </row>
    <row r="1313" spans="18:30" x14ac:dyDescent="0.25">
      <c r="R1313" s="25"/>
      <c r="S1313" s="25"/>
      <c r="T1313" s="25"/>
      <c r="U1313" s="25"/>
      <c r="V1313" s="25"/>
      <c r="W1313" s="25"/>
      <c r="X1313" s="25"/>
      <c r="Y1313" s="25"/>
      <c r="Z1313" s="25"/>
      <c r="AA1313" s="25"/>
      <c r="AB1313" s="25"/>
      <c r="AC1313" s="25"/>
      <c r="AD1313" s="178"/>
    </row>
    <row r="1314" spans="18:30" x14ac:dyDescent="0.25">
      <c r="R1314" s="25"/>
      <c r="S1314" s="25"/>
      <c r="T1314" s="25"/>
      <c r="U1314" s="25"/>
      <c r="V1314" s="25"/>
      <c r="W1314" s="25"/>
      <c r="X1314" s="25"/>
      <c r="Y1314" s="25"/>
      <c r="Z1314" s="25"/>
      <c r="AA1314" s="25"/>
      <c r="AB1314" s="25"/>
      <c r="AC1314" s="25"/>
      <c r="AD1314" s="178"/>
    </row>
    <row r="1315" spans="18:30" x14ac:dyDescent="0.25">
      <c r="R1315" s="25"/>
      <c r="S1315" s="25"/>
      <c r="T1315" s="25"/>
      <c r="U1315" s="25"/>
      <c r="V1315" s="25"/>
      <c r="W1315" s="25"/>
      <c r="X1315" s="25"/>
      <c r="Y1315" s="25"/>
      <c r="Z1315" s="25"/>
      <c r="AA1315" s="25"/>
      <c r="AB1315" s="25"/>
      <c r="AC1315" s="25"/>
      <c r="AD1315" s="178"/>
    </row>
    <row r="1316" spans="18:30" x14ac:dyDescent="0.25">
      <c r="R1316" s="25"/>
      <c r="S1316" s="25"/>
      <c r="T1316" s="25"/>
      <c r="U1316" s="25"/>
      <c r="V1316" s="25"/>
      <c r="W1316" s="25"/>
      <c r="X1316" s="25"/>
      <c r="Y1316" s="25"/>
      <c r="Z1316" s="25"/>
      <c r="AA1316" s="25"/>
      <c r="AB1316" s="25"/>
      <c r="AC1316" s="25"/>
      <c r="AD1316" s="178"/>
    </row>
    <row r="1317" spans="18:30" x14ac:dyDescent="0.25">
      <c r="R1317" s="25"/>
      <c r="S1317" s="25"/>
      <c r="T1317" s="25"/>
      <c r="U1317" s="25"/>
      <c r="V1317" s="25"/>
      <c r="W1317" s="25"/>
      <c r="X1317" s="25"/>
      <c r="Y1317" s="25"/>
      <c r="Z1317" s="25"/>
      <c r="AA1317" s="25"/>
      <c r="AB1317" s="25"/>
      <c r="AC1317" s="25"/>
      <c r="AD1317" s="178"/>
    </row>
    <row r="1318" spans="18:30" x14ac:dyDescent="0.25">
      <c r="R1318" s="25"/>
      <c r="S1318" s="25"/>
      <c r="T1318" s="25"/>
      <c r="U1318" s="25"/>
      <c r="V1318" s="25"/>
      <c r="W1318" s="25"/>
      <c r="X1318" s="25"/>
      <c r="Y1318" s="25"/>
      <c r="Z1318" s="25"/>
      <c r="AA1318" s="25"/>
      <c r="AB1318" s="25"/>
      <c r="AC1318" s="25"/>
      <c r="AD1318" s="178"/>
    </row>
    <row r="1319" spans="18:30" x14ac:dyDescent="0.25">
      <c r="R1319" s="25"/>
      <c r="S1319" s="25"/>
      <c r="T1319" s="25"/>
      <c r="U1319" s="25"/>
      <c r="V1319" s="25"/>
      <c r="W1319" s="25"/>
      <c r="X1319" s="25"/>
      <c r="Y1319" s="25"/>
      <c r="Z1319" s="25"/>
      <c r="AA1319" s="25"/>
      <c r="AB1319" s="25"/>
      <c r="AC1319" s="25"/>
      <c r="AD1319" s="178"/>
    </row>
    <row r="1320" spans="18:30" x14ac:dyDescent="0.25">
      <c r="R1320" s="25"/>
      <c r="S1320" s="25"/>
      <c r="T1320" s="25"/>
      <c r="U1320" s="25"/>
      <c r="V1320" s="25"/>
      <c r="W1320" s="25"/>
      <c r="X1320" s="25"/>
      <c r="Y1320" s="25"/>
      <c r="Z1320" s="25"/>
      <c r="AA1320" s="25"/>
      <c r="AB1320" s="25"/>
      <c r="AC1320" s="25"/>
      <c r="AD1320" s="178"/>
    </row>
    <row r="1321" spans="18:30" x14ac:dyDescent="0.25">
      <c r="R1321" s="25"/>
      <c r="S1321" s="25"/>
      <c r="T1321" s="25"/>
      <c r="U1321" s="25"/>
      <c r="V1321" s="25"/>
      <c r="W1321" s="25"/>
      <c r="X1321" s="25"/>
      <c r="Y1321" s="25"/>
      <c r="Z1321" s="25"/>
      <c r="AA1321" s="25"/>
      <c r="AB1321" s="25"/>
      <c r="AC1321" s="25"/>
      <c r="AD1321" s="178"/>
    </row>
    <row r="1322" spans="18:30" x14ac:dyDescent="0.25">
      <c r="R1322" s="25"/>
      <c r="S1322" s="25"/>
      <c r="T1322" s="25"/>
      <c r="U1322" s="25"/>
      <c r="V1322" s="25"/>
      <c r="W1322" s="25"/>
      <c r="X1322" s="25"/>
      <c r="Y1322" s="25"/>
      <c r="Z1322" s="25"/>
      <c r="AA1322" s="25"/>
      <c r="AB1322" s="25"/>
      <c r="AC1322" s="25"/>
      <c r="AD1322" s="178"/>
    </row>
    <row r="1323" spans="18:30" x14ac:dyDescent="0.25">
      <c r="R1323" s="25"/>
      <c r="S1323" s="25"/>
      <c r="T1323" s="25"/>
      <c r="U1323" s="25"/>
      <c r="V1323" s="25"/>
      <c r="W1323" s="25"/>
      <c r="X1323" s="25"/>
      <c r="Y1323" s="25"/>
      <c r="Z1323" s="25"/>
      <c r="AA1323" s="25"/>
      <c r="AB1323" s="25"/>
      <c r="AC1323" s="25"/>
      <c r="AD1323" s="178"/>
    </row>
    <row r="1324" spans="18:30" x14ac:dyDescent="0.25">
      <c r="R1324" s="25"/>
      <c r="S1324" s="25"/>
      <c r="T1324" s="25"/>
      <c r="U1324" s="25"/>
      <c r="V1324" s="25"/>
      <c r="W1324" s="25"/>
      <c r="X1324" s="25"/>
      <c r="Y1324" s="25"/>
      <c r="Z1324" s="25"/>
      <c r="AA1324" s="25"/>
      <c r="AB1324" s="25"/>
      <c r="AC1324" s="25"/>
      <c r="AD1324" s="178"/>
    </row>
    <row r="1325" spans="18:30" x14ac:dyDescent="0.25">
      <c r="R1325" s="25"/>
      <c r="S1325" s="25"/>
      <c r="T1325" s="25"/>
      <c r="U1325" s="25"/>
      <c r="V1325" s="25"/>
      <c r="W1325" s="25"/>
      <c r="X1325" s="25"/>
      <c r="Y1325" s="25"/>
      <c r="Z1325" s="25"/>
      <c r="AA1325" s="25"/>
      <c r="AB1325" s="25"/>
      <c r="AC1325" s="25"/>
      <c r="AD1325" s="178"/>
    </row>
    <row r="1326" spans="18:30" x14ac:dyDescent="0.25">
      <c r="R1326" s="25"/>
      <c r="S1326" s="25"/>
      <c r="T1326" s="25"/>
      <c r="U1326" s="25"/>
      <c r="V1326" s="25"/>
      <c r="W1326" s="25"/>
      <c r="X1326" s="25"/>
      <c r="Y1326" s="25"/>
      <c r="Z1326" s="25"/>
      <c r="AA1326" s="25"/>
      <c r="AB1326" s="25"/>
      <c r="AC1326" s="25"/>
      <c r="AD1326" s="178"/>
    </row>
    <row r="1327" spans="18:30" x14ac:dyDescent="0.25">
      <c r="R1327" s="25"/>
      <c r="S1327" s="25"/>
      <c r="T1327" s="25"/>
      <c r="U1327" s="25"/>
      <c r="V1327" s="25"/>
      <c r="W1327" s="25"/>
      <c r="X1327" s="25"/>
      <c r="Y1327" s="25"/>
      <c r="Z1327" s="25"/>
      <c r="AA1327" s="25"/>
      <c r="AB1327" s="25"/>
      <c r="AC1327" s="25"/>
      <c r="AD1327" s="178"/>
    </row>
    <row r="1328" spans="18:30" x14ac:dyDescent="0.25">
      <c r="R1328" s="25"/>
      <c r="S1328" s="25"/>
      <c r="T1328" s="25"/>
      <c r="U1328" s="25"/>
      <c r="V1328" s="25"/>
      <c r="W1328" s="25"/>
      <c r="X1328" s="25"/>
      <c r="Y1328" s="25"/>
      <c r="Z1328" s="25"/>
      <c r="AA1328" s="25"/>
      <c r="AB1328" s="25"/>
      <c r="AC1328" s="25"/>
      <c r="AD1328" s="178"/>
    </row>
    <row r="1329" spans="18:30" x14ac:dyDescent="0.25">
      <c r="R1329" s="25"/>
      <c r="S1329" s="25"/>
      <c r="T1329" s="25"/>
      <c r="U1329" s="25"/>
      <c r="V1329" s="25"/>
      <c r="W1329" s="25"/>
      <c r="X1329" s="25"/>
      <c r="Y1329" s="25"/>
      <c r="Z1329" s="25"/>
      <c r="AA1329" s="25"/>
      <c r="AB1329" s="25"/>
      <c r="AC1329" s="25"/>
      <c r="AD1329" s="178"/>
    </row>
    <row r="1330" spans="18:30" x14ac:dyDescent="0.25">
      <c r="R1330" s="25"/>
      <c r="S1330" s="25"/>
      <c r="T1330" s="25"/>
      <c r="U1330" s="25"/>
      <c r="V1330" s="25"/>
      <c r="W1330" s="25"/>
      <c r="X1330" s="25"/>
      <c r="Y1330" s="25"/>
      <c r="Z1330" s="25"/>
      <c r="AA1330" s="25"/>
      <c r="AB1330" s="25"/>
      <c r="AC1330" s="25"/>
      <c r="AD1330" s="178"/>
    </row>
    <row r="1331" spans="18:30" x14ac:dyDescent="0.25">
      <c r="R1331" s="25"/>
      <c r="S1331" s="25"/>
      <c r="T1331" s="25"/>
      <c r="U1331" s="25"/>
      <c r="V1331" s="25"/>
      <c r="W1331" s="25"/>
      <c r="X1331" s="25"/>
      <c r="Y1331" s="25"/>
      <c r="Z1331" s="25"/>
      <c r="AA1331" s="25"/>
      <c r="AB1331" s="25"/>
      <c r="AC1331" s="25"/>
      <c r="AD1331" s="178"/>
    </row>
    <row r="1332" spans="18:30" x14ac:dyDescent="0.25">
      <c r="R1332" s="25"/>
      <c r="S1332" s="25"/>
      <c r="T1332" s="25"/>
      <c r="U1332" s="25"/>
      <c r="V1332" s="25"/>
      <c r="W1332" s="25"/>
      <c r="X1332" s="25"/>
      <c r="Y1332" s="25"/>
      <c r="Z1332" s="25"/>
      <c r="AA1332" s="25"/>
      <c r="AB1332" s="25"/>
      <c r="AC1332" s="25"/>
      <c r="AD1332" s="178"/>
    </row>
    <row r="1333" spans="18:30" x14ac:dyDescent="0.25">
      <c r="R1333" s="25"/>
      <c r="S1333" s="25"/>
      <c r="T1333" s="25"/>
      <c r="U1333" s="25"/>
      <c r="V1333" s="25"/>
      <c r="W1333" s="25"/>
      <c r="X1333" s="25"/>
      <c r="Y1333" s="25"/>
      <c r="Z1333" s="25"/>
      <c r="AA1333" s="25"/>
      <c r="AB1333" s="25"/>
      <c r="AC1333" s="25"/>
      <c r="AD1333" s="178"/>
    </row>
    <row r="1334" spans="18:30" x14ac:dyDescent="0.25">
      <c r="R1334" s="25"/>
      <c r="S1334" s="25"/>
      <c r="T1334" s="25"/>
      <c r="U1334" s="25"/>
      <c r="V1334" s="25"/>
      <c r="W1334" s="25"/>
      <c r="X1334" s="25"/>
      <c r="Y1334" s="25"/>
      <c r="Z1334" s="25"/>
      <c r="AA1334" s="25"/>
      <c r="AB1334" s="25"/>
      <c r="AC1334" s="25"/>
      <c r="AD1334" s="178"/>
    </row>
    <row r="1335" spans="18:30" x14ac:dyDescent="0.25">
      <c r="R1335" s="25"/>
      <c r="S1335" s="25"/>
      <c r="T1335" s="25"/>
      <c r="U1335" s="25"/>
      <c r="V1335" s="25"/>
      <c r="W1335" s="25"/>
      <c r="X1335" s="25"/>
      <c r="Y1335" s="25"/>
      <c r="Z1335" s="25"/>
      <c r="AA1335" s="25"/>
      <c r="AB1335" s="25"/>
      <c r="AC1335" s="25"/>
      <c r="AD1335" s="178"/>
    </row>
    <row r="1336" spans="18:30" x14ac:dyDescent="0.25">
      <c r="R1336" s="25"/>
      <c r="S1336" s="25"/>
      <c r="T1336" s="25"/>
      <c r="U1336" s="25"/>
      <c r="V1336" s="25"/>
      <c r="W1336" s="25"/>
      <c r="X1336" s="25"/>
      <c r="Y1336" s="25"/>
      <c r="Z1336" s="25"/>
      <c r="AA1336" s="25"/>
      <c r="AB1336" s="25"/>
      <c r="AC1336" s="25"/>
      <c r="AD1336" s="178"/>
    </row>
    <row r="1337" spans="18:30" x14ac:dyDescent="0.25">
      <c r="R1337" s="25"/>
      <c r="S1337" s="25"/>
      <c r="T1337" s="25"/>
      <c r="U1337" s="25"/>
      <c r="V1337" s="25"/>
      <c r="W1337" s="25"/>
      <c r="X1337" s="25"/>
      <c r="Y1337" s="25"/>
      <c r="Z1337" s="25"/>
      <c r="AA1337" s="25"/>
      <c r="AB1337" s="25"/>
      <c r="AC1337" s="25"/>
      <c r="AD1337" s="178"/>
    </row>
    <row r="1338" spans="18:30" x14ac:dyDescent="0.25">
      <c r="R1338" s="25"/>
      <c r="S1338" s="25"/>
      <c r="T1338" s="25"/>
      <c r="U1338" s="25"/>
      <c r="V1338" s="25"/>
      <c r="W1338" s="25"/>
      <c r="X1338" s="25"/>
      <c r="Y1338" s="25"/>
      <c r="Z1338" s="25"/>
      <c r="AA1338" s="25"/>
      <c r="AB1338" s="25"/>
      <c r="AC1338" s="25"/>
      <c r="AD1338" s="178"/>
    </row>
    <row r="1339" spans="18:30" x14ac:dyDescent="0.25">
      <c r="R1339" s="25"/>
      <c r="S1339" s="25"/>
      <c r="T1339" s="25"/>
      <c r="U1339" s="25"/>
      <c r="V1339" s="25"/>
      <c r="W1339" s="25"/>
      <c r="X1339" s="25"/>
      <c r="Y1339" s="25"/>
      <c r="Z1339" s="25"/>
      <c r="AA1339" s="25"/>
      <c r="AB1339" s="25"/>
      <c r="AC1339" s="25"/>
      <c r="AD1339" s="178"/>
    </row>
    <row r="1340" spans="18:30" x14ac:dyDescent="0.25">
      <c r="R1340" s="25"/>
      <c r="S1340" s="25"/>
      <c r="T1340" s="25"/>
      <c r="U1340" s="25"/>
      <c r="V1340" s="25"/>
      <c r="W1340" s="25"/>
      <c r="X1340" s="25"/>
      <c r="Y1340" s="25"/>
      <c r="Z1340" s="25"/>
      <c r="AA1340" s="25"/>
      <c r="AB1340" s="25"/>
      <c r="AC1340" s="25"/>
      <c r="AD1340" s="178"/>
    </row>
    <row r="1341" spans="18:30" x14ac:dyDescent="0.25">
      <c r="R1341" s="25"/>
      <c r="S1341" s="25"/>
      <c r="T1341" s="25"/>
      <c r="U1341" s="25"/>
      <c r="V1341" s="25"/>
      <c r="W1341" s="25"/>
      <c r="X1341" s="25"/>
      <c r="Y1341" s="25"/>
      <c r="Z1341" s="25"/>
      <c r="AA1341" s="25"/>
      <c r="AB1341" s="25"/>
      <c r="AC1341" s="25"/>
      <c r="AD1341" s="178"/>
    </row>
    <row r="1342" spans="18:30" x14ac:dyDescent="0.25">
      <c r="R1342" s="25"/>
      <c r="S1342" s="25"/>
      <c r="T1342" s="25"/>
      <c r="U1342" s="25"/>
      <c r="V1342" s="25"/>
      <c r="W1342" s="25"/>
      <c r="X1342" s="25"/>
      <c r="Y1342" s="25"/>
      <c r="Z1342" s="25"/>
      <c r="AA1342" s="25"/>
      <c r="AB1342" s="25"/>
      <c r="AC1342" s="25"/>
      <c r="AD1342" s="178"/>
    </row>
    <row r="1343" spans="18:30" x14ac:dyDescent="0.25">
      <c r="R1343" s="25"/>
      <c r="S1343" s="25"/>
      <c r="T1343" s="25"/>
      <c r="U1343" s="25"/>
      <c r="V1343" s="25"/>
      <c r="W1343" s="25"/>
      <c r="X1343" s="25"/>
      <c r="Y1343" s="25"/>
      <c r="Z1343" s="25"/>
      <c r="AA1343" s="25"/>
      <c r="AB1343" s="25"/>
      <c r="AC1343" s="25"/>
      <c r="AD1343" s="178"/>
    </row>
    <row r="1344" spans="18:30" x14ac:dyDescent="0.25">
      <c r="R1344" s="25"/>
      <c r="S1344" s="25"/>
      <c r="T1344" s="25"/>
      <c r="U1344" s="25"/>
      <c r="V1344" s="25"/>
      <c r="W1344" s="25"/>
      <c r="X1344" s="25"/>
      <c r="Y1344" s="25"/>
      <c r="Z1344" s="25"/>
      <c r="AA1344" s="25"/>
      <c r="AB1344" s="25"/>
      <c r="AC1344" s="25"/>
      <c r="AD1344" s="178"/>
    </row>
    <row r="1345" spans="18:30" x14ac:dyDescent="0.25">
      <c r="R1345" s="25"/>
      <c r="S1345" s="25"/>
      <c r="T1345" s="25"/>
      <c r="U1345" s="25"/>
      <c r="V1345" s="25"/>
      <c r="W1345" s="25"/>
      <c r="X1345" s="25"/>
      <c r="Y1345" s="25"/>
      <c r="Z1345" s="25"/>
      <c r="AA1345" s="25"/>
      <c r="AB1345" s="25"/>
      <c r="AC1345" s="25"/>
      <c r="AD1345" s="178"/>
    </row>
    <row r="1346" spans="18:30" x14ac:dyDescent="0.25">
      <c r="R1346" s="25"/>
      <c r="S1346" s="25"/>
      <c r="T1346" s="25"/>
      <c r="U1346" s="25"/>
      <c r="V1346" s="25"/>
      <c r="W1346" s="25"/>
      <c r="X1346" s="25"/>
      <c r="Y1346" s="25"/>
      <c r="Z1346" s="25"/>
      <c r="AA1346" s="25"/>
      <c r="AB1346" s="25"/>
      <c r="AC1346" s="25"/>
      <c r="AD1346" s="178"/>
    </row>
    <row r="1347" spans="18:30" x14ac:dyDescent="0.25">
      <c r="R1347" s="25"/>
      <c r="S1347" s="25"/>
      <c r="T1347" s="25"/>
      <c r="U1347" s="25"/>
      <c r="V1347" s="25"/>
      <c r="W1347" s="25"/>
      <c r="X1347" s="25"/>
      <c r="Y1347" s="25"/>
      <c r="Z1347" s="25"/>
      <c r="AA1347" s="25"/>
      <c r="AB1347" s="25"/>
      <c r="AC1347" s="25"/>
      <c r="AD1347" s="178"/>
    </row>
    <row r="1348" spans="18:30" x14ac:dyDescent="0.25">
      <c r="R1348" s="25"/>
      <c r="S1348" s="25"/>
      <c r="T1348" s="25"/>
      <c r="U1348" s="25"/>
      <c r="V1348" s="25"/>
      <c r="W1348" s="25"/>
      <c r="X1348" s="25"/>
      <c r="Y1348" s="25"/>
      <c r="Z1348" s="25"/>
      <c r="AA1348" s="25"/>
      <c r="AB1348" s="25"/>
      <c r="AC1348" s="25"/>
      <c r="AD1348" s="178"/>
    </row>
    <row r="1349" spans="18:30" x14ac:dyDescent="0.25">
      <c r="R1349" s="25"/>
      <c r="S1349" s="25"/>
      <c r="T1349" s="25"/>
      <c r="U1349" s="25"/>
      <c r="V1349" s="25"/>
      <c r="W1349" s="25"/>
      <c r="X1349" s="25"/>
      <c r="Y1349" s="25"/>
      <c r="Z1349" s="25"/>
      <c r="AA1349" s="25"/>
      <c r="AB1349" s="25"/>
      <c r="AC1349" s="25"/>
      <c r="AD1349" s="178"/>
    </row>
    <row r="1350" spans="18:30" x14ac:dyDescent="0.25">
      <c r="R1350" s="25"/>
      <c r="S1350" s="25"/>
      <c r="T1350" s="25"/>
      <c r="U1350" s="25"/>
      <c r="V1350" s="25"/>
      <c r="W1350" s="25"/>
      <c r="X1350" s="25"/>
      <c r="Y1350" s="25"/>
      <c r="Z1350" s="25"/>
      <c r="AA1350" s="25"/>
      <c r="AB1350" s="25"/>
      <c r="AC1350" s="25"/>
      <c r="AD1350" s="178"/>
    </row>
    <row r="1351" spans="18:30" x14ac:dyDescent="0.25">
      <c r="R1351" s="25"/>
      <c r="S1351" s="25"/>
      <c r="T1351" s="25"/>
      <c r="U1351" s="25"/>
      <c r="V1351" s="25"/>
      <c r="W1351" s="25"/>
      <c r="X1351" s="25"/>
      <c r="Y1351" s="25"/>
      <c r="Z1351" s="25"/>
      <c r="AA1351" s="25"/>
      <c r="AB1351" s="25"/>
      <c r="AC1351" s="25"/>
      <c r="AD1351" s="178"/>
    </row>
    <row r="1352" spans="18:30" x14ac:dyDescent="0.25">
      <c r="R1352" s="25"/>
      <c r="S1352" s="25"/>
      <c r="T1352" s="25"/>
      <c r="U1352" s="25"/>
      <c r="V1352" s="25"/>
      <c r="W1352" s="25"/>
      <c r="X1352" s="25"/>
      <c r="Y1352" s="25"/>
      <c r="Z1352" s="25"/>
      <c r="AA1352" s="25"/>
      <c r="AB1352" s="25"/>
      <c r="AC1352" s="25"/>
      <c r="AD1352" s="178"/>
    </row>
    <row r="1353" spans="18:30" x14ac:dyDescent="0.25">
      <c r="R1353" s="25"/>
      <c r="S1353" s="25"/>
      <c r="T1353" s="25"/>
      <c r="U1353" s="25"/>
      <c r="V1353" s="25"/>
      <c r="W1353" s="25"/>
      <c r="X1353" s="25"/>
      <c r="Y1353" s="25"/>
      <c r="Z1353" s="25"/>
      <c r="AA1353" s="25"/>
      <c r="AB1353" s="25"/>
      <c r="AC1353" s="25"/>
      <c r="AD1353" s="178"/>
    </row>
    <row r="1354" spans="18:30" x14ac:dyDescent="0.25">
      <c r="R1354" s="25"/>
      <c r="S1354" s="25"/>
      <c r="T1354" s="25"/>
      <c r="U1354" s="25"/>
      <c r="V1354" s="25"/>
      <c r="W1354" s="25"/>
      <c r="X1354" s="25"/>
      <c r="Y1354" s="25"/>
      <c r="Z1354" s="25"/>
      <c r="AA1354" s="25"/>
      <c r="AB1354" s="25"/>
      <c r="AC1354" s="25"/>
      <c r="AD1354" s="178"/>
    </row>
    <row r="1355" spans="18:30" x14ac:dyDescent="0.25">
      <c r="R1355" s="25"/>
      <c r="S1355" s="25"/>
      <c r="T1355" s="25"/>
      <c r="U1355" s="25"/>
      <c r="V1355" s="25"/>
      <c r="W1355" s="25"/>
      <c r="X1355" s="25"/>
      <c r="Y1355" s="25"/>
      <c r="Z1355" s="25"/>
      <c r="AA1355" s="25"/>
      <c r="AB1355" s="25"/>
      <c r="AC1355" s="25"/>
      <c r="AD1355" s="178"/>
    </row>
    <row r="1356" spans="18:30" x14ac:dyDescent="0.25">
      <c r="R1356" s="25"/>
      <c r="S1356" s="25"/>
      <c r="T1356" s="25"/>
      <c r="U1356" s="25"/>
      <c r="V1356" s="25"/>
      <c r="W1356" s="25"/>
      <c r="X1356" s="25"/>
      <c r="Y1356" s="25"/>
      <c r="Z1356" s="25"/>
      <c r="AA1356" s="25"/>
      <c r="AB1356" s="25"/>
      <c r="AC1356" s="25"/>
      <c r="AD1356" s="178"/>
    </row>
    <row r="1357" spans="18:30" x14ac:dyDescent="0.25">
      <c r="R1357" s="25"/>
      <c r="S1357" s="25"/>
      <c r="T1357" s="25"/>
      <c r="U1357" s="25"/>
      <c r="V1357" s="25"/>
      <c r="W1357" s="25"/>
      <c r="X1357" s="25"/>
      <c r="Y1357" s="25"/>
      <c r="Z1357" s="25"/>
      <c r="AA1357" s="25"/>
      <c r="AB1357" s="25"/>
      <c r="AC1357" s="25"/>
      <c r="AD1357" s="178"/>
    </row>
    <row r="1358" spans="18:30" x14ac:dyDescent="0.25">
      <c r="R1358" s="25"/>
      <c r="S1358" s="25"/>
      <c r="T1358" s="25"/>
      <c r="U1358" s="25"/>
      <c r="V1358" s="25"/>
      <c r="W1358" s="25"/>
      <c r="X1358" s="25"/>
      <c r="Y1358" s="25"/>
      <c r="Z1358" s="25"/>
      <c r="AA1358" s="25"/>
      <c r="AB1358" s="25"/>
      <c r="AC1358" s="25"/>
      <c r="AD1358" s="178"/>
    </row>
    <row r="1359" spans="18:30" x14ac:dyDescent="0.25">
      <c r="R1359" s="25"/>
      <c r="S1359" s="25"/>
      <c r="T1359" s="25"/>
      <c r="U1359" s="25"/>
      <c r="V1359" s="25"/>
      <c r="W1359" s="25"/>
      <c r="X1359" s="25"/>
      <c r="Y1359" s="25"/>
      <c r="Z1359" s="25"/>
      <c r="AA1359" s="25"/>
      <c r="AB1359" s="25"/>
      <c r="AC1359" s="25"/>
      <c r="AD1359" s="178"/>
    </row>
    <row r="1360" spans="18:30" x14ac:dyDescent="0.25">
      <c r="R1360" s="25"/>
      <c r="S1360" s="25"/>
      <c r="T1360" s="25"/>
      <c r="U1360" s="25"/>
      <c r="V1360" s="25"/>
      <c r="W1360" s="25"/>
      <c r="X1360" s="25"/>
      <c r="Y1360" s="25"/>
      <c r="Z1360" s="25"/>
      <c r="AA1360" s="25"/>
      <c r="AB1360" s="25"/>
      <c r="AC1360" s="25"/>
      <c r="AD1360" s="178"/>
    </row>
    <row r="1361" spans="18:30" x14ac:dyDescent="0.25">
      <c r="R1361" s="25"/>
      <c r="S1361" s="25"/>
      <c r="T1361" s="25"/>
      <c r="U1361" s="25"/>
      <c r="V1361" s="25"/>
      <c r="W1361" s="25"/>
      <c r="X1361" s="25"/>
      <c r="Y1361" s="25"/>
      <c r="Z1361" s="25"/>
      <c r="AA1361" s="25"/>
      <c r="AB1361" s="25"/>
      <c r="AC1361" s="25"/>
      <c r="AD1361" s="178"/>
    </row>
    <row r="1362" spans="18:30" x14ac:dyDescent="0.25">
      <c r="R1362" s="25"/>
      <c r="S1362" s="25"/>
      <c r="T1362" s="25"/>
      <c r="U1362" s="25"/>
      <c r="V1362" s="25"/>
      <c r="W1362" s="25"/>
      <c r="X1362" s="25"/>
      <c r="Y1362" s="25"/>
      <c r="Z1362" s="25"/>
      <c r="AA1362" s="25"/>
      <c r="AB1362" s="25"/>
      <c r="AC1362" s="25"/>
      <c r="AD1362" s="178"/>
    </row>
    <row r="1363" spans="18:30" x14ac:dyDescent="0.25">
      <c r="R1363" s="25"/>
      <c r="S1363" s="25"/>
      <c r="T1363" s="25"/>
      <c r="U1363" s="25"/>
      <c r="V1363" s="25"/>
      <c r="W1363" s="25"/>
      <c r="X1363" s="25"/>
      <c r="Y1363" s="25"/>
      <c r="Z1363" s="25"/>
      <c r="AA1363" s="25"/>
      <c r="AB1363" s="25"/>
      <c r="AC1363" s="25"/>
      <c r="AD1363" s="178"/>
    </row>
    <row r="1364" spans="18:30" x14ac:dyDescent="0.25">
      <c r="R1364" s="25"/>
      <c r="S1364" s="25"/>
      <c r="T1364" s="25"/>
      <c r="U1364" s="25"/>
      <c r="V1364" s="25"/>
      <c r="W1364" s="25"/>
      <c r="X1364" s="25"/>
      <c r="Y1364" s="25"/>
      <c r="Z1364" s="25"/>
      <c r="AA1364" s="25"/>
      <c r="AB1364" s="25"/>
      <c r="AC1364" s="25"/>
      <c r="AD1364" s="178"/>
    </row>
    <row r="1365" spans="18:30" x14ac:dyDescent="0.25">
      <c r="R1365" s="25"/>
      <c r="S1365" s="25"/>
      <c r="T1365" s="25"/>
      <c r="U1365" s="25"/>
      <c r="V1365" s="25"/>
      <c r="W1365" s="25"/>
      <c r="X1365" s="25"/>
      <c r="Y1365" s="25"/>
      <c r="Z1365" s="25"/>
      <c r="AA1365" s="25"/>
      <c r="AB1365" s="25"/>
      <c r="AC1365" s="25"/>
      <c r="AD1365" s="178"/>
    </row>
    <row r="1366" spans="18:30" x14ac:dyDescent="0.25">
      <c r="R1366" s="25"/>
      <c r="S1366" s="25"/>
      <c r="T1366" s="25"/>
      <c r="U1366" s="25"/>
      <c r="V1366" s="25"/>
      <c r="W1366" s="25"/>
      <c r="X1366" s="25"/>
      <c r="Y1366" s="25"/>
      <c r="Z1366" s="25"/>
      <c r="AA1366" s="25"/>
      <c r="AB1366" s="25"/>
      <c r="AC1366" s="25"/>
      <c r="AD1366" s="178"/>
    </row>
    <row r="1367" spans="18:30" x14ac:dyDescent="0.25">
      <c r="R1367" s="25"/>
      <c r="S1367" s="25"/>
      <c r="T1367" s="25"/>
      <c r="U1367" s="25"/>
      <c r="V1367" s="25"/>
      <c r="W1367" s="25"/>
      <c r="X1367" s="25"/>
      <c r="Y1367" s="25"/>
      <c r="Z1367" s="25"/>
      <c r="AA1367" s="25"/>
      <c r="AB1367" s="25"/>
      <c r="AC1367" s="25"/>
      <c r="AD1367" s="178"/>
    </row>
    <row r="1368" spans="18:30" x14ac:dyDescent="0.25">
      <c r="R1368" s="25"/>
      <c r="S1368" s="25"/>
      <c r="T1368" s="25"/>
      <c r="U1368" s="25"/>
      <c r="V1368" s="25"/>
      <c r="W1368" s="25"/>
      <c r="X1368" s="25"/>
      <c r="Y1368" s="25"/>
      <c r="Z1368" s="25"/>
      <c r="AA1368" s="25"/>
      <c r="AB1368" s="25"/>
      <c r="AC1368" s="25"/>
      <c r="AD1368" s="178"/>
    </row>
    <row r="1369" spans="18:30" x14ac:dyDescent="0.25">
      <c r="R1369" s="25"/>
      <c r="S1369" s="25"/>
      <c r="T1369" s="25"/>
      <c r="U1369" s="25"/>
      <c r="V1369" s="25"/>
      <c r="W1369" s="25"/>
      <c r="X1369" s="25"/>
      <c r="Y1369" s="25"/>
      <c r="Z1369" s="25"/>
      <c r="AA1369" s="25"/>
      <c r="AB1369" s="25"/>
      <c r="AC1369" s="25"/>
      <c r="AD1369" s="178"/>
    </row>
    <row r="1370" spans="18:30" x14ac:dyDescent="0.25">
      <c r="R1370" s="25"/>
      <c r="S1370" s="25"/>
      <c r="T1370" s="25"/>
      <c r="U1370" s="25"/>
      <c r="V1370" s="25"/>
      <c r="W1370" s="25"/>
      <c r="X1370" s="25"/>
      <c r="Y1370" s="25"/>
      <c r="Z1370" s="25"/>
      <c r="AA1370" s="25"/>
      <c r="AB1370" s="25"/>
      <c r="AC1370" s="25"/>
      <c r="AD1370" s="178"/>
    </row>
    <row r="1371" spans="18:30" x14ac:dyDescent="0.25">
      <c r="R1371" s="25"/>
      <c r="S1371" s="25"/>
      <c r="T1371" s="25"/>
      <c r="U1371" s="25"/>
      <c r="V1371" s="25"/>
      <c r="W1371" s="25"/>
      <c r="X1371" s="25"/>
      <c r="Y1371" s="25"/>
      <c r="Z1371" s="25"/>
      <c r="AA1371" s="25"/>
      <c r="AB1371" s="25"/>
      <c r="AC1371" s="25"/>
      <c r="AD1371" s="178"/>
    </row>
    <row r="1372" spans="18:30" x14ac:dyDescent="0.25">
      <c r="R1372" s="25"/>
      <c r="S1372" s="25"/>
      <c r="T1372" s="25"/>
      <c r="U1372" s="25"/>
      <c r="V1372" s="25"/>
      <c r="W1372" s="25"/>
      <c r="X1372" s="25"/>
      <c r="Y1372" s="25"/>
      <c r="Z1372" s="25"/>
      <c r="AA1372" s="25"/>
      <c r="AB1372" s="25"/>
      <c r="AC1372" s="25"/>
      <c r="AD1372" s="178"/>
    </row>
    <row r="1373" spans="18:30" x14ac:dyDescent="0.25">
      <c r="R1373" s="25"/>
      <c r="S1373" s="25"/>
      <c r="T1373" s="25"/>
      <c r="U1373" s="25"/>
      <c r="V1373" s="25"/>
      <c r="W1373" s="25"/>
      <c r="X1373" s="25"/>
      <c r="Y1373" s="25"/>
      <c r="Z1373" s="25"/>
      <c r="AA1373" s="25"/>
      <c r="AB1373" s="25"/>
      <c r="AC1373" s="25"/>
      <c r="AD1373" s="178"/>
    </row>
    <row r="1374" spans="18:30" x14ac:dyDescent="0.25">
      <c r="R1374" s="25"/>
      <c r="S1374" s="25"/>
      <c r="T1374" s="25"/>
      <c r="U1374" s="25"/>
      <c r="V1374" s="25"/>
      <c r="W1374" s="25"/>
      <c r="X1374" s="25"/>
      <c r="Y1374" s="25"/>
      <c r="Z1374" s="25"/>
      <c r="AA1374" s="25"/>
      <c r="AB1374" s="25"/>
      <c r="AC1374" s="25"/>
      <c r="AD1374" s="178"/>
    </row>
    <row r="1375" spans="18:30" x14ac:dyDescent="0.25">
      <c r="R1375" s="25"/>
      <c r="S1375" s="25"/>
      <c r="T1375" s="25"/>
      <c r="U1375" s="25"/>
      <c r="V1375" s="25"/>
      <c r="W1375" s="25"/>
      <c r="X1375" s="25"/>
      <c r="Y1375" s="25"/>
      <c r="Z1375" s="25"/>
      <c r="AA1375" s="25"/>
      <c r="AB1375" s="25"/>
      <c r="AC1375" s="25"/>
      <c r="AD1375" s="178"/>
    </row>
    <row r="1376" spans="18:30" x14ac:dyDescent="0.25">
      <c r="R1376" s="25"/>
      <c r="S1376" s="25"/>
      <c r="T1376" s="25"/>
      <c r="U1376" s="25"/>
      <c r="V1376" s="25"/>
      <c r="W1376" s="25"/>
      <c r="X1376" s="25"/>
      <c r="Y1376" s="25"/>
      <c r="Z1376" s="25"/>
      <c r="AA1376" s="25"/>
      <c r="AB1376" s="25"/>
      <c r="AC1376" s="25"/>
      <c r="AD1376" s="178"/>
    </row>
    <row r="1377" spans="18:30" x14ac:dyDescent="0.25">
      <c r="R1377" s="25"/>
      <c r="S1377" s="25"/>
      <c r="T1377" s="25"/>
      <c r="U1377" s="25"/>
      <c r="V1377" s="25"/>
      <c r="W1377" s="25"/>
      <c r="X1377" s="25"/>
      <c r="Y1377" s="25"/>
      <c r="Z1377" s="25"/>
      <c r="AA1377" s="25"/>
      <c r="AB1377" s="25"/>
      <c r="AC1377" s="25"/>
      <c r="AD1377" s="178"/>
    </row>
    <row r="1378" spans="18:30" x14ac:dyDescent="0.25">
      <c r="R1378" s="25"/>
      <c r="S1378" s="25"/>
      <c r="T1378" s="25"/>
      <c r="U1378" s="25"/>
      <c r="V1378" s="25"/>
      <c r="W1378" s="25"/>
      <c r="X1378" s="25"/>
      <c r="Y1378" s="25"/>
      <c r="Z1378" s="25"/>
      <c r="AA1378" s="25"/>
      <c r="AB1378" s="25"/>
      <c r="AC1378" s="25"/>
      <c r="AD1378" s="178"/>
    </row>
    <row r="1379" spans="18:30" x14ac:dyDescent="0.25">
      <c r="R1379" s="25"/>
      <c r="S1379" s="25"/>
      <c r="T1379" s="25"/>
      <c r="U1379" s="25"/>
      <c r="V1379" s="25"/>
      <c r="W1379" s="25"/>
      <c r="X1379" s="25"/>
      <c r="Y1379" s="25"/>
      <c r="Z1379" s="25"/>
      <c r="AA1379" s="25"/>
      <c r="AB1379" s="25"/>
      <c r="AC1379" s="25"/>
      <c r="AD1379" s="178"/>
    </row>
    <row r="1380" spans="18:30" x14ac:dyDescent="0.25">
      <c r="R1380" s="25"/>
      <c r="S1380" s="25"/>
      <c r="T1380" s="25"/>
      <c r="U1380" s="25"/>
      <c r="V1380" s="25"/>
      <c r="W1380" s="25"/>
      <c r="X1380" s="25"/>
      <c r="Y1380" s="25"/>
      <c r="Z1380" s="25"/>
      <c r="AA1380" s="25"/>
      <c r="AB1380" s="25"/>
      <c r="AC1380" s="25"/>
      <c r="AD1380" s="178"/>
    </row>
    <row r="1381" spans="18:30" x14ac:dyDescent="0.25">
      <c r="R1381" s="25"/>
      <c r="S1381" s="25"/>
      <c r="T1381" s="25"/>
      <c r="U1381" s="25"/>
      <c r="V1381" s="25"/>
      <c r="W1381" s="25"/>
      <c r="X1381" s="25"/>
      <c r="Y1381" s="25"/>
      <c r="Z1381" s="25"/>
      <c r="AA1381" s="25"/>
      <c r="AB1381" s="25"/>
      <c r="AC1381" s="25"/>
      <c r="AD1381" s="178"/>
    </row>
    <row r="1382" spans="18:30" x14ac:dyDescent="0.25">
      <c r="R1382" s="25"/>
      <c r="S1382" s="25"/>
      <c r="T1382" s="25"/>
      <c r="U1382" s="25"/>
      <c r="V1382" s="25"/>
      <c r="W1382" s="25"/>
      <c r="X1382" s="25"/>
      <c r="Y1382" s="25"/>
      <c r="Z1382" s="25"/>
      <c r="AA1382" s="25"/>
      <c r="AB1382" s="25"/>
      <c r="AC1382" s="25"/>
      <c r="AD1382" s="178"/>
    </row>
    <row r="1383" spans="18:30" x14ac:dyDescent="0.25">
      <c r="R1383" s="25"/>
      <c r="S1383" s="25"/>
      <c r="T1383" s="25"/>
      <c r="U1383" s="25"/>
      <c r="V1383" s="25"/>
      <c r="W1383" s="25"/>
      <c r="X1383" s="25"/>
      <c r="Y1383" s="25"/>
      <c r="Z1383" s="25"/>
      <c r="AA1383" s="25"/>
      <c r="AB1383" s="25"/>
      <c r="AC1383" s="25"/>
      <c r="AD1383" s="178"/>
    </row>
    <row r="1384" spans="18:30" x14ac:dyDescent="0.25">
      <c r="R1384" s="25"/>
      <c r="S1384" s="25"/>
      <c r="T1384" s="25"/>
      <c r="U1384" s="25"/>
      <c r="V1384" s="25"/>
      <c r="W1384" s="25"/>
      <c r="X1384" s="25"/>
      <c r="Y1384" s="25"/>
      <c r="Z1384" s="25"/>
      <c r="AA1384" s="25"/>
      <c r="AB1384" s="25"/>
      <c r="AC1384" s="25"/>
      <c r="AD1384" s="178"/>
    </row>
    <row r="1385" spans="18:30" x14ac:dyDescent="0.25">
      <c r="R1385" s="25"/>
      <c r="S1385" s="25"/>
      <c r="T1385" s="25"/>
      <c r="U1385" s="25"/>
      <c r="V1385" s="25"/>
      <c r="W1385" s="25"/>
      <c r="X1385" s="25"/>
      <c r="Y1385" s="25"/>
      <c r="Z1385" s="25"/>
      <c r="AA1385" s="25"/>
      <c r="AB1385" s="25"/>
      <c r="AC1385" s="25"/>
      <c r="AD1385" s="178"/>
    </row>
    <row r="1386" spans="18:30" x14ac:dyDescent="0.25">
      <c r="R1386" s="25"/>
      <c r="S1386" s="25"/>
      <c r="T1386" s="25"/>
      <c r="U1386" s="25"/>
      <c r="V1386" s="25"/>
      <c r="W1386" s="25"/>
      <c r="X1386" s="25"/>
      <c r="Y1386" s="25"/>
      <c r="Z1386" s="25"/>
      <c r="AA1386" s="25"/>
      <c r="AB1386" s="25"/>
      <c r="AC1386" s="25"/>
      <c r="AD1386" s="178"/>
    </row>
    <row r="1387" spans="18:30" x14ac:dyDescent="0.25">
      <c r="R1387" s="25"/>
      <c r="S1387" s="25"/>
      <c r="T1387" s="25"/>
      <c r="U1387" s="25"/>
      <c r="V1387" s="25"/>
      <c r="W1387" s="25"/>
      <c r="X1387" s="25"/>
      <c r="Y1387" s="25"/>
      <c r="Z1387" s="25"/>
      <c r="AA1387" s="25"/>
      <c r="AB1387" s="25"/>
      <c r="AC1387" s="25"/>
      <c r="AD1387" s="178"/>
    </row>
    <row r="1388" spans="18:30" x14ac:dyDescent="0.25">
      <c r="R1388" s="25"/>
      <c r="S1388" s="25"/>
      <c r="T1388" s="25"/>
      <c r="U1388" s="25"/>
      <c r="V1388" s="25"/>
      <c r="W1388" s="25"/>
      <c r="X1388" s="25"/>
      <c r="Y1388" s="25"/>
      <c r="Z1388" s="25"/>
      <c r="AA1388" s="25"/>
      <c r="AB1388" s="25"/>
      <c r="AC1388" s="25"/>
      <c r="AD1388" s="178"/>
    </row>
    <row r="1389" spans="18:30" x14ac:dyDescent="0.25">
      <c r="R1389" s="25"/>
      <c r="S1389" s="25"/>
      <c r="T1389" s="25"/>
      <c r="U1389" s="25"/>
      <c r="V1389" s="25"/>
      <c r="W1389" s="25"/>
      <c r="X1389" s="25"/>
      <c r="Y1389" s="25"/>
      <c r="Z1389" s="25"/>
      <c r="AA1389" s="25"/>
      <c r="AB1389" s="25"/>
      <c r="AC1389" s="25"/>
      <c r="AD1389" s="178"/>
    </row>
    <row r="1390" spans="18:30" x14ac:dyDescent="0.25">
      <c r="R1390" s="25"/>
      <c r="S1390" s="25"/>
      <c r="T1390" s="25"/>
      <c r="U1390" s="25"/>
      <c r="V1390" s="25"/>
      <c r="W1390" s="25"/>
      <c r="X1390" s="25"/>
      <c r="Y1390" s="25"/>
      <c r="Z1390" s="25"/>
      <c r="AA1390" s="25"/>
      <c r="AB1390" s="25"/>
      <c r="AC1390" s="25"/>
      <c r="AD1390" s="178"/>
    </row>
    <row r="1391" spans="18:30" x14ac:dyDescent="0.25">
      <c r="R1391" s="25"/>
      <c r="S1391" s="25"/>
      <c r="T1391" s="25"/>
      <c r="U1391" s="25"/>
      <c r="V1391" s="25"/>
      <c r="W1391" s="25"/>
      <c r="X1391" s="25"/>
      <c r="Y1391" s="25"/>
      <c r="Z1391" s="25"/>
      <c r="AA1391" s="25"/>
      <c r="AB1391" s="25"/>
      <c r="AC1391" s="25"/>
      <c r="AD1391" s="178"/>
    </row>
    <row r="1392" spans="18:30" x14ac:dyDescent="0.25">
      <c r="R1392" s="25"/>
      <c r="S1392" s="25"/>
      <c r="T1392" s="25"/>
      <c r="U1392" s="25"/>
      <c r="V1392" s="25"/>
      <c r="W1392" s="25"/>
      <c r="X1392" s="25"/>
      <c r="Y1392" s="25"/>
      <c r="Z1392" s="25"/>
      <c r="AA1392" s="25"/>
      <c r="AB1392" s="25"/>
      <c r="AC1392" s="25"/>
      <c r="AD1392" s="178"/>
    </row>
    <row r="1393" spans="18:30" x14ac:dyDescent="0.25">
      <c r="R1393" s="25"/>
      <c r="S1393" s="25"/>
      <c r="T1393" s="25"/>
      <c r="U1393" s="25"/>
      <c r="V1393" s="25"/>
      <c r="W1393" s="25"/>
      <c r="X1393" s="25"/>
      <c r="Y1393" s="25"/>
      <c r="Z1393" s="25"/>
      <c r="AA1393" s="25"/>
      <c r="AB1393" s="25"/>
      <c r="AC1393" s="25"/>
      <c r="AD1393" s="178"/>
    </row>
    <row r="1394" spans="18:30" x14ac:dyDescent="0.25">
      <c r="R1394" s="25"/>
      <c r="S1394" s="25"/>
      <c r="T1394" s="25"/>
      <c r="U1394" s="25"/>
      <c r="V1394" s="25"/>
      <c r="W1394" s="25"/>
      <c r="X1394" s="25"/>
      <c r="Y1394" s="25"/>
      <c r="Z1394" s="25"/>
      <c r="AA1394" s="25"/>
      <c r="AB1394" s="25"/>
      <c r="AC1394" s="25"/>
      <c r="AD1394" s="178"/>
    </row>
    <row r="1395" spans="18:30" x14ac:dyDescent="0.25">
      <c r="R1395" s="25"/>
      <c r="S1395" s="25"/>
      <c r="T1395" s="25"/>
      <c r="U1395" s="25"/>
      <c r="V1395" s="25"/>
      <c r="W1395" s="25"/>
      <c r="X1395" s="25"/>
      <c r="Y1395" s="25"/>
      <c r="Z1395" s="25"/>
      <c r="AA1395" s="25"/>
      <c r="AB1395" s="25"/>
      <c r="AC1395" s="25"/>
      <c r="AD1395" s="178"/>
    </row>
    <row r="1396" spans="18:30" x14ac:dyDescent="0.25">
      <c r="R1396" s="25"/>
      <c r="S1396" s="25"/>
      <c r="T1396" s="25"/>
      <c r="U1396" s="25"/>
      <c r="V1396" s="25"/>
      <c r="W1396" s="25"/>
      <c r="X1396" s="25"/>
      <c r="Y1396" s="25"/>
      <c r="Z1396" s="25"/>
      <c r="AA1396" s="25"/>
      <c r="AB1396" s="25"/>
      <c r="AC1396" s="25"/>
      <c r="AD1396" s="178"/>
    </row>
    <row r="1397" spans="18:30" x14ac:dyDescent="0.25">
      <c r="R1397" s="25"/>
      <c r="S1397" s="25"/>
      <c r="T1397" s="25"/>
      <c r="U1397" s="25"/>
      <c r="V1397" s="25"/>
      <c r="W1397" s="25"/>
      <c r="X1397" s="25"/>
      <c r="Y1397" s="25"/>
      <c r="Z1397" s="25"/>
      <c r="AA1397" s="25"/>
      <c r="AB1397" s="25"/>
      <c r="AC1397" s="25"/>
      <c r="AD1397" s="178"/>
    </row>
    <row r="1398" spans="18:30" x14ac:dyDescent="0.25">
      <c r="R1398" s="25"/>
      <c r="S1398" s="25"/>
      <c r="T1398" s="25"/>
      <c r="U1398" s="25"/>
      <c r="V1398" s="25"/>
      <c r="W1398" s="25"/>
      <c r="X1398" s="25"/>
      <c r="Y1398" s="25"/>
      <c r="Z1398" s="25"/>
      <c r="AA1398" s="25"/>
      <c r="AB1398" s="25"/>
      <c r="AC1398" s="25"/>
      <c r="AD1398" s="178"/>
    </row>
    <row r="1399" spans="18:30" x14ac:dyDescent="0.25">
      <c r="R1399" s="25"/>
      <c r="S1399" s="25"/>
      <c r="T1399" s="25"/>
      <c r="U1399" s="25"/>
      <c r="V1399" s="25"/>
      <c r="W1399" s="25"/>
      <c r="X1399" s="25"/>
      <c r="Y1399" s="25"/>
      <c r="Z1399" s="25"/>
      <c r="AA1399" s="25"/>
      <c r="AB1399" s="25"/>
      <c r="AC1399" s="25"/>
      <c r="AD1399" s="178"/>
    </row>
    <row r="1400" spans="18:30" x14ac:dyDescent="0.25">
      <c r="R1400" s="25"/>
      <c r="S1400" s="25"/>
      <c r="T1400" s="25"/>
      <c r="U1400" s="25"/>
      <c r="V1400" s="25"/>
      <c r="W1400" s="25"/>
      <c r="X1400" s="25"/>
      <c r="Y1400" s="25"/>
      <c r="Z1400" s="25"/>
      <c r="AA1400" s="25"/>
      <c r="AB1400" s="25"/>
      <c r="AC1400" s="25"/>
      <c r="AD1400" s="178"/>
    </row>
    <row r="1401" spans="18:30" x14ac:dyDescent="0.25">
      <c r="R1401" s="25"/>
      <c r="S1401" s="25"/>
      <c r="T1401" s="25"/>
      <c r="U1401" s="25"/>
      <c r="V1401" s="25"/>
      <c r="W1401" s="25"/>
      <c r="X1401" s="25"/>
      <c r="Y1401" s="25"/>
      <c r="Z1401" s="25"/>
      <c r="AA1401" s="25"/>
      <c r="AB1401" s="25"/>
      <c r="AC1401" s="25"/>
      <c r="AD1401" s="178"/>
    </row>
    <row r="1402" spans="18:30" x14ac:dyDescent="0.25">
      <c r="R1402" s="25"/>
      <c r="S1402" s="25"/>
      <c r="T1402" s="25"/>
      <c r="U1402" s="25"/>
      <c r="V1402" s="25"/>
      <c r="W1402" s="25"/>
      <c r="X1402" s="25"/>
      <c r="Y1402" s="25"/>
      <c r="Z1402" s="25"/>
      <c r="AA1402" s="25"/>
      <c r="AB1402" s="25"/>
      <c r="AC1402" s="25"/>
      <c r="AD1402" s="178"/>
    </row>
    <row r="1403" spans="18:30" x14ac:dyDescent="0.25">
      <c r="R1403" s="25"/>
      <c r="S1403" s="25"/>
      <c r="T1403" s="25"/>
      <c r="U1403" s="25"/>
      <c r="V1403" s="25"/>
      <c r="W1403" s="25"/>
      <c r="X1403" s="25"/>
      <c r="Y1403" s="25"/>
      <c r="Z1403" s="25"/>
      <c r="AA1403" s="25"/>
      <c r="AB1403" s="25"/>
      <c r="AC1403" s="25"/>
      <c r="AD1403" s="178"/>
    </row>
    <row r="1404" spans="18:30" x14ac:dyDescent="0.25">
      <c r="R1404" s="25"/>
      <c r="S1404" s="25"/>
      <c r="T1404" s="25"/>
      <c r="U1404" s="25"/>
      <c r="V1404" s="25"/>
      <c r="W1404" s="25"/>
      <c r="X1404" s="25"/>
      <c r="Y1404" s="25"/>
      <c r="Z1404" s="25"/>
      <c r="AA1404" s="25"/>
      <c r="AB1404" s="25"/>
      <c r="AC1404" s="25"/>
      <c r="AD1404" s="178"/>
    </row>
    <row r="1405" spans="18:30" x14ac:dyDescent="0.25">
      <c r="R1405" s="25"/>
      <c r="S1405" s="25"/>
      <c r="T1405" s="25"/>
      <c r="U1405" s="25"/>
      <c r="V1405" s="25"/>
      <c r="W1405" s="25"/>
      <c r="X1405" s="25"/>
      <c r="Y1405" s="25"/>
      <c r="Z1405" s="25"/>
      <c r="AA1405" s="25"/>
      <c r="AB1405" s="25"/>
      <c r="AC1405" s="25"/>
      <c r="AD1405" s="178"/>
    </row>
    <row r="1406" spans="18:30" x14ac:dyDescent="0.25">
      <c r="R1406" s="25"/>
      <c r="S1406" s="25"/>
      <c r="T1406" s="25"/>
      <c r="U1406" s="25"/>
      <c r="V1406" s="25"/>
      <c r="W1406" s="25"/>
      <c r="X1406" s="25"/>
      <c r="Y1406" s="25"/>
      <c r="Z1406" s="25"/>
      <c r="AA1406" s="25"/>
      <c r="AB1406" s="25"/>
      <c r="AC1406" s="25"/>
      <c r="AD1406" s="178"/>
    </row>
    <row r="1407" spans="18:30" x14ac:dyDescent="0.25">
      <c r="R1407" s="25"/>
      <c r="S1407" s="25"/>
      <c r="T1407" s="25"/>
      <c r="U1407" s="25"/>
      <c r="V1407" s="25"/>
      <c r="W1407" s="25"/>
      <c r="X1407" s="25"/>
      <c r="Y1407" s="25"/>
      <c r="Z1407" s="25"/>
      <c r="AA1407" s="25"/>
      <c r="AB1407" s="25"/>
      <c r="AC1407" s="25"/>
      <c r="AD1407" s="178"/>
    </row>
    <row r="1408" spans="18:30" x14ac:dyDescent="0.25">
      <c r="R1408" s="25"/>
      <c r="S1408" s="25"/>
      <c r="T1408" s="25"/>
      <c r="U1408" s="25"/>
      <c r="V1408" s="25"/>
      <c r="W1408" s="25"/>
      <c r="X1408" s="25"/>
      <c r="Y1408" s="25"/>
      <c r="Z1408" s="25"/>
      <c r="AA1408" s="25"/>
      <c r="AB1408" s="25"/>
      <c r="AC1408" s="25"/>
      <c r="AD1408" s="178"/>
    </row>
    <row r="1409" spans="18:30" x14ac:dyDescent="0.25">
      <c r="R1409" s="25"/>
      <c r="S1409" s="25"/>
      <c r="T1409" s="25"/>
      <c r="U1409" s="25"/>
      <c r="V1409" s="25"/>
      <c r="W1409" s="25"/>
      <c r="X1409" s="25"/>
      <c r="Y1409" s="25"/>
      <c r="Z1409" s="25"/>
      <c r="AA1409" s="25"/>
      <c r="AB1409" s="25"/>
      <c r="AC1409" s="25"/>
      <c r="AD1409" s="178"/>
    </row>
    <row r="1410" spans="18:30" x14ac:dyDescent="0.25">
      <c r="R1410" s="25"/>
      <c r="S1410" s="25"/>
      <c r="T1410" s="25"/>
      <c r="U1410" s="25"/>
      <c r="V1410" s="25"/>
      <c r="W1410" s="25"/>
      <c r="X1410" s="25"/>
      <c r="Y1410" s="25"/>
      <c r="Z1410" s="25"/>
      <c r="AA1410" s="25"/>
      <c r="AB1410" s="25"/>
      <c r="AC1410" s="25"/>
      <c r="AD1410" s="178"/>
    </row>
    <row r="1411" spans="18:30" x14ac:dyDescent="0.25">
      <c r="R1411" s="25"/>
      <c r="S1411" s="25"/>
      <c r="T1411" s="25"/>
      <c r="U1411" s="25"/>
      <c r="V1411" s="25"/>
      <c r="W1411" s="25"/>
      <c r="X1411" s="25"/>
      <c r="Y1411" s="25"/>
      <c r="Z1411" s="25"/>
      <c r="AA1411" s="25"/>
      <c r="AB1411" s="25"/>
      <c r="AC1411" s="25"/>
      <c r="AD1411" s="178"/>
    </row>
    <row r="1412" spans="18:30" x14ac:dyDescent="0.25">
      <c r="R1412" s="25"/>
      <c r="S1412" s="25"/>
      <c r="T1412" s="25"/>
      <c r="U1412" s="25"/>
      <c r="V1412" s="25"/>
      <c r="W1412" s="25"/>
      <c r="X1412" s="25"/>
      <c r="Y1412" s="25"/>
      <c r="Z1412" s="25"/>
      <c r="AA1412" s="25"/>
      <c r="AB1412" s="25"/>
      <c r="AC1412" s="25"/>
      <c r="AD1412" s="178"/>
    </row>
    <row r="1413" spans="18:30" x14ac:dyDescent="0.25">
      <c r="R1413" s="25"/>
      <c r="S1413" s="25"/>
      <c r="T1413" s="25"/>
      <c r="U1413" s="25"/>
      <c r="V1413" s="25"/>
      <c r="W1413" s="25"/>
      <c r="X1413" s="25"/>
      <c r="Y1413" s="25"/>
      <c r="Z1413" s="25"/>
      <c r="AA1413" s="25"/>
      <c r="AB1413" s="25"/>
      <c r="AC1413" s="25"/>
      <c r="AD1413" s="178"/>
    </row>
    <row r="1414" spans="18:30" x14ac:dyDescent="0.25">
      <c r="R1414" s="25"/>
      <c r="S1414" s="25"/>
      <c r="T1414" s="25"/>
      <c r="U1414" s="25"/>
      <c r="V1414" s="25"/>
      <c r="W1414" s="25"/>
      <c r="X1414" s="25"/>
      <c r="Y1414" s="25"/>
      <c r="Z1414" s="25"/>
      <c r="AA1414" s="25"/>
      <c r="AB1414" s="25"/>
      <c r="AC1414" s="25"/>
      <c r="AD1414" s="178"/>
    </row>
    <row r="1415" spans="18:30" x14ac:dyDescent="0.25">
      <c r="R1415" s="25"/>
      <c r="S1415" s="25"/>
      <c r="T1415" s="25"/>
      <c r="U1415" s="25"/>
      <c r="V1415" s="25"/>
      <c r="W1415" s="25"/>
      <c r="X1415" s="25"/>
      <c r="Y1415" s="25"/>
      <c r="Z1415" s="25"/>
      <c r="AA1415" s="25"/>
      <c r="AB1415" s="25"/>
      <c r="AC1415" s="25"/>
      <c r="AD1415" s="178"/>
    </row>
    <row r="1416" spans="18:30" x14ac:dyDescent="0.25">
      <c r="R1416" s="25"/>
      <c r="S1416" s="25"/>
      <c r="T1416" s="25"/>
      <c r="U1416" s="25"/>
      <c r="V1416" s="25"/>
      <c r="W1416" s="25"/>
      <c r="X1416" s="25"/>
      <c r="Y1416" s="25"/>
      <c r="Z1416" s="25"/>
      <c r="AA1416" s="25"/>
      <c r="AB1416" s="25"/>
      <c r="AC1416" s="25"/>
      <c r="AD1416" s="178"/>
    </row>
    <row r="1417" spans="18:30" x14ac:dyDescent="0.25">
      <c r="R1417" s="25"/>
      <c r="S1417" s="25"/>
      <c r="T1417" s="25"/>
      <c r="U1417" s="25"/>
      <c r="V1417" s="25"/>
      <c r="W1417" s="25"/>
      <c r="X1417" s="25"/>
      <c r="Y1417" s="25"/>
      <c r="Z1417" s="25"/>
      <c r="AA1417" s="25"/>
      <c r="AB1417" s="25"/>
      <c r="AC1417" s="25"/>
      <c r="AD1417" s="178"/>
    </row>
    <row r="1418" spans="18:30" x14ac:dyDescent="0.25">
      <c r="R1418" s="25"/>
      <c r="S1418" s="25"/>
      <c r="T1418" s="25"/>
      <c r="U1418" s="25"/>
      <c r="V1418" s="25"/>
      <c r="W1418" s="25"/>
      <c r="X1418" s="25"/>
      <c r="Y1418" s="25"/>
      <c r="Z1418" s="25"/>
      <c r="AA1418" s="25"/>
      <c r="AB1418" s="25"/>
      <c r="AC1418" s="25"/>
      <c r="AD1418" s="178"/>
    </row>
    <row r="1419" spans="18:30" x14ac:dyDescent="0.25">
      <c r="R1419" s="25"/>
      <c r="S1419" s="25"/>
      <c r="T1419" s="25"/>
      <c r="U1419" s="25"/>
      <c r="V1419" s="25"/>
      <c r="W1419" s="25"/>
      <c r="X1419" s="25"/>
      <c r="Y1419" s="25"/>
      <c r="Z1419" s="25"/>
      <c r="AA1419" s="25"/>
      <c r="AB1419" s="25"/>
      <c r="AC1419" s="25"/>
      <c r="AD1419" s="178"/>
    </row>
    <row r="1420" spans="18:30" x14ac:dyDescent="0.25">
      <c r="R1420" s="25"/>
      <c r="S1420" s="25"/>
      <c r="T1420" s="25"/>
      <c r="U1420" s="25"/>
      <c r="V1420" s="25"/>
      <c r="W1420" s="25"/>
      <c r="X1420" s="25"/>
      <c r="Y1420" s="25"/>
      <c r="Z1420" s="25"/>
      <c r="AA1420" s="25"/>
      <c r="AB1420" s="25"/>
      <c r="AC1420" s="25"/>
      <c r="AD1420" s="178"/>
    </row>
    <row r="1421" spans="18:30" x14ac:dyDescent="0.25">
      <c r="R1421" s="25"/>
      <c r="S1421" s="25"/>
      <c r="T1421" s="25"/>
      <c r="U1421" s="25"/>
      <c r="V1421" s="25"/>
      <c r="W1421" s="25"/>
      <c r="X1421" s="25"/>
      <c r="Y1421" s="25"/>
      <c r="Z1421" s="25"/>
      <c r="AA1421" s="25"/>
      <c r="AB1421" s="25"/>
      <c r="AC1421" s="25"/>
      <c r="AD1421" s="178"/>
    </row>
    <row r="1422" spans="18:30" x14ac:dyDescent="0.25">
      <c r="R1422" s="25"/>
      <c r="S1422" s="25"/>
      <c r="T1422" s="25"/>
      <c r="U1422" s="25"/>
      <c r="V1422" s="25"/>
      <c r="W1422" s="25"/>
      <c r="X1422" s="25"/>
      <c r="Y1422" s="25"/>
      <c r="Z1422" s="25"/>
      <c r="AA1422" s="25"/>
      <c r="AB1422" s="25"/>
      <c r="AC1422" s="25"/>
      <c r="AD1422" s="178"/>
    </row>
    <row r="1423" spans="18:30" x14ac:dyDescent="0.25">
      <c r="R1423" s="25"/>
      <c r="S1423" s="25"/>
      <c r="T1423" s="25"/>
      <c r="U1423" s="25"/>
      <c r="V1423" s="25"/>
      <c r="W1423" s="25"/>
      <c r="X1423" s="25"/>
      <c r="Y1423" s="25"/>
      <c r="Z1423" s="25"/>
      <c r="AA1423" s="25"/>
      <c r="AB1423" s="25"/>
      <c r="AC1423" s="25"/>
      <c r="AD1423" s="178"/>
    </row>
    <row r="1424" spans="18:30" x14ac:dyDescent="0.25">
      <c r="R1424" s="25"/>
      <c r="S1424" s="25"/>
      <c r="T1424" s="25"/>
      <c r="U1424" s="25"/>
      <c r="V1424" s="25"/>
      <c r="W1424" s="25"/>
      <c r="X1424" s="25"/>
      <c r="Y1424" s="25"/>
      <c r="Z1424" s="25"/>
      <c r="AA1424" s="25"/>
      <c r="AB1424" s="25"/>
      <c r="AC1424" s="25"/>
      <c r="AD1424" s="178"/>
    </row>
    <row r="1425" spans="18:30" x14ac:dyDescent="0.25">
      <c r="R1425" s="25"/>
      <c r="S1425" s="25"/>
      <c r="T1425" s="25"/>
      <c r="U1425" s="25"/>
      <c r="V1425" s="25"/>
      <c r="W1425" s="25"/>
      <c r="X1425" s="25"/>
      <c r="Y1425" s="25"/>
      <c r="Z1425" s="25"/>
      <c r="AA1425" s="25"/>
      <c r="AB1425" s="25"/>
      <c r="AC1425" s="25"/>
      <c r="AD1425" s="178"/>
    </row>
    <row r="1426" spans="18:30" x14ac:dyDescent="0.25">
      <c r="R1426" s="25"/>
      <c r="S1426" s="25"/>
      <c r="T1426" s="25"/>
      <c r="U1426" s="25"/>
      <c r="V1426" s="25"/>
      <c r="W1426" s="25"/>
      <c r="X1426" s="25"/>
      <c r="Y1426" s="25"/>
      <c r="Z1426" s="25"/>
      <c r="AA1426" s="25"/>
      <c r="AB1426" s="25"/>
      <c r="AC1426" s="25"/>
      <c r="AD1426" s="178"/>
    </row>
    <row r="1427" spans="18:30" x14ac:dyDescent="0.25">
      <c r="R1427" s="25"/>
      <c r="S1427" s="25"/>
      <c r="T1427" s="25"/>
      <c r="U1427" s="25"/>
      <c r="V1427" s="25"/>
      <c r="W1427" s="25"/>
      <c r="X1427" s="25"/>
      <c r="Y1427" s="25"/>
      <c r="Z1427" s="25"/>
      <c r="AA1427" s="25"/>
      <c r="AB1427" s="25"/>
      <c r="AC1427" s="25"/>
      <c r="AD1427" s="178"/>
    </row>
    <row r="1428" spans="18:30" x14ac:dyDescent="0.25">
      <c r="R1428" s="25"/>
      <c r="S1428" s="25"/>
      <c r="T1428" s="25"/>
      <c r="U1428" s="25"/>
      <c r="V1428" s="25"/>
      <c r="W1428" s="25"/>
      <c r="X1428" s="25"/>
      <c r="Y1428" s="25"/>
      <c r="Z1428" s="25"/>
      <c r="AA1428" s="25"/>
      <c r="AB1428" s="25"/>
      <c r="AC1428" s="25"/>
      <c r="AD1428" s="178"/>
    </row>
    <row r="1429" spans="18:30" x14ac:dyDescent="0.25">
      <c r="R1429" s="25"/>
      <c r="S1429" s="25"/>
      <c r="T1429" s="25"/>
      <c r="U1429" s="25"/>
      <c r="V1429" s="25"/>
      <c r="W1429" s="25"/>
      <c r="X1429" s="25"/>
      <c r="Y1429" s="25"/>
      <c r="Z1429" s="25"/>
      <c r="AA1429" s="25"/>
      <c r="AB1429" s="25"/>
      <c r="AC1429" s="25"/>
      <c r="AD1429" s="178"/>
    </row>
    <row r="1430" spans="18:30" x14ac:dyDescent="0.25">
      <c r="R1430" s="25"/>
      <c r="S1430" s="25"/>
      <c r="T1430" s="25"/>
      <c r="U1430" s="25"/>
      <c r="V1430" s="25"/>
      <c r="W1430" s="25"/>
      <c r="X1430" s="25"/>
      <c r="Y1430" s="25"/>
      <c r="Z1430" s="25"/>
      <c r="AA1430" s="25"/>
      <c r="AB1430" s="25"/>
      <c r="AC1430" s="25"/>
      <c r="AD1430" s="178"/>
    </row>
    <row r="1431" spans="18:30" x14ac:dyDescent="0.25">
      <c r="R1431" s="25"/>
      <c r="S1431" s="25"/>
      <c r="T1431" s="25"/>
      <c r="U1431" s="25"/>
      <c r="V1431" s="25"/>
      <c r="W1431" s="25"/>
      <c r="X1431" s="25"/>
      <c r="Y1431" s="25"/>
      <c r="Z1431" s="25"/>
      <c r="AA1431" s="25"/>
      <c r="AB1431" s="25"/>
      <c r="AC1431" s="25"/>
      <c r="AD1431" s="178"/>
    </row>
    <row r="1432" spans="18:30" x14ac:dyDescent="0.25">
      <c r="R1432" s="25"/>
      <c r="S1432" s="25"/>
      <c r="T1432" s="25"/>
      <c r="U1432" s="25"/>
      <c r="V1432" s="25"/>
      <c r="W1432" s="25"/>
      <c r="X1432" s="25"/>
      <c r="Y1432" s="25"/>
      <c r="Z1432" s="25"/>
      <c r="AA1432" s="25"/>
      <c r="AB1432" s="25"/>
      <c r="AC1432" s="25"/>
      <c r="AD1432" s="178"/>
    </row>
    <row r="1433" spans="18:30" x14ac:dyDescent="0.25">
      <c r="R1433" s="25"/>
      <c r="S1433" s="25"/>
      <c r="T1433" s="25"/>
      <c r="U1433" s="25"/>
      <c r="V1433" s="25"/>
      <c r="W1433" s="25"/>
      <c r="X1433" s="25"/>
      <c r="Y1433" s="25"/>
      <c r="Z1433" s="25"/>
      <c r="AA1433" s="25"/>
      <c r="AB1433" s="25"/>
      <c r="AC1433" s="25"/>
      <c r="AD1433" s="178"/>
    </row>
    <row r="1434" spans="18:30" x14ac:dyDescent="0.25">
      <c r="R1434" s="25"/>
      <c r="S1434" s="25"/>
      <c r="T1434" s="25"/>
      <c r="U1434" s="25"/>
      <c r="V1434" s="25"/>
      <c r="W1434" s="25"/>
      <c r="X1434" s="25"/>
      <c r="Y1434" s="25"/>
      <c r="Z1434" s="25"/>
      <c r="AA1434" s="25"/>
      <c r="AB1434" s="25"/>
      <c r="AC1434" s="25"/>
      <c r="AD1434" s="178"/>
    </row>
    <row r="1435" spans="18:30" x14ac:dyDescent="0.25">
      <c r="R1435" s="25"/>
      <c r="S1435" s="25"/>
      <c r="T1435" s="25"/>
      <c r="U1435" s="25"/>
      <c r="V1435" s="25"/>
      <c r="W1435" s="25"/>
      <c r="X1435" s="25"/>
      <c r="Y1435" s="25"/>
      <c r="Z1435" s="25"/>
      <c r="AA1435" s="25"/>
      <c r="AB1435" s="25"/>
      <c r="AC1435" s="25"/>
      <c r="AD1435" s="178"/>
    </row>
    <row r="1436" spans="18:30" x14ac:dyDescent="0.25">
      <c r="R1436" s="25"/>
      <c r="S1436" s="25"/>
      <c r="T1436" s="25"/>
      <c r="U1436" s="25"/>
      <c r="V1436" s="25"/>
      <c r="W1436" s="25"/>
      <c r="X1436" s="25"/>
      <c r="Y1436" s="25"/>
      <c r="Z1436" s="25"/>
      <c r="AA1436" s="25"/>
      <c r="AB1436" s="25"/>
      <c r="AC1436" s="25"/>
      <c r="AD1436" s="178"/>
    </row>
    <row r="1437" spans="18:30" x14ac:dyDescent="0.25">
      <c r="R1437" s="25"/>
      <c r="S1437" s="25"/>
      <c r="T1437" s="25"/>
      <c r="U1437" s="25"/>
      <c r="V1437" s="25"/>
      <c r="W1437" s="25"/>
      <c r="X1437" s="25"/>
      <c r="Y1437" s="25"/>
      <c r="Z1437" s="25"/>
      <c r="AA1437" s="25"/>
      <c r="AB1437" s="25"/>
      <c r="AC1437" s="25"/>
      <c r="AD1437" s="178"/>
    </row>
    <row r="1438" spans="18:30" x14ac:dyDescent="0.25">
      <c r="R1438" s="25"/>
      <c r="S1438" s="25"/>
      <c r="T1438" s="25"/>
      <c r="U1438" s="25"/>
      <c r="V1438" s="25"/>
      <c r="W1438" s="25"/>
      <c r="X1438" s="25"/>
      <c r="Y1438" s="25"/>
      <c r="Z1438" s="25"/>
      <c r="AA1438" s="25"/>
      <c r="AB1438" s="25"/>
      <c r="AC1438" s="25"/>
      <c r="AD1438" s="178"/>
    </row>
    <row r="1439" spans="18:30" x14ac:dyDescent="0.25">
      <c r="R1439" s="25"/>
      <c r="S1439" s="25"/>
      <c r="T1439" s="25"/>
      <c r="U1439" s="25"/>
      <c r="V1439" s="25"/>
      <c r="W1439" s="25"/>
      <c r="X1439" s="25"/>
      <c r="Y1439" s="25"/>
      <c r="Z1439" s="25"/>
      <c r="AA1439" s="25"/>
      <c r="AB1439" s="25"/>
      <c r="AC1439" s="25"/>
      <c r="AD1439" s="178"/>
    </row>
    <row r="1440" spans="18:30" x14ac:dyDescent="0.25">
      <c r="R1440" s="25"/>
      <c r="S1440" s="25"/>
      <c r="T1440" s="25"/>
      <c r="U1440" s="25"/>
      <c r="V1440" s="25"/>
      <c r="W1440" s="25"/>
      <c r="X1440" s="25"/>
      <c r="Y1440" s="25"/>
      <c r="Z1440" s="25"/>
      <c r="AA1440" s="25"/>
      <c r="AB1440" s="25"/>
      <c r="AC1440" s="25"/>
      <c r="AD1440" s="178"/>
    </row>
    <row r="1441" spans="18:30" x14ac:dyDescent="0.25">
      <c r="R1441" s="25"/>
      <c r="S1441" s="25"/>
      <c r="T1441" s="25"/>
      <c r="U1441" s="25"/>
      <c r="V1441" s="25"/>
      <c r="W1441" s="25"/>
      <c r="X1441" s="25"/>
      <c r="Y1441" s="25"/>
      <c r="Z1441" s="25"/>
      <c r="AA1441" s="25"/>
      <c r="AB1441" s="25"/>
      <c r="AC1441" s="25"/>
      <c r="AD1441" s="178"/>
    </row>
    <row r="1442" spans="18:30" x14ac:dyDescent="0.25">
      <c r="R1442" s="25"/>
      <c r="S1442" s="25"/>
      <c r="T1442" s="25"/>
      <c r="U1442" s="25"/>
      <c r="V1442" s="25"/>
      <c r="W1442" s="25"/>
      <c r="X1442" s="25"/>
      <c r="Y1442" s="25"/>
      <c r="Z1442" s="25"/>
      <c r="AA1442" s="25"/>
      <c r="AB1442" s="25"/>
      <c r="AC1442" s="25"/>
      <c r="AD1442" s="178"/>
    </row>
    <row r="1443" spans="18:30" x14ac:dyDescent="0.25">
      <c r="R1443" s="25"/>
      <c r="S1443" s="25"/>
      <c r="T1443" s="25"/>
      <c r="U1443" s="25"/>
      <c r="V1443" s="25"/>
      <c r="W1443" s="25"/>
      <c r="X1443" s="25"/>
      <c r="Y1443" s="25"/>
      <c r="Z1443" s="25"/>
      <c r="AA1443" s="25"/>
      <c r="AB1443" s="25"/>
      <c r="AC1443" s="25"/>
      <c r="AD1443" s="178"/>
    </row>
    <row r="1444" spans="18:30" x14ac:dyDescent="0.25">
      <c r="R1444" s="25"/>
      <c r="S1444" s="25"/>
      <c r="T1444" s="25"/>
      <c r="U1444" s="25"/>
      <c r="V1444" s="25"/>
      <c r="W1444" s="25"/>
      <c r="X1444" s="25"/>
      <c r="Y1444" s="25"/>
      <c r="Z1444" s="25"/>
      <c r="AA1444" s="25"/>
      <c r="AB1444" s="25"/>
      <c r="AC1444" s="25"/>
      <c r="AD1444" s="178"/>
    </row>
    <row r="1445" spans="18:30" x14ac:dyDescent="0.25">
      <c r="R1445" s="25"/>
      <c r="S1445" s="25"/>
      <c r="T1445" s="25"/>
      <c r="U1445" s="25"/>
      <c r="V1445" s="25"/>
      <c r="W1445" s="25"/>
      <c r="X1445" s="25"/>
      <c r="Y1445" s="25"/>
      <c r="Z1445" s="25"/>
      <c r="AA1445" s="25"/>
      <c r="AB1445" s="25"/>
      <c r="AC1445" s="25"/>
      <c r="AD1445" s="178"/>
    </row>
    <row r="1446" spans="18:30" x14ac:dyDescent="0.25">
      <c r="R1446" s="25"/>
      <c r="S1446" s="25"/>
      <c r="T1446" s="25"/>
      <c r="U1446" s="25"/>
      <c r="V1446" s="25"/>
      <c r="W1446" s="25"/>
      <c r="X1446" s="25"/>
      <c r="Y1446" s="25"/>
      <c r="Z1446" s="25"/>
      <c r="AA1446" s="25"/>
      <c r="AB1446" s="25"/>
      <c r="AC1446" s="25"/>
      <c r="AD1446" s="178"/>
    </row>
    <row r="1447" spans="18:30" x14ac:dyDescent="0.25">
      <c r="R1447" s="25"/>
      <c r="S1447" s="25"/>
      <c r="T1447" s="25"/>
      <c r="U1447" s="25"/>
      <c r="V1447" s="25"/>
      <c r="W1447" s="25"/>
      <c r="X1447" s="25"/>
      <c r="Y1447" s="25"/>
      <c r="Z1447" s="25"/>
      <c r="AA1447" s="25"/>
      <c r="AB1447" s="25"/>
      <c r="AC1447" s="25"/>
      <c r="AD1447" s="178"/>
    </row>
    <row r="1448" spans="18:30" x14ac:dyDescent="0.25">
      <c r="R1448" s="25"/>
      <c r="S1448" s="25"/>
      <c r="T1448" s="25"/>
      <c r="U1448" s="25"/>
      <c r="V1448" s="25"/>
      <c r="W1448" s="25"/>
      <c r="X1448" s="25"/>
      <c r="Y1448" s="25"/>
      <c r="Z1448" s="25"/>
      <c r="AA1448" s="25"/>
      <c r="AB1448" s="25"/>
      <c r="AC1448" s="25"/>
      <c r="AD1448" s="178"/>
    </row>
    <row r="1449" spans="18:30" x14ac:dyDescent="0.25">
      <c r="R1449" s="25"/>
      <c r="S1449" s="25"/>
      <c r="T1449" s="25"/>
      <c r="U1449" s="25"/>
      <c r="V1449" s="25"/>
      <c r="W1449" s="25"/>
      <c r="X1449" s="25"/>
      <c r="Y1449" s="25"/>
      <c r="Z1449" s="25"/>
      <c r="AA1449" s="25"/>
      <c r="AB1449" s="25"/>
      <c r="AC1449" s="25"/>
      <c r="AD1449" s="178"/>
    </row>
    <row r="1450" spans="18:30" x14ac:dyDescent="0.25">
      <c r="R1450" s="25"/>
      <c r="S1450" s="25"/>
      <c r="T1450" s="25"/>
      <c r="U1450" s="25"/>
      <c r="V1450" s="25"/>
      <c r="W1450" s="25"/>
      <c r="X1450" s="25"/>
      <c r="Y1450" s="25"/>
      <c r="Z1450" s="25"/>
      <c r="AA1450" s="25"/>
      <c r="AB1450" s="25"/>
      <c r="AC1450" s="25"/>
      <c r="AD1450" s="178"/>
    </row>
    <row r="1451" spans="18:30" x14ac:dyDescent="0.25">
      <c r="R1451" s="25"/>
      <c r="S1451" s="25"/>
      <c r="T1451" s="25"/>
      <c r="U1451" s="25"/>
      <c r="V1451" s="25"/>
      <c r="W1451" s="25"/>
      <c r="X1451" s="25"/>
      <c r="Y1451" s="25"/>
      <c r="Z1451" s="25"/>
      <c r="AA1451" s="25"/>
      <c r="AB1451" s="25"/>
      <c r="AC1451" s="25"/>
      <c r="AD1451" s="178"/>
    </row>
    <row r="1452" spans="18:30" x14ac:dyDescent="0.25">
      <c r="R1452" s="25"/>
      <c r="S1452" s="25"/>
      <c r="T1452" s="25"/>
      <c r="U1452" s="25"/>
      <c r="V1452" s="25"/>
      <c r="W1452" s="25"/>
      <c r="X1452" s="25"/>
      <c r="Y1452" s="25"/>
      <c r="Z1452" s="25"/>
      <c r="AA1452" s="25"/>
      <c r="AB1452" s="25"/>
      <c r="AC1452" s="25"/>
      <c r="AD1452" s="178"/>
    </row>
    <row r="1453" spans="18:30" x14ac:dyDescent="0.25">
      <c r="R1453" s="25"/>
      <c r="S1453" s="25"/>
      <c r="T1453" s="25"/>
      <c r="U1453" s="25"/>
      <c r="V1453" s="25"/>
      <c r="W1453" s="25"/>
      <c r="X1453" s="25"/>
      <c r="Y1453" s="25"/>
      <c r="Z1453" s="25"/>
      <c r="AA1453" s="25"/>
      <c r="AB1453" s="25"/>
      <c r="AC1453" s="25"/>
      <c r="AD1453" s="178"/>
    </row>
    <row r="1454" spans="18:30" x14ac:dyDescent="0.25">
      <c r="R1454" s="25"/>
      <c r="S1454" s="25"/>
      <c r="T1454" s="25"/>
      <c r="U1454" s="25"/>
      <c r="V1454" s="25"/>
      <c r="W1454" s="25"/>
      <c r="X1454" s="25"/>
      <c r="Y1454" s="25"/>
      <c r="Z1454" s="25"/>
      <c r="AA1454" s="25"/>
      <c r="AB1454" s="25"/>
      <c r="AC1454" s="25"/>
      <c r="AD1454" s="178"/>
    </row>
    <row r="1455" spans="18:30" x14ac:dyDescent="0.25">
      <c r="R1455" s="25"/>
      <c r="S1455" s="25"/>
      <c r="T1455" s="25"/>
      <c r="U1455" s="25"/>
      <c r="V1455" s="25"/>
      <c r="W1455" s="25"/>
      <c r="X1455" s="25"/>
      <c r="Y1455" s="25"/>
      <c r="Z1455" s="25"/>
      <c r="AA1455" s="25"/>
      <c r="AB1455" s="25"/>
      <c r="AC1455" s="25"/>
      <c r="AD1455" s="178"/>
    </row>
    <row r="1456" spans="18:30" x14ac:dyDescent="0.25">
      <c r="R1456" s="25"/>
      <c r="S1456" s="25"/>
      <c r="T1456" s="25"/>
      <c r="U1456" s="25"/>
      <c r="V1456" s="25"/>
      <c r="W1456" s="25"/>
      <c r="X1456" s="25"/>
      <c r="Y1456" s="25"/>
      <c r="Z1456" s="25"/>
      <c r="AA1456" s="25"/>
      <c r="AB1456" s="25"/>
      <c r="AC1456" s="25"/>
      <c r="AD1456" s="178"/>
    </row>
    <row r="1457" spans="18:30" x14ac:dyDescent="0.25">
      <c r="R1457" s="25"/>
      <c r="S1457" s="25"/>
      <c r="T1457" s="25"/>
      <c r="U1457" s="25"/>
      <c r="V1457" s="25"/>
      <c r="W1457" s="25"/>
      <c r="X1457" s="25"/>
      <c r="Y1457" s="25"/>
      <c r="Z1457" s="25"/>
      <c r="AA1457" s="25"/>
      <c r="AB1457" s="25"/>
      <c r="AC1457" s="25"/>
      <c r="AD1457" s="178"/>
    </row>
    <row r="1458" spans="18:30" x14ac:dyDescent="0.25">
      <c r="R1458" s="25"/>
      <c r="S1458" s="25"/>
      <c r="T1458" s="25"/>
      <c r="U1458" s="25"/>
      <c r="V1458" s="25"/>
      <c r="W1458" s="25"/>
      <c r="X1458" s="25"/>
      <c r="Y1458" s="25"/>
      <c r="Z1458" s="25"/>
      <c r="AA1458" s="25"/>
      <c r="AB1458" s="25"/>
      <c r="AC1458" s="25"/>
      <c r="AD1458" s="178"/>
    </row>
    <row r="1459" spans="18:30" x14ac:dyDescent="0.25">
      <c r="R1459" s="25"/>
      <c r="S1459" s="25"/>
      <c r="T1459" s="25"/>
      <c r="U1459" s="25"/>
      <c r="V1459" s="25"/>
      <c r="W1459" s="25"/>
      <c r="X1459" s="25"/>
      <c r="Y1459" s="25"/>
      <c r="Z1459" s="25"/>
      <c r="AA1459" s="25"/>
      <c r="AB1459" s="25"/>
      <c r="AC1459" s="25"/>
      <c r="AD1459" s="178"/>
    </row>
    <row r="1460" spans="18:30" x14ac:dyDescent="0.25">
      <c r="R1460" s="25"/>
      <c r="S1460" s="25"/>
      <c r="T1460" s="25"/>
      <c r="U1460" s="25"/>
      <c r="V1460" s="25"/>
      <c r="W1460" s="25"/>
      <c r="X1460" s="25"/>
      <c r="Y1460" s="25"/>
      <c r="Z1460" s="25"/>
      <c r="AA1460" s="25"/>
      <c r="AB1460" s="25"/>
      <c r="AC1460" s="25"/>
      <c r="AD1460" s="178"/>
    </row>
    <row r="1461" spans="18:30" x14ac:dyDescent="0.25">
      <c r="R1461" s="25"/>
      <c r="S1461" s="25"/>
      <c r="T1461" s="25"/>
      <c r="U1461" s="25"/>
      <c r="V1461" s="25"/>
      <c r="W1461" s="25"/>
      <c r="X1461" s="25"/>
      <c r="Y1461" s="25"/>
      <c r="Z1461" s="25"/>
      <c r="AA1461" s="25"/>
      <c r="AB1461" s="25"/>
      <c r="AC1461" s="25"/>
      <c r="AD1461" s="178"/>
    </row>
    <row r="1462" spans="18:30" x14ac:dyDescent="0.25">
      <c r="R1462" s="25"/>
      <c r="S1462" s="25"/>
      <c r="T1462" s="25"/>
      <c r="U1462" s="25"/>
      <c r="V1462" s="25"/>
      <c r="W1462" s="25"/>
      <c r="X1462" s="25"/>
      <c r="Y1462" s="25"/>
      <c r="Z1462" s="25"/>
      <c r="AA1462" s="25"/>
      <c r="AB1462" s="25"/>
      <c r="AC1462" s="25"/>
      <c r="AD1462" s="178"/>
    </row>
    <row r="1463" spans="18:30" x14ac:dyDescent="0.25">
      <c r="R1463" s="25"/>
      <c r="S1463" s="25"/>
      <c r="T1463" s="25"/>
      <c r="U1463" s="25"/>
      <c r="V1463" s="25"/>
      <c r="W1463" s="25"/>
      <c r="X1463" s="25"/>
      <c r="Y1463" s="25"/>
      <c r="Z1463" s="25"/>
      <c r="AA1463" s="25"/>
      <c r="AB1463" s="25"/>
      <c r="AC1463" s="25"/>
      <c r="AD1463" s="178"/>
    </row>
    <row r="1464" spans="18:30" x14ac:dyDescent="0.25">
      <c r="R1464" s="25"/>
      <c r="S1464" s="25"/>
      <c r="T1464" s="25"/>
      <c r="U1464" s="25"/>
      <c r="V1464" s="25"/>
      <c r="W1464" s="25"/>
      <c r="X1464" s="25"/>
      <c r="Y1464" s="25"/>
      <c r="Z1464" s="25"/>
      <c r="AA1464" s="25"/>
      <c r="AB1464" s="25"/>
      <c r="AC1464" s="25"/>
      <c r="AD1464" s="178"/>
    </row>
    <row r="1465" spans="18:30" x14ac:dyDescent="0.25">
      <c r="R1465" s="25"/>
      <c r="S1465" s="25"/>
      <c r="T1465" s="25"/>
      <c r="U1465" s="25"/>
      <c r="V1465" s="25"/>
      <c r="W1465" s="25"/>
      <c r="X1465" s="25"/>
      <c r="Y1465" s="25"/>
      <c r="Z1465" s="25"/>
      <c r="AA1465" s="25"/>
      <c r="AB1465" s="25"/>
      <c r="AC1465" s="25"/>
      <c r="AD1465" s="178"/>
    </row>
    <row r="1466" spans="18:30" x14ac:dyDescent="0.25">
      <c r="R1466" s="25"/>
      <c r="S1466" s="25"/>
      <c r="T1466" s="25"/>
      <c r="U1466" s="25"/>
      <c r="V1466" s="25"/>
      <c r="W1466" s="25"/>
      <c r="X1466" s="25"/>
      <c r="Y1466" s="25"/>
      <c r="Z1466" s="25"/>
      <c r="AA1466" s="25"/>
      <c r="AB1466" s="25"/>
      <c r="AC1466" s="25"/>
      <c r="AD1466" s="178"/>
    </row>
    <row r="1467" spans="18:30" x14ac:dyDescent="0.25">
      <c r="R1467" s="25"/>
      <c r="S1467" s="25"/>
      <c r="T1467" s="25"/>
      <c r="U1467" s="25"/>
      <c r="V1467" s="25"/>
      <c r="W1467" s="25"/>
      <c r="X1467" s="25"/>
      <c r="Y1467" s="25"/>
      <c r="Z1467" s="25"/>
      <c r="AA1467" s="25"/>
      <c r="AB1467" s="25"/>
      <c r="AC1467" s="25"/>
      <c r="AD1467" s="178"/>
    </row>
    <row r="1468" spans="18:30" x14ac:dyDescent="0.25">
      <c r="R1468" s="25"/>
      <c r="S1468" s="25"/>
      <c r="T1468" s="25"/>
      <c r="U1468" s="25"/>
      <c r="V1468" s="25"/>
      <c r="W1468" s="25"/>
      <c r="X1468" s="25"/>
      <c r="Y1468" s="25"/>
      <c r="Z1468" s="25"/>
      <c r="AA1468" s="25"/>
      <c r="AB1468" s="25"/>
      <c r="AC1468" s="25"/>
      <c r="AD1468" s="178"/>
    </row>
    <row r="1469" spans="18:30" x14ac:dyDescent="0.25">
      <c r="R1469" s="25"/>
      <c r="S1469" s="25"/>
      <c r="T1469" s="25"/>
      <c r="U1469" s="25"/>
      <c r="V1469" s="25"/>
      <c r="W1469" s="25"/>
      <c r="X1469" s="25"/>
      <c r="Y1469" s="25"/>
      <c r="Z1469" s="25"/>
      <c r="AA1469" s="25"/>
      <c r="AB1469" s="25"/>
      <c r="AC1469" s="25"/>
      <c r="AD1469" s="178"/>
    </row>
    <row r="1470" spans="18:30" x14ac:dyDescent="0.25">
      <c r="R1470" s="25"/>
      <c r="S1470" s="25"/>
      <c r="T1470" s="25"/>
      <c r="U1470" s="25"/>
      <c r="V1470" s="25"/>
      <c r="W1470" s="25"/>
      <c r="X1470" s="25"/>
      <c r="Y1470" s="25"/>
      <c r="Z1470" s="25"/>
      <c r="AA1470" s="25"/>
      <c r="AB1470" s="25"/>
      <c r="AC1470" s="25"/>
      <c r="AD1470" s="178"/>
    </row>
    <row r="1471" spans="18:30" x14ac:dyDescent="0.25">
      <c r="R1471" s="25"/>
      <c r="S1471" s="25"/>
      <c r="T1471" s="25"/>
      <c r="U1471" s="25"/>
      <c r="V1471" s="25"/>
      <c r="W1471" s="25"/>
      <c r="X1471" s="25"/>
      <c r="Y1471" s="25"/>
      <c r="Z1471" s="25"/>
      <c r="AA1471" s="25"/>
      <c r="AB1471" s="25"/>
      <c r="AC1471" s="25"/>
      <c r="AD1471" s="178"/>
    </row>
    <row r="1472" spans="18:30" x14ac:dyDescent="0.25">
      <c r="R1472" s="25"/>
      <c r="S1472" s="25"/>
      <c r="T1472" s="25"/>
      <c r="U1472" s="25"/>
      <c r="V1472" s="25"/>
      <c r="W1472" s="25"/>
      <c r="X1472" s="25"/>
      <c r="Y1472" s="25"/>
      <c r="Z1472" s="25"/>
      <c r="AA1472" s="25"/>
      <c r="AB1472" s="25"/>
      <c r="AC1472" s="25"/>
      <c r="AD1472" s="178"/>
    </row>
    <row r="1473" spans="18:30" x14ac:dyDescent="0.25">
      <c r="R1473" s="25"/>
      <c r="S1473" s="25"/>
      <c r="T1473" s="25"/>
      <c r="U1473" s="25"/>
      <c r="V1473" s="25"/>
      <c r="W1473" s="25"/>
      <c r="X1473" s="25"/>
      <c r="Y1473" s="25"/>
      <c r="Z1473" s="25"/>
      <c r="AA1473" s="25"/>
      <c r="AB1473" s="25"/>
      <c r="AC1473" s="25"/>
      <c r="AD1473" s="178"/>
    </row>
    <row r="1474" spans="18:30" x14ac:dyDescent="0.25">
      <c r="R1474" s="25"/>
      <c r="S1474" s="25"/>
      <c r="T1474" s="25"/>
      <c r="U1474" s="25"/>
      <c r="V1474" s="25"/>
      <c r="W1474" s="25"/>
      <c r="X1474" s="25"/>
      <c r="Y1474" s="25"/>
      <c r="Z1474" s="25"/>
      <c r="AA1474" s="25"/>
      <c r="AB1474" s="25"/>
      <c r="AC1474" s="25"/>
      <c r="AD1474" s="178"/>
    </row>
    <row r="1475" spans="18:30" x14ac:dyDescent="0.25">
      <c r="R1475" s="25"/>
      <c r="S1475" s="25"/>
      <c r="T1475" s="25"/>
      <c r="U1475" s="25"/>
      <c r="V1475" s="25"/>
      <c r="W1475" s="25"/>
      <c r="X1475" s="25"/>
      <c r="Y1475" s="25"/>
      <c r="Z1475" s="25"/>
      <c r="AA1475" s="25"/>
      <c r="AB1475" s="25"/>
      <c r="AC1475" s="25"/>
      <c r="AD1475" s="178"/>
    </row>
    <row r="1476" spans="18:30" x14ac:dyDescent="0.25">
      <c r="R1476" s="25"/>
      <c r="S1476" s="25"/>
      <c r="T1476" s="25"/>
      <c r="U1476" s="25"/>
      <c r="V1476" s="25"/>
      <c r="W1476" s="25"/>
      <c r="X1476" s="25"/>
      <c r="Y1476" s="25"/>
      <c r="Z1476" s="25"/>
      <c r="AA1476" s="25"/>
      <c r="AB1476" s="25"/>
      <c r="AC1476" s="25"/>
      <c r="AD1476" s="178"/>
    </row>
    <row r="1477" spans="18:30" x14ac:dyDescent="0.25">
      <c r="R1477" s="25"/>
      <c r="S1477" s="25"/>
      <c r="T1477" s="25"/>
      <c r="U1477" s="25"/>
      <c r="V1477" s="25"/>
      <c r="W1477" s="25"/>
      <c r="X1477" s="25"/>
      <c r="Y1477" s="25"/>
      <c r="Z1477" s="25"/>
      <c r="AA1477" s="25"/>
      <c r="AB1477" s="25"/>
      <c r="AC1477" s="25"/>
      <c r="AD1477" s="178"/>
    </row>
    <row r="1478" spans="18:30" x14ac:dyDescent="0.25">
      <c r="R1478" s="25"/>
      <c r="S1478" s="25"/>
      <c r="T1478" s="25"/>
      <c r="U1478" s="25"/>
      <c r="V1478" s="25"/>
      <c r="W1478" s="25"/>
      <c r="X1478" s="25"/>
      <c r="Y1478" s="25"/>
      <c r="Z1478" s="25"/>
      <c r="AA1478" s="25"/>
      <c r="AB1478" s="25"/>
      <c r="AC1478" s="25"/>
      <c r="AD1478" s="178"/>
    </row>
    <row r="1479" spans="18:30" x14ac:dyDescent="0.25">
      <c r="R1479" s="25"/>
      <c r="S1479" s="25"/>
      <c r="T1479" s="25"/>
      <c r="U1479" s="25"/>
      <c r="V1479" s="25"/>
      <c r="W1479" s="25"/>
      <c r="X1479" s="25"/>
      <c r="Y1479" s="25"/>
      <c r="Z1479" s="25"/>
      <c r="AA1479" s="25"/>
      <c r="AB1479" s="25"/>
      <c r="AC1479" s="25"/>
      <c r="AD1479" s="178"/>
    </row>
    <row r="1480" spans="18:30" x14ac:dyDescent="0.25">
      <c r="R1480" s="25"/>
      <c r="S1480" s="25"/>
      <c r="T1480" s="25"/>
      <c r="U1480" s="25"/>
      <c r="V1480" s="25"/>
      <c r="W1480" s="25"/>
      <c r="X1480" s="25"/>
      <c r="Y1480" s="25"/>
      <c r="Z1480" s="25"/>
      <c r="AA1480" s="25"/>
      <c r="AB1480" s="25"/>
      <c r="AC1480" s="25"/>
      <c r="AD1480" s="178"/>
    </row>
    <row r="1481" spans="18:30" x14ac:dyDescent="0.25">
      <c r="R1481" s="25"/>
      <c r="S1481" s="25"/>
      <c r="T1481" s="25"/>
      <c r="U1481" s="25"/>
      <c r="V1481" s="25"/>
      <c r="W1481" s="25"/>
      <c r="X1481" s="25"/>
      <c r="Y1481" s="25"/>
      <c r="Z1481" s="25"/>
      <c r="AA1481" s="25"/>
      <c r="AB1481" s="25"/>
      <c r="AC1481" s="25"/>
      <c r="AD1481" s="178"/>
    </row>
    <row r="1482" spans="18:30" x14ac:dyDescent="0.25">
      <c r="R1482" s="25"/>
      <c r="S1482" s="25"/>
      <c r="T1482" s="25"/>
      <c r="U1482" s="25"/>
      <c r="V1482" s="25"/>
      <c r="W1482" s="25"/>
      <c r="X1482" s="25"/>
      <c r="Y1482" s="25"/>
      <c r="Z1482" s="25"/>
      <c r="AA1482" s="25"/>
      <c r="AB1482" s="25"/>
      <c r="AC1482" s="25"/>
      <c r="AD1482" s="178"/>
    </row>
    <row r="1483" spans="18:30" x14ac:dyDescent="0.25">
      <c r="R1483" s="25"/>
      <c r="S1483" s="25"/>
      <c r="T1483" s="25"/>
      <c r="U1483" s="25"/>
      <c r="V1483" s="25"/>
      <c r="W1483" s="25"/>
      <c r="X1483" s="25"/>
      <c r="Y1483" s="25"/>
      <c r="Z1483" s="25"/>
      <c r="AA1483" s="25"/>
      <c r="AB1483" s="25"/>
      <c r="AC1483" s="25"/>
      <c r="AD1483" s="178"/>
    </row>
    <row r="1484" spans="18:30" x14ac:dyDescent="0.25">
      <c r="R1484" s="25"/>
      <c r="S1484" s="25"/>
      <c r="T1484" s="25"/>
      <c r="U1484" s="25"/>
      <c r="V1484" s="25"/>
      <c r="W1484" s="25"/>
      <c r="X1484" s="25"/>
      <c r="Y1484" s="25"/>
      <c r="Z1484" s="25"/>
      <c r="AA1484" s="25"/>
      <c r="AB1484" s="25"/>
      <c r="AC1484" s="25"/>
      <c r="AD1484" s="178"/>
    </row>
    <row r="1485" spans="18:30" x14ac:dyDescent="0.25">
      <c r="R1485" s="25"/>
      <c r="S1485" s="25"/>
      <c r="T1485" s="25"/>
      <c r="U1485" s="25"/>
      <c r="V1485" s="25"/>
      <c r="W1485" s="25"/>
      <c r="X1485" s="25"/>
      <c r="Y1485" s="25"/>
      <c r="Z1485" s="25"/>
      <c r="AA1485" s="25"/>
      <c r="AB1485" s="25"/>
      <c r="AC1485" s="25"/>
      <c r="AD1485" s="178"/>
    </row>
    <row r="1486" spans="18:30" x14ac:dyDescent="0.25">
      <c r="R1486" s="25"/>
      <c r="S1486" s="25"/>
      <c r="T1486" s="25"/>
      <c r="U1486" s="25"/>
      <c r="V1486" s="25"/>
      <c r="W1486" s="25"/>
      <c r="X1486" s="25"/>
      <c r="Y1486" s="25"/>
      <c r="Z1486" s="25"/>
      <c r="AA1486" s="25"/>
      <c r="AB1486" s="25"/>
      <c r="AC1486" s="25"/>
      <c r="AD1486" s="178"/>
    </row>
    <row r="1487" spans="18:30" x14ac:dyDescent="0.25">
      <c r="R1487" s="25"/>
      <c r="S1487" s="25"/>
      <c r="T1487" s="25"/>
      <c r="U1487" s="25"/>
      <c r="V1487" s="25"/>
      <c r="W1487" s="25"/>
      <c r="X1487" s="25"/>
      <c r="Y1487" s="25"/>
      <c r="Z1487" s="25"/>
      <c r="AA1487" s="25"/>
      <c r="AB1487" s="25"/>
      <c r="AC1487" s="25"/>
      <c r="AD1487" s="178"/>
    </row>
    <row r="1488" spans="18:30" x14ac:dyDescent="0.25">
      <c r="R1488" s="25"/>
      <c r="S1488" s="25"/>
      <c r="T1488" s="25"/>
      <c r="U1488" s="25"/>
      <c r="V1488" s="25"/>
      <c r="W1488" s="25"/>
      <c r="X1488" s="25"/>
      <c r="Y1488" s="25"/>
      <c r="Z1488" s="25"/>
      <c r="AA1488" s="25"/>
      <c r="AB1488" s="25"/>
      <c r="AC1488" s="25"/>
      <c r="AD1488" s="178"/>
    </row>
    <row r="1489" spans="18:30" x14ac:dyDescent="0.25">
      <c r="R1489" s="25"/>
      <c r="S1489" s="25"/>
      <c r="T1489" s="25"/>
      <c r="U1489" s="25"/>
      <c r="V1489" s="25"/>
      <c r="W1489" s="25"/>
      <c r="X1489" s="25"/>
      <c r="Y1489" s="25"/>
      <c r="Z1489" s="25"/>
      <c r="AA1489" s="25"/>
      <c r="AB1489" s="25"/>
      <c r="AC1489" s="25"/>
      <c r="AD1489" s="178"/>
    </row>
    <row r="1490" spans="18:30" x14ac:dyDescent="0.25">
      <c r="R1490" s="25"/>
      <c r="S1490" s="25"/>
      <c r="T1490" s="25"/>
      <c r="U1490" s="25"/>
      <c r="V1490" s="25"/>
      <c r="W1490" s="25"/>
      <c r="X1490" s="25"/>
      <c r="Y1490" s="25"/>
      <c r="Z1490" s="25"/>
      <c r="AA1490" s="25"/>
      <c r="AB1490" s="25"/>
      <c r="AC1490" s="25"/>
      <c r="AD1490" s="178"/>
    </row>
    <row r="1491" spans="18:30" x14ac:dyDescent="0.25">
      <c r="R1491" s="25"/>
      <c r="S1491" s="25"/>
      <c r="T1491" s="25"/>
      <c r="U1491" s="25"/>
      <c r="V1491" s="25"/>
      <c r="W1491" s="25"/>
      <c r="X1491" s="25"/>
      <c r="Y1491" s="25"/>
      <c r="Z1491" s="25"/>
      <c r="AA1491" s="25"/>
      <c r="AB1491" s="25"/>
      <c r="AC1491" s="25"/>
      <c r="AD1491" s="178"/>
    </row>
    <row r="1492" spans="18:30" x14ac:dyDescent="0.25">
      <c r="R1492" s="25"/>
      <c r="S1492" s="25"/>
      <c r="T1492" s="25"/>
      <c r="U1492" s="25"/>
      <c r="V1492" s="25"/>
      <c r="W1492" s="25"/>
      <c r="X1492" s="25"/>
      <c r="Y1492" s="25"/>
      <c r="Z1492" s="25"/>
      <c r="AA1492" s="25"/>
      <c r="AB1492" s="25"/>
      <c r="AC1492" s="25"/>
      <c r="AD1492" s="178"/>
    </row>
    <row r="1493" spans="18:30" x14ac:dyDescent="0.25">
      <c r="R1493" s="25"/>
      <c r="S1493" s="25"/>
      <c r="T1493" s="25"/>
      <c r="U1493" s="25"/>
      <c r="V1493" s="25"/>
      <c r="W1493" s="25"/>
      <c r="X1493" s="25"/>
      <c r="Y1493" s="25"/>
      <c r="Z1493" s="25"/>
      <c r="AA1493" s="25"/>
      <c r="AB1493" s="25"/>
      <c r="AC1493" s="25"/>
      <c r="AD1493" s="178"/>
    </row>
    <row r="1494" spans="18:30" x14ac:dyDescent="0.25">
      <c r="R1494" s="25"/>
      <c r="S1494" s="25"/>
      <c r="T1494" s="25"/>
      <c r="U1494" s="25"/>
      <c r="V1494" s="25"/>
      <c r="W1494" s="25"/>
      <c r="X1494" s="25"/>
      <c r="Y1494" s="25"/>
      <c r="Z1494" s="25"/>
      <c r="AA1494" s="25"/>
      <c r="AB1494" s="25"/>
      <c r="AC1494" s="25"/>
      <c r="AD1494" s="178"/>
    </row>
    <row r="1495" spans="18:30" x14ac:dyDescent="0.25">
      <c r="R1495" s="25"/>
      <c r="S1495" s="25"/>
      <c r="T1495" s="25"/>
      <c r="U1495" s="25"/>
      <c r="V1495" s="25"/>
      <c r="W1495" s="25"/>
      <c r="X1495" s="25"/>
      <c r="Y1495" s="25"/>
      <c r="Z1495" s="25"/>
      <c r="AA1495" s="25"/>
      <c r="AB1495" s="25"/>
      <c r="AC1495" s="25"/>
      <c r="AD1495" s="178"/>
    </row>
    <row r="1496" spans="18:30" x14ac:dyDescent="0.25">
      <c r="R1496" s="25"/>
      <c r="S1496" s="25"/>
      <c r="T1496" s="25"/>
      <c r="U1496" s="25"/>
      <c r="V1496" s="25"/>
      <c r="W1496" s="25"/>
      <c r="X1496" s="25"/>
      <c r="Y1496" s="25"/>
      <c r="Z1496" s="25"/>
      <c r="AA1496" s="25"/>
      <c r="AB1496" s="25"/>
      <c r="AC1496" s="25"/>
      <c r="AD1496" s="178"/>
    </row>
    <row r="1497" spans="18:30" x14ac:dyDescent="0.25">
      <c r="R1497" s="25"/>
      <c r="S1497" s="25"/>
      <c r="T1497" s="25"/>
      <c r="U1497" s="25"/>
      <c r="V1497" s="25"/>
      <c r="W1497" s="25"/>
      <c r="X1497" s="25"/>
      <c r="Y1497" s="25"/>
      <c r="Z1497" s="25"/>
      <c r="AA1497" s="25"/>
      <c r="AB1497" s="25"/>
      <c r="AC1497" s="25"/>
      <c r="AD1497" s="178"/>
    </row>
    <row r="1498" spans="18:30" x14ac:dyDescent="0.25">
      <c r="R1498" s="25"/>
      <c r="S1498" s="25"/>
      <c r="T1498" s="25"/>
      <c r="U1498" s="25"/>
      <c r="V1498" s="25"/>
      <c r="W1498" s="25"/>
      <c r="X1498" s="25"/>
      <c r="Y1498" s="25"/>
      <c r="Z1498" s="25"/>
      <c r="AA1498" s="25"/>
      <c r="AB1498" s="25"/>
      <c r="AC1498" s="25"/>
      <c r="AD1498" s="178"/>
    </row>
    <row r="1499" spans="18:30" x14ac:dyDescent="0.25">
      <c r="R1499" s="25"/>
      <c r="S1499" s="25"/>
      <c r="T1499" s="25"/>
      <c r="U1499" s="25"/>
      <c r="V1499" s="25"/>
      <c r="W1499" s="25"/>
      <c r="X1499" s="25"/>
      <c r="Y1499" s="25"/>
      <c r="Z1499" s="25"/>
      <c r="AA1499" s="25"/>
      <c r="AB1499" s="25"/>
      <c r="AC1499" s="25"/>
      <c r="AD1499" s="178"/>
    </row>
    <row r="1500" spans="18:30" x14ac:dyDescent="0.25">
      <c r="R1500" s="25"/>
      <c r="S1500" s="25"/>
      <c r="T1500" s="25"/>
      <c r="U1500" s="25"/>
      <c r="V1500" s="25"/>
      <c r="W1500" s="25"/>
      <c r="X1500" s="25"/>
      <c r="Y1500" s="25"/>
      <c r="Z1500" s="25"/>
      <c r="AA1500" s="25"/>
      <c r="AB1500" s="25"/>
      <c r="AC1500" s="25"/>
      <c r="AD1500" s="178"/>
    </row>
    <row r="1501" spans="18:30" x14ac:dyDescent="0.25">
      <c r="R1501" s="25"/>
      <c r="S1501" s="25"/>
      <c r="T1501" s="25"/>
      <c r="U1501" s="25"/>
      <c r="V1501" s="25"/>
      <c r="W1501" s="25"/>
      <c r="X1501" s="25"/>
      <c r="Y1501" s="25"/>
      <c r="Z1501" s="25"/>
      <c r="AA1501" s="25"/>
      <c r="AB1501" s="25"/>
      <c r="AC1501" s="25"/>
      <c r="AD1501" s="178"/>
    </row>
    <row r="1502" spans="18:30" x14ac:dyDescent="0.25">
      <c r="R1502" s="25"/>
      <c r="S1502" s="25"/>
      <c r="T1502" s="25"/>
      <c r="U1502" s="25"/>
      <c r="V1502" s="25"/>
      <c r="W1502" s="25"/>
      <c r="X1502" s="25"/>
      <c r="Y1502" s="25"/>
      <c r="Z1502" s="25"/>
      <c r="AA1502" s="25"/>
      <c r="AB1502" s="25"/>
      <c r="AC1502" s="25"/>
      <c r="AD1502" s="178"/>
    </row>
    <row r="1503" spans="18:30" x14ac:dyDescent="0.25">
      <c r="R1503" s="25"/>
      <c r="S1503" s="25"/>
      <c r="T1503" s="25"/>
      <c r="U1503" s="25"/>
      <c r="V1503" s="25"/>
      <c r="W1503" s="25"/>
      <c r="X1503" s="25"/>
      <c r="Y1503" s="25"/>
      <c r="Z1503" s="25"/>
      <c r="AA1503" s="25"/>
      <c r="AB1503" s="25"/>
      <c r="AC1503" s="25"/>
      <c r="AD1503" s="178"/>
    </row>
    <row r="1504" spans="18:30" x14ac:dyDescent="0.25">
      <c r="R1504" s="25"/>
      <c r="S1504" s="25"/>
      <c r="T1504" s="25"/>
      <c r="U1504" s="25"/>
      <c r="V1504" s="25"/>
      <c r="W1504" s="25"/>
      <c r="X1504" s="25"/>
      <c r="Y1504" s="25"/>
      <c r="Z1504" s="25"/>
      <c r="AA1504" s="25"/>
      <c r="AB1504" s="25"/>
      <c r="AC1504" s="25"/>
      <c r="AD1504" s="178"/>
    </row>
    <row r="1505" spans="18:30" x14ac:dyDescent="0.25">
      <c r="R1505" s="25"/>
      <c r="S1505" s="25"/>
      <c r="T1505" s="25"/>
      <c r="U1505" s="25"/>
      <c r="V1505" s="25"/>
      <c r="W1505" s="25"/>
      <c r="X1505" s="25"/>
      <c r="Y1505" s="25"/>
      <c r="Z1505" s="25"/>
      <c r="AA1505" s="25"/>
      <c r="AB1505" s="25"/>
      <c r="AC1505" s="25"/>
      <c r="AD1505" s="178"/>
    </row>
    <row r="1506" spans="18:30" x14ac:dyDescent="0.25">
      <c r="R1506" s="25"/>
      <c r="S1506" s="25"/>
      <c r="T1506" s="25"/>
      <c r="U1506" s="25"/>
      <c r="V1506" s="25"/>
      <c r="W1506" s="25"/>
      <c r="X1506" s="25"/>
      <c r="Y1506" s="25"/>
      <c r="Z1506" s="25"/>
      <c r="AA1506" s="25"/>
      <c r="AB1506" s="25"/>
      <c r="AC1506" s="25"/>
      <c r="AD1506" s="178"/>
    </row>
    <row r="1507" spans="18:30" x14ac:dyDescent="0.25">
      <c r="R1507" s="25"/>
      <c r="S1507" s="25"/>
      <c r="T1507" s="25"/>
      <c r="U1507" s="25"/>
      <c r="V1507" s="25"/>
      <c r="W1507" s="25"/>
      <c r="X1507" s="25"/>
      <c r="Y1507" s="25"/>
      <c r="Z1507" s="25"/>
      <c r="AA1507" s="25"/>
      <c r="AB1507" s="25"/>
      <c r="AC1507" s="25"/>
      <c r="AD1507" s="178"/>
    </row>
    <row r="1508" spans="18:30" x14ac:dyDescent="0.25">
      <c r="R1508" s="25"/>
      <c r="S1508" s="25"/>
      <c r="T1508" s="25"/>
      <c r="U1508" s="25"/>
      <c r="V1508" s="25"/>
      <c r="W1508" s="25"/>
      <c r="X1508" s="25"/>
      <c r="Y1508" s="25"/>
      <c r="Z1508" s="25"/>
      <c r="AA1508" s="25"/>
      <c r="AB1508" s="25"/>
      <c r="AC1508" s="25"/>
      <c r="AD1508" s="178"/>
    </row>
    <row r="1509" spans="18:30" x14ac:dyDescent="0.25">
      <c r="R1509" s="25"/>
      <c r="S1509" s="25"/>
      <c r="T1509" s="25"/>
      <c r="U1509" s="25"/>
      <c r="V1509" s="25"/>
      <c r="W1509" s="25"/>
      <c r="X1509" s="25"/>
      <c r="Y1509" s="25"/>
      <c r="Z1509" s="25"/>
      <c r="AA1509" s="25"/>
      <c r="AB1509" s="25"/>
      <c r="AC1509" s="25"/>
      <c r="AD1509" s="178"/>
    </row>
    <row r="1510" spans="18:30" x14ac:dyDescent="0.25">
      <c r="R1510" s="25"/>
      <c r="S1510" s="25"/>
      <c r="T1510" s="25"/>
      <c r="U1510" s="25"/>
      <c r="V1510" s="25"/>
      <c r="W1510" s="25"/>
      <c r="X1510" s="25"/>
      <c r="Y1510" s="25"/>
      <c r="Z1510" s="25"/>
      <c r="AA1510" s="25"/>
      <c r="AB1510" s="25"/>
      <c r="AC1510" s="25"/>
      <c r="AD1510" s="178"/>
    </row>
    <row r="1511" spans="18:30" x14ac:dyDescent="0.25">
      <c r="R1511" s="25"/>
      <c r="S1511" s="25"/>
      <c r="T1511" s="25"/>
      <c r="U1511" s="25"/>
      <c r="V1511" s="25"/>
      <c r="W1511" s="25"/>
      <c r="X1511" s="25"/>
      <c r="Y1511" s="25"/>
      <c r="Z1511" s="25"/>
      <c r="AA1511" s="25"/>
      <c r="AB1511" s="25"/>
      <c r="AC1511" s="25"/>
      <c r="AD1511" s="178"/>
    </row>
    <row r="1512" spans="18:30" x14ac:dyDescent="0.25">
      <c r="R1512" s="25"/>
      <c r="S1512" s="25"/>
      <c r="T1512" s="25"/>
      <c r="U1512" s="25"/>
      <c r="V1512" s="25"/>
      <c r="W1512" s="25"/>
      <c r="X1512" s="25"/>
      <c r="Y1512" s="25"/>
      <c r="Z1512" s="25"/>
      <c r="AA1512" s="25"/>
      <c r="AB1512" s="25"/>
      <c r="AC1512" s="25"/>
      <c r="AD1512" s="178"/>
    </row>
    <row r="1513" spans="18:30" x14ac:dyDescent="0.25">
      <c r="R1513" s="25"/>
      <c r="S1513" s="25"/>
      <c r="T1513" s="25"/>
      <c r="U1513" s="25"/>
      <c r="V1513" s="25"/>
      <c r="W1513" s="25"/>
      <c r="X1513" s="25"/>
      <c r="Y1513" s="25"/>
      <c r="Z1513" s="25"/>
      <c r="AA1513" s="25"/>
      <c r="AB1513" s="25"/>
      <c r="AC1513" s="25"/>
      <c r="AD1513" s="178"/>
    </row>
    <row r="1514" spans="18:30" x14ac:dyDescent="0.25">
      <c r="R1514" s="25"/>
      <c r="S1514" s="25"/>
      <c r="T1514" s="25"/>
      <c r="U1514" s="25"/>
      <c r="V1514" s="25"/>
      <c r="W1514" s="25"/>
      <c r="X1514" s="25"/>
      <c r="Y1514" s="25"/>
      <c r="Z1514" s="25"/>
      <c r="AA1514" s="25"/>
      <c r="AB1514" s="25"/>
      <c r="AC1514" s="25"/>
      <c r="AD1514" s="178"/>
    </row>
    <row r="1515" spans="18:30" x14ac:dyDescent="0.25">
      <c r="R1515" s="25"/>
      <c r="S1515" s="25"/>
      <c r="T1515" s="25"/>
      <c r="U1515" s="25"/>
      <c r="V1515" s="25"/>
      <c r="W1515" s="25"/>
      <c r="X1515" s="25"/>
      <c r="Y1515" s="25"/>
      <c r="Z1515" s="25"/>
      <c r="AA1515" s="25"/>
      <c r="AB1515" s="25"/>
      <c r="AC1515" s="25"/>
      <c r="AD1515" s="178"/>
    </row>
    <row r="1516" spans="18:30" x14ac:dyDescent="0.25">
      <c r="R1516" s="25"/>
      <c r="S1516" s="25"/>
      <c r="T1516" s="25"/>
      <c r="U1516" s="25"/>
      <c r="V1516" s="25"/>
      <c r="W1516" s="25"/>
      <c r="X1516" s="25"/>
      <c r="Y1516" s="25"/>
      <c r="Z1516" s="25"/>
      <c r="AA1516" s="25"/>
      <c r="AB1516" s="25"/>
      <c r="AC1516" s="25"/>
      <c r="AD1516" s="178"/>
    </row>
    <row r="1517" spans="18:30" x14ac:dyDescent="0.25">
      <c r="R1517" s="25"/>
      <c r="S1517" s="25"/>
      <c r="T1517" s="25"/>
      <c r="U1517" s="25"/>
      <c r="V1517" s="25"/>
      <c r="W1517" s="25"/>
      <c r="X1517" s="25"/>
      <c r="Y1517" s="25"/>
      <c r="Z1517" s="25"/>
      <c r="AA1517" s="25"/>
      <c r="AB1517" s="25"/>
      <c r="AC1517" s="25"/>
      <c r="AD1517" s="178"/>
    </row>
    <row r="1518" spans="18:30" x14ac:dyDescent="0.25">
      <c r="R1518" s="25"/>
      <c r="S1518" s="25"/>
      <c r="T1518" s="25"/>
      <c r="U1518" s="25"/>
      <c r="V1518" s="25"/>
      <c r="W1518" s="25"/>
      <c r="X1518" s="25"/>
      <c r="Y1518" s="25"/>
      <c r="Z1518" s="25"/>
      <c r="AA1518" s="25"/>
      <c r="AB1518" s="25"/>
      <c r="AC1518" s="25"/>
      <c r="AD1518" s="178"/>
    </row>
    <row r="1519" spans="18:30" x14ac:dyDescent="0.25">
      <c r="R1519" s="25"/>
      <c r="S1519" s="25"/>
      <c r="T1519" s="25"/>
      <c r="U1519" s="25"/>
      <c r="V1519" s="25"/>
      <c r="W1519" s="25"/>
      <c r="X1519" s="25"/>
      <c r="Y1519" s="25"/>
      <c r="Z1519" s="25"/>
      <c r="AA1519" s="25"/>
      <c r="AB1519" s="25"/>
      <c r="AC1519" s="25"/>
      <c r="AD1519" s="178"/>
    </row>
    <row r="1520" spans="18:30" x14ac:dyDescent="0.25">
      <c r="R1520" s="25"/>
      <c r="S1520" s="25"/>
      <c r="T1520" s="25"/>
      <c r="U1520" s="25"/>
      <c r="V1520" s="25"/>
      <c r="W1520" s="25"/>
      <c r="X1520" s="25"/>
      <c r="Y1520" s="25"/>
      <c r="Z1520" s="25"/>
      <c r="AA1520" s="25"/>
      <c r="AB1520" s="25"/>
      <c r="AC1520" s="25"/>
      <c r="AD1520" s="178"/>
    </row>
    <row r="1521" spans="18:30" x14ac:dyDescent="0.25">
      <c r="R1521" s="25"/>
      <c r="S1521" s="25"/>
      <c r="T1521" s="25"/>
      <c r="U1521" s="25"/>
      <c r="V1521" s="25"/>
      <c r="W1521" s="25"/>
      <c r="X1521" s="25"/>
      <c r="Y1521" s="25"/>
      <c r="Z1521" s="25"/>
      <c r="AA1521" s="25"/>
      <c r="AB1521" s="25"/>
      <c r="AC1521" s="25"/>
      <c r="AD1521" s="178"/>
    </row>
    <row r="1522" spans="18:30" x14ac:dyDescent="0.25">
      <c r="R1522" s="25"/>
      <c r="S1522" s="25"/>
      <c r="T1522" s="25"/>
      <c r="U1522" s="25"/>
      <c r="V1522" s="25"/>
      <c r="W1522" s="25"/>
      <c r="X1522" s="25"/>
      <c r="Y1522" s="25"/>
      <c r="Z1522" s="25"/>
      <c r="AA1522" s="25"/>
      <c r="AB1522" s="25"/>
      <c r="AC1522" s="25"/>
      <c r="AD1522" s="178"/>
    </row>
    <row r="1523" spans="18:30" x14ac:dyDescent="0.25">
      <c r="R1523" s="25"/>
      <c r="S1523" s="25"/>
      <c r="T1523" s="25"/>
      <c r="U1523" s="25"/>
      <c r="V1523" s="25"/>
      <c r="W1523" s="25"/>
      <c r="X1523" s="25"/>
      <c r="Y1523" s="25"/>
      <c r="Z1523" s="25"/>
      <c r="AA1523" s="25"/>
      <c r="AB1523" s="25"/>
      <c r="AC1523" s="25"/>
      <c r="AD1523" s="178"/>
    </row>
    <row r="1524" spans="18:30" x14ac:dyDescent="0.25">
      <c r="R1524" s="25"/>
      <c r="S1524" s="25"/>
      <c r="T1524" s="25"/>
      <c r="U1524" s="25"/>
      <c r="V1524" s="25"/>
      <c r="W1524" s="25"/>
      <c r="X1524" s="25"/>
      <c r="Y1524" s="25"/>
      <c r="Z1524" s="25"/>
      <c r="AA1524" s="25"/>
      <c r="AB1524" s="25"/>
      <c r="AC1524" s="25"/>
      <c r="AD1524" s="178"/>
    </row>
    <row r="1525" spans="18:30" x14ac:dyDescent="0.25">
      <c r="R1525" s="25"/>
      <c r="S1525" s="25"/>
      <c r="T1525" s="25"/>
      <c r="U1525" s="25"/>
      <c r="V1525" s="25"/>
      <c r="W1525" s="25"/>
      <c r="X1525" s="25"/>
      <c r="Y1525" s="25"/>
      <c r="Z1525" s="25"/>
      <c r="AA1525" s="25"/>
      <c r="AB1525" s="25"/>
      <c r="AC1525" s="25"/>
      <c r="AD1525" s="178"/>
    </row>
    <row r="1526" spans="18:30" x14ac:dyDescent="0.25">
      <c r="R1526" s="25"/>
      <c r="S1526" s="25"/>
      <c r="T1526" s="25"/>
      <c r="U1526" s="25"/>
      <c r="V1526" s="25"/>
      <c r="W1526" s="25"/>
      <c r="X1526" s="25"/>
      <c r="Y1526" s="25"/>
      <c r="Z1526" s="25"/>
      <c r="AA1526" s="25"/>
      <c r="AB1526" s="25"/>
      <c r="AC1526" s="25"/>
      <c r="AD1526" s="178"/>
    </row>
    <row r="1527" spans="18:30" x14ac:dyDescent="0.25">
      <c r="R1527" s="25"/>
      <c r="S1527" s="25"/>
      <c r="T1527" s="25"/>
      <c r="U1527" s="25"/>
      <c r="V1527" s="25"/>
      <c r="W1527" s="25"/>
      <c r="X1527" s="25"/>
      <c r="Y1527" s="25"/>
      <c r="Z1527" s="25"/>
      <c r="AA1527" s="25"/>
      <c r="AB1527" s="25"/>
      <c r="AC1527" s="25"/>
      <c r="AD1527" s="178"/>
    </row>
    <row r="1528" spans="18:30" x14ac:dyDescent="0.25">
      <c r="R1528" s="25"/>
      <c r="S1528" s="25"/>
      <c r="T1528" s="25"/>
      <c r="U1528" s="25"/>
      <c r="V1528" s="25"/>
      <c r="W1528" s="25"/>
      <c r="X1528" s="25"/>
      <c r="Y1528" s="25"/>
      <c r="Z1528" s="25"/>
      <c r="AA1528" s="25"/>
      <c r="AB1528" s="25"/>
      <c r="AC1528" s="25"/>
      <c r="AD1528" s="178"/>
    </row>
    <row r="1529" spans="18:30" x14ac:dyDescent="0.25">
      <c r="R1529" s="25"/>
      <c r="S1529" s="25"/>
      <c r="T1529" s="25"/>
      <c r="U1529" s="25"/>
      <c r="V1529" s="25"/>
      <c r="W1529" s="25"/>
      <c r="X1529" s="25"/>
      <c r="Y1529" s="25"/>
      <c r="Z1529" s="25"/>
      <c r="AA1529" s="25"/>
      <c r="AB1529" s="25"/>
      <c r="AC1529" s="25"/>
      <c r="AD1529" s="178"/>
    </row>
    <row r="1530" spans="18:30" x14ac:dyDescent="0.25">
      <c r="R1530" s="25"/>
      <c r="S1530" s="25"/>
      <c r="T1530" s="25"/>
      <c r="U1530" s="25"/>
      <c r="V1530" s="25"/>
      <c r="W1530" s="25"/>
      <c r="X1530" s="25"/>
      <c r="Y1530" s="25"/>
      <c r="Z1530" s="25"/>
      <c r="AA1530" s="25"/>
      <c r="AB1530" s="25"/>
      <c r="AC1530" s="25"/>
      <c r="AD1530" s="178"/>
    </row>
    <row r="1531" spans="18:30" x14ac:dyDescent="0.25">
      <c r="R1531" s="25"/>
      <c r="S1531" s="25"/>
      <c r="T1531" s="25"/>
      <c r="U1531" s="25"/>
      <c r="V1531" s="25"/>
      <c r="W1531" s="25"/>
      <c r="X1531" s="25"/>
      <c r="Y1531" s="25"/>
      <c r="Z1531" s="25"/>
      <c r="AA1531" s="25"/>
      <c r="AB1531" s="25"/>
      <c r="AC1531" s="25"/>
      <c r="AD1531" s="178"/>
    </row>
    <row r="1532" spans="18:30" x14ac:dyDescent="0.25">
      <c r="R1532" s="25"/>
      <c r="S1532" s="25"/>
      <c r="T1532" s="25"/>
      <c r="U1532" s="25"/>
      <c r="V1532" s="25"/>
      <c r="W1532" s="25"/>
      <c r="X1532" s="25"/>
      <c r="Y1532" s="25"/>
      <c r="Z1532" s="25"/>
      <c r="AA1532" s="25"/>
      <c r="AB1532" s="25"/>
      <c r="AC1532" s="25"/>
      <c r="AD1532" s="178"/>
    </row>
    <row r="1533" spans="18:30" x14ac:dyDescent="0.25">
      <c r="R1533" s="25"/>
      <c r="S1533" s="25"/>
      <c r="T1533" s="25"/>
      <c r="U1533" s="25"/>
      <c r="V1533" s="25"/>
      <c r="W1533" s="25"/>
      <c r="X1533" s="25"/>
      <c r="Y1533" s="25"/>
      <c r="Z1533" s="25"/>
      <c r="AA1533" s="25"/>
      <c r="AB1533" s="25"/>
      <c r="AC1533" s="25"/>
      <c r="AD1533" s="178"/>
    </row>
    <row r="1534" spans="18:30" x14ac:dyDescent="0.25">
      <c r="R1534" s="25"/>
      <c r="S1534" s="25"/>
      <c r="T1534" s="25"/>
      <c r="U1534" s="25"/>
      <c r="V1534" s="25"/>
      <c r="W1534" s="25"/>
      <c r="X1534" s="25"/>
      <c r="Y1534" s="25"/>
      <c r="Z1534" s="25"/>
      <c r="AA1534" s="25"/>
      <c r="AB1534" s="25"/>
      <c r="AC1534" s="25"/>
      <c r="AD1534" s="178"/>
    </row>
    <row r="1535" spans="18:30" x14ac:dyDescent="0.25">
      <c r="R1535" s="25"/>
      <c r="S1535" s="25"/>
      <c r="T1535" s="25"/>
      <c r="U1535" s="25"/>
      <c r="V1535" s="25"/>
      <c r="W1535" s="25"/>
      <c r="X1535" s="25"/>
      <c r="Y1535" s="25"/>
      <c r="Z1535" s="25"/>
      <c r="AA1535" s="25"/>
      <c r="AB1535" s="25"/>
      <c r="AC1535" s="25"/>
      <c r="AD1535" s="178"/>
    </row>
    <row r="1536" spans="18:30" x14ac:dyDescent="0.25">
      <c r="R1536" s="25"/>
      <c r="S1536" s="25"/>
      <c r="T1536" s="25"/>
      <c r="U1536" s="25"/>
      <c r="V1536" s="25"/>
      <c r="W1536" s="25"/>
      <c r="X1536" s="25"/>
      <c r="Y1536" s="25"/>
      <c r="Z1536" s="25"/>
      <c r="AA1536" s="25"/>
      <c r="AB1536" s="25"/>
      <c r="AC1536" s="25"/>
      <c r="AD1536" s="178"/>
    </row>
    <row r="1537" spans="18:30" x14ac:dyDescent="0.25">
      <c r="R1537" s="25"/>
      <c r="S1537" s="25"/>
      <c r="T1537" s="25"/>
      <c r="U1537" s="25"/>
      <c r="V1537" s="25"/>
      <c r="W1537" s="25"/>
      <c r="X1537" s="25"/>
      <c r="Y1537" s="25"/>
      <c r="Z1537" s="25"/>
      <c r="AA1537" s="25"/>
      <c r="AB1537" s="25"/>
      <c r="AC1537" s="25"/>
      <c r="AD1537" s="178"/>
    </row>
    <row r="1538" spans="18:30" x14ac:dyDescent="0.25">
      <c r="R1538" s="25"/>
      <c r="S1538" s="25"/>
      <c r="T1538" s="25"/>
      <c r="U1538" s="25"/>
      <c r="V1538" s="25"/>
      <c r="W1538" s="25"/>
      <c r="X1538" s="25"/>
      <c r="Y1538" s="25"/>
      <c r="Z1538" s="25"/>
      <c r="AA1538" s="25"/>
      <c r="AB1538" s="25"/>
      <c r="AC1538" s="25"/>
      <c r="AD1538" s="178"/>
    </row>
    <row r="1539" spans="18:30" x14ac:dyDescent="0.25">
      <c r="R1539" s="25"/>
      <c r="S1539" s="25"/>
      <c r="T1539" s="25"/>
      <c r="U1539" s="25"/>
      <c r="V1539" s="25"/>
      <c r="W1539" s="25"/>
      <c r="X1539" s="25"/>
      <c r="Y1539" s="25"/>
      <c r="Z1539" s="25"/>
      <c r="AA1539" s="25"/>
      <c r="AB1539" s="25"/>
      <c r="AC1539" s="25"/>
      <c r="AD1539" s="178"/>
    </row>
    <row r="1540" spans="18:30" x14ac:dyDescent="0.25">
      <c r="R1540" s="25"/>
      <c r="S1540" s="25"/>
      <c r="T1540" s="25"/>
      <c r="U1540" s="25"/>
      <c r="V1540" s="25"/>
      <c r="W1540" s="25"/>
      <c r="X1540" s="25"/>
      <c r="Y1540" s="25"/>
      <c r="Z1540" s="25"/>
      <c r="AA1540" s="25"/>
      <c r="AB1540" s="25"/>
      <c r="AC1540" s="25"/>
      <c r="AD1540" s="178"/>
    </row>
    <row r="1541" spans="18:30" x14ac:dyDescent="0.25">
      <c r="R1541" s="25"/>
      <c r="S1541" s="25"/>
      <c r="T1541" s="25"/>
      <c r="U1541" s="25"/>
      <c r="V1541" s="25"/>
      <c r="W1541" s="25"/>
      <c r="X1541" s="25"/>
      <c r="Y1541" s="25"/>
      <c r="Z1541" s="25"/>
      <c r="AA1541" s="25"/>
      <c r="AB1541" s="25"/>
      <c r="AC1541" s="25"/>
      <c r="AD1541" s="178"/>
    </row>
    <row r="1542" spans="18:30" x14ac:dyDescent="0.25">
      <c r="R1542" s="25"/>
      <c r="S1542" s="25"/>
      <c r="T1542" s="25"/>
      <c r="U1542" s="25"/>
      <c r="V1542" s="25"/>
      <c r="W1542" s="25"/>
      <c r="X1542" s="25"/>
      <c r="Y1542" s="25"/>
      <c r="Z1542" s="25"/>
      <c r="AA1542" s="25"/>
      <c r="AB1542" s="25"/>
      <c r="AC1542" s="25"/>
      <c r="AD1542" s="178"/>
    </row>
    <row r="1543" spans="18:30" x14ac:dyDescent="0.25">
      <c r="R1543" s="25"/>
      <c r="S1543" s="25"/>
      <c r="T1543" s="25"/>
      <c r="U1543" s="25"/>
      <c r="V1543" s="25"/>
      <c r="W1543" s="25"/>
      <c r="X1543" s="25"/>
      <c r="Y1543" s="25"/>
      <c r="Z1543" s="25"/>
      <c r="AA1543" s="25"/>
      <c r="AB1543" s="25"/>
      <c r="AC1543" s="25"/>
      <c r="AD1543" s="178"/>
    </row>
    <row r="1544" spans="18:30" x14ac:dyDescent="0.25">
      <c r="R1544" s="25"/>
      <c r="S1544" s="25"/>
      <c r="T1544" s="25"/>
      <c r="U1544" s="25"/>
      <c r="V1544" s="25"/>
      <c r="W1544" s="25"/>
      <c r="X1544" s="25"/>
      <c r="Y1544" s="25"/>
      <c r="Z1544" s="25"/>
      <c r="AA1544" s="25"/>
      <c r="AB1544" s="25"/>
      <c r="AC1544" s="25"/>
      <c r="AD1544" s="178"/>
    </row>
    <row r="1545" spans="18:30" x14ac:dyDescent="0.25">
      <c r="R1545" s="25"/>
      <c r="S1545" s="25"/>
      <c r="T1545" s="25"/>
      <c r="U1545" s="25"/>
      <c r="V1545" s="25"/>
      <c r="W1545" s="25"/>
      <c r="X1545" s="25"/>
      <c r="Y1545" s="25"/>
      <c r="Z1545" s="25"/>
      <c r="AA1545" s="25"/>
      <c r="AB1545" s="25"/>
      <c r="AC1545" s="25"/>
      <c r="AD1545" s="178"/>
    </row>
    <row r="1546" spans="18:30" x14ac:dyDescent="0.25">
      <c r="R1546" s="25"/>
      <c r="S1546" s="25"/>
      <c r="T1546" s="25"/>
      <c r="U1546" s="25"/>
      <c r="V1546" s="25"/>
      <c r="W1546" s="25"/>
      <c r="X1546" s="25"/>
      <c r="Y1546" s="25"/>
      <c r="Z1546" s="25"/>
      <c r="AA1546" s="25"/>
      <c r="AB1546" s="25"/>
      <c r="AC1546" s="25"/>
      <c r="AD1546" s="178"/>
    </row>
    <row r="1547" spans="18:30" x14ac:dyDescent="0.25">
      <c r="R1547" s="25"/>
      <c r="S1547" s="25"/>
      <c r="T1547" s="25"/>
      <c r="U1547" s="25"/>
      <c r="V1547" s="25"/>
      <c r="W1547" s="25"/>
      <c r="X1547" s="25"/>
      <c r="Y1547" s="25"/>
      <c r="Z1547" s="25"/>
      <c r="AA1547" s="25"/>
      <c r="AB1547" s="25"/>
      <c r="AC1547" s="25"/>
      <c r="AD1547" s="178"/>
    </row>
    <row r="1548" spans="18:30" x14ac:dyDescent="0.25">
      <c r="R1548" s="25"/>
      <c r="S1548" s="25"/>
      <c r="T1548" s="25"/>
      <c r="U1548" s="25"/>
      <c r="V1548" s="25"/>
      <c r="W1548" s="25"/>
      <c r="X1548" s="25"/>
      <c r="Y1548" s="25"/>
      <c r="Z1548" s="25"/>
      <c r="AA1548" s="25"/>
      <c r="AB1548" s="25"/>
      <c r="AC1548" s="25"/>
      <c r="AD1548" s="178"/>
    </row>
    <row r="1549" spans="18:30" x14ac:dyDescent="0.25">
      <c r="R1549" s="25"/>
      <c r="S1549" s="25"/>
      <c r="T1549" s="25"/>
      <c r="U1549" s="25"/>
      <c r="V1549" s="25"/>
      <c r="W1549" s="25"/>
      <c r="X1549" s="25"/>
      <c r="Y1549" s="25"/>
      <c r="Z1549" s="25"/>
      <c r="AA1549" s="25"/>
      <c r="AB1549" s="25"/>
      <c r="AC1549" s="25"/>
      <c r="AD1549" s="178"/>
    </row>
    <row r="1550" spans="18:30" x14ac:dyDescent="0.25">
      <c r="R1550" s="25"/>
      <c r="S1550" s="25"/>
      <c r="T1550" s="25"/>
      <c r="U1550" s="25"/>
      <c r="V1550" s="25"/>
      <c r="W1550" s="25"/>
      <c r="X1550" s="25"/>
      <c r="Y1550" s="25"/>
      <c r="Z1550" s="25"/>
      <c r="AA1550" s="25"/>
      <c r="AB1550" s="25"/>
      <c r="AC1550" s="25"/>
      <c r="AD1550" s="178"/>
    </row>
    <row r="1551" spans="18:30" x14ac:dyDescent="0.25">
      <c r="R1551" s="25"/>
      <c r="S1551" s="25"/>
      <c r="T1551" s="25"/>
      <c r="U1551" s="25"/>
      <c r="V1551" s="25"/>
      <c r="W1551" s="25"/>
      <c r="X1551" s="25"/>
      <c r="Y1551" s="25"/>
      <c r="Z1551" s="25"/>
      <c r="AA1551" s="25"/>
      <c r="AB1551" s="25"/>
      <c r="AC1551" s="25"/>
      <c r="AD1551" s="178"/>
    </row>
    <row r="1552" spans="18:30" x14ac:dyDescent="0.25">
      <c r="R1552" s="25"/>
      <c r="S1552" s="25"/>
      <c r="T1552" s="25"/>
      <c r="U1552" s="25"/>
      <c r="V1552" s="25"/>
      <c r="W1552" s="25"/>
      <c r="X1552" s="25"/>
      <c r="Y1552" s="25"/>
      <c r="Z1552" s="25"/>
      <c r="AA1552" s="25"/>
      <c r="AB1552" s="25"/>
      <c r="AC1552" s="25"/>
      <c r="AD1552" s="178"/>
    </row>
    <row r="1553" spans="18:30" x14ac:dyDescent="0.25">
      <c r="R1553" s="25"/>
      <c r="S1553" s="25"/>
      <c r="T1553" s="25"/>
      <c r="U1553" s="25"/>
      <c r="V1553" s="25"/>
      <c r="W1553" s="25"/>
      <c r="X1553" s="25"/>
      <c r="Y1553" s="25"/>
      <c r="Z1553" s="25"/>
      <c r="AA1553" s="25"/>
      <c r="AB1553" s="25"/>
      <c r="AC1553" s="25"/>
      <c r="AD1553" s="178"/>
    </row>
    <row r="1554" spans="18:30" x14ac:dyDescent="0.25">
      <c r="R1554" s="25"/>
      <c r="S1554" s="25"/>
      <c r="T1554" s="25"/>
      <c r="U1554" s="25"/>
      <c r="V1554" s="25"/>
      <c r="W1554" s="25"/>
      <c r="X1554" s="25"/>
      <c r="Y1554" s="25"/>
      <c r="Z1554" s="25"/>
      <c r="AA1554" s="25"/>
      <c r="AB1554" s="25"/>
      <c r="AC1554" s="25"/>
      <c r="AD1554" s="178"/>
    </row>
    <row r="1555" spans="18:30" x14ac:dyDescent="0.25">
      <c r="R1555" s="25"/>
      <c r="S1555" s="25"/>
      <c r="T1555" s="25"/>
      <c r="U1555" s="25"/>
      <c r="V1555" s="25"/>
      <c r="W1555" s="25"/>
      <c r="X1555" s="25"/>
      <c r="Y1555" s="25"/>
      <c r="Z1555" s="25"/>
      <c r="AA1555" s="25"/>
      <c r="AB1555" s="25"/>
      <c r="AC1555" s="25"/>
      <c r="AD1555" s="178"/>
    </row>
    <row r="1556" spans="18:30" x14ac:dyDescent="0.25">
      <c r="R1556" s="25"/>
      <c r="S1556" s="25"/>
      <c r="T1556" s="25"/>
      <c r="U1556" s="25"/>
      <c r="V1556" s="25"/>
      <c r="W1556" s="25"/>
      <c r="X1556" s="25"/>
      <c r="Y1556" s="25"/>
      <c r="Z1556" s="25"/>
      <c r="AA1556" s="25"/>
      <c r="AB1556" s="25"/>
      <c r="AC1556" s="25"/>
      <c r="AD1556" s="178"/>
    </row>
    <row r="1557" spans="18:30" x14ac:dyDescent="0.25">
      <c r="R1557" s="25"/>
      <c r="S1557" s="25"/>
      <c r="T1557" s="25"/>
      <c r="U1557" s="25"/>
      <c r="V1557" s="25"/>
      <c r="W1557" s="25"/>
      <c r="X1557" s="25"/>
      <c r="Y1557" s="25"/>
      <c r="Z1557" s="25"/>
      <c r="AA1557" s="25"/>
      <c r="AB1557" s="25"/>
      <c r="AC1557" s="25"/>
      <c r="AD1557" s="178"/>
    </row>
    <row r="1558" spans="18:30" x14ac:dyDescent="0.25">
      <c r="R1558" s="25"/>
      <c r="S1558" s="25"/>
      <c r="T1558" s="25"/>
      <c r="U1558" s="25"/>
      <c r="V1558" s="25"/>
      <c r="W1558" s="25"/>
      <c r="X1558" s="25"/>
      <c r="Y1558" s="25"/>
      <c r="Z1558" s="25"/>
      <c r="AA1558" s="25"/>
      <c r="AB1558" s="25"/>
      <c r="AC1558" s="25"/>
      <c r="AD1558" s="178"/>
    </row>
    <row r="1559" spans="18:30" x14ac:dyDescent="0.25">
      <c r="R1559" s="25"/>
      <c r="S1559" s="25"/>
      <c r="T1559" s="25"/>
      <c r="U1559" s="25"/>
      <c r="V1559" s="25"/>
      <c r="W1559" s="25"/>
      <c r="X1559" s="25"/>
      <c r="Y1559" s="25"/>
      <c r="Z1559" s="25"/>
      <c r="AA1559" s="25"/>
      <c r="AB1559" s="25"/>
      <c r="AC1559" s="25"/>
      <c r="AD1559" s="178"/>
    </row>
    <row r="1560" spans="18:30" x14ac:dyDescent="0.25">
      <c r="R1560" s="25"/>
      <c r="S1560" s="25"/>
      <c r="T1560" s="25"/>
      <c r="U1560" s="25"/>
      <c r="V1560" s="25"/>
      <c r="W1560" s="25"/>
      <c r="X1560" s="25"/>
      <c r="Y1560" s="25"/>
      <c r="Z1560" s="25"/>
      <c r="AA1560" s="25"/>
      <c r="AB1560" s="25"/>
      <c r="AC1560" s="25"/>
      <c r="AD1560" s="178"/>
    </row>
    <row r="1561" spans="18:30" x14ac:dyDescent="0.25">
      <c r="R1561" s="25"/>
      <c r="S1561" s="25"/>
      <c r="T1561" s="25"/>
      <c r="U1561" s="25"/>
      <c r="V1561" s="25"/>
      <c r="W1561" s="25"/>
      <c r="X1561" s="25"/>
      <c r="Y1561" s="25"/>
      <c r="Z1561" s="25"/>
      <c r="AA1561" s="25"/>
      <c r="AB1561" s="25"/>
      <c r="AC1561" s="25"/>
      <c r="AD1561" s="178"/>
    </row>
    <row r="1562" spans="18:30" x14ac:dyDescent="0.25">
      <c r="R1562" s="25"/>
      <c r="S1562" s="25"/>
      <c r="T1562" s="25"/>
      <c r="U1562" s="25"/>
      <c r="V1562" s="25"/>
      <c r="W1562" s="25"/>
      <c r="X1562" s="25"/>
      <c r="Y1562" s="25"/>
      <c r="Z1562" s="25"/>
      <c r="AA1562" s="25"/>
      <c r="AB1562" s="25"/>
      <c r="AC1562" s="25"/>
      <c r="AD1562" s="178"/>
    </row>
    <row r="1563" spans="18:30" x14ac:dyDescent="0.25">
      <c r="R1563" s="25"/>
      <c r="S1563" s="25"/>
      <c r="T1563" s="25"/>
      <c r="U1563" s="25"/>
      <c r="V1563" s="25"/>
      <c r="W1563" s="25"/>
      <c r="X1563" s="25"/>
      <c r="Y1563" s="25"/>
      <c r="Z1563" s="25"/>
      <c r="AA1563" s="25"/>
      <c r="AB1563" s="25"/>
      <c r="AC1563" s="25"/>
      <c r="AD1563" s="178"/>
    </row>
    <row r="1564" spans="18:30" x14ac:dyDescent="0.25">
      <c r="R1564" s="25"/>
      <c r="S1564" s="25"/>
      <c r="T1564" s="25"/>
      <c r="U1564" s="25"/>
      <c r="V1564" s="25"/>
      <c r="W1564" s="25"/>
      <c r="X1564" s="25"/>
      <c r="Y1564" s="25"/>
      <c r="Z1564" s="25"/>
      <c r="AA1564" s="25"/>
      <c r="AB1564" s="25"/>
      <c r="AC1564" s="25"/>
      <c r="AD1564" s="178"/>
    </row>
    <row r="1565" spans="18:30" x14ac:dyDescent="0.25">
      <c r="R1565" s="25"/>
      <c r="S1565" s="25"/>
      <c r="T1565" s="25"/>
      <c r="U1565" s="25"/>
      <c r="V1565" s="25"/>
      <c r="W1565" s="25"/>
      <c r="X1565" s="25"/>
      <c r="Y1565" s="25"/>
      <c r="Z1565" s="25"/>
      <c r="AA1565" s="25"/>
      <c r="AB1565" s="25"/>
      <c r="AC1565" s="25"/>
      <c r="AD1565" s="178"/>
    </row>
    <row r="1566" spans="18:30" x14ac:dyDescent="0.25">
      <c r="R1566" s="25"/>
      <c r="S1566" s="25"/>
      <c r="T1566" s="25"/>
      <c r="U1566" s="25"/>
      <c r="V1566" s="25"/>
      <c r="W1566" s="25"/>
      <c r="X1566" s="25"/>
      <c r="Y1566" s="25"/>
      <c r="Z1566" s="25"/>
      <c r="AA1566" s="25"/>
      <c r="AB1566" s="25"/>
      <c r="AC1566" s="25"/>
      <c r="AD1566" s="178"/>
    </row>
    <row r="1567" spans="18:30" x14ac:dyDescent="0.25">
      <c r="R1567" s="25"/>
      <c r="S1567" s="25"/>
      <c r="T1567" s="25"/>
      <c r="U1567" s="25"/>
      <c r="V1567" s="25"/>
      <c r="W1567" s="25"/>
      <c r="X1567" s="25"/>
      <c r="Y1567" s="25"/>
      <c r="Z1567" s="25"/>
      <c r="AA1567" s="25"/>
      <c r="AB1567" s="25"/>
      <c r="AC1567" s="25"/>
      <c r="AD1567" s="178"/>
    </row>
    <row r="1568" spans="18:30" x14ac:dyDescent="0.25">
      <c r="R1568" s="25"/>
      <c r="S1568" s="25"/>
      <c r="T1568" s="25"/>
      <c r="U1568" s="25"/>
      <c r="V1568" s="25"/>
      <c r="W1568" s="25"/>
      <c r="X1568" s="25"/>
      <c r="Y1568" s="25"/>
      <c r="Z1568" s="25"/>
      <c r="AA1568" s="25"/>
      <c r="AB1568" s="25"/>
      <c r="AC1568" s="25"/>
      <c r="AD1568" s="178"/>
    </row>
    <row r="1569" spans="18:30" x14ac:dyDescent="0.25">
      <c r="R1569" s="25"/>
      <c r="S1569" s="25"/>
      <c r="T1569" s="25"/>
      <c r="U1569" s="25"/>
      <c r="V1569" s="25"/>
      <c r="W1569" s="25"/>
      <c r="X1569" s="25"/>
      <c r="Y1569" s="25"/>
      <c r="Z1569" s="25"/>
      <c r="AA1569" s="25"/>
      <c r="AB1569" s="25"/>
      <c r="AC1569" s="25"/>
      <c r="AD1569" s="178"/>
    </row>
    <row r="1570" spans="18:30" x14ac:dyDescent="0.25">
      <c r="R1570" s="25"/>
      <c r="S1570" s="25"/>
      <c r="T1570" s="25"/>
      <c r="U1570" s="25"/>
      <c r="V1570" s="25"/>
      <c r="W1570" s="25"/>
      <c r="X1570" s="25"/>
      <c r="Y1570" s="25"/>
      <c r="Z1570" s="25"/>
      <c r="AA1570" s="25"/>
      <c r="AB1570" s="25"/>
      <c r="AC1570" s="25"/>
      <c r="AD1570" s="178"/>
    </row>
    <row r="1571" spans="18:30" x14ac:dyDescent="0.25">
      <c r="R1571" s="25"/>
      <c r="S1571" s="25"/>
      <c r="T1571" s="25"/>
      <c r="U1571" s="25"/>
      <c r="V1571" s="25"/>
      <c r="W1571" s="25"/>
      <c r="X1571" s="25"/>
      <c r="Y1571" s="25"/>
      <c r="Z1571" s="25"/>
      <c r="AA1571" s="25"/>
      <c r="AB1571" s="25"/>
      <c r="AC1571" s="25"/>
      <c r="AD1571" s="178"/>
    </row>
    <row r="1572" spans="18:30" x14ac:dyDescent="0.25">
      <c r="R1572" s="25"/>
      <c r="S1572" s="25"/>
      <c r="T1572" s="25"/>
      <c r="U1572" s="25"/>
      <c r="V1572" s="25"/>
      <c r="W1572" s="25"/>
      <c r="X1572" s="25"/>
      <c r="Y1572" s="25"/>
      <c r="Z1572" s="25"/>
      <c r="AA1572" s="25"/>
      <c r="AB1572" s="25"/>
      <c r="AC1572" s="25"/>
      <c r="AD1572" s="178"/>
    </row>
    <row r="1573" spans="18:30" x14ac:dyDescent="0.25">
      <c r="R1573" s="25"/>
      <c r="S1573" s="25"/>
      <c r="T1573" s="25"/>
      <c r="U1573" s="25"/>
      <c r="V1573" s="25"/>
      <c r="W1573" s="25"/>
      <c r="X1573" s="25"/>
      <c r="Y1573" s="25"/>
      <c r="Z1573" s="25"/>
      <c r="AA1573" s="25"/>
      <c r="AB1573" s="25"/>
      <c r="AC1573" s="25"/>
      <c r="AD1573" s="178"/>
    </row>
    <row r="1574" spans="18:30" x14ac:dyDescent="0.25">
      <c r="R1574" s="25"/>
      <c r="S1574" s="25"/>
      <c r="T1574" s="25"/>
      <c r="U1574" s="25"/>
      <c r="V1574" s="25"/>
      <c r="W1574" s="25"/>
      <c r="X1574" s="25"/>
      <c r="Y1574" s="25"/>
      <c r="Z1574" s="25"/>
      <c r="AA1574" s="25"/>
      <c r="AB1574" s="25"/>
      <c r="AC1574" s="25"/>
      <c r="AD1574" s="178"/>
    </row>
    <row r="1575" spans="18:30" x14ac:dyDescent="0.25">
      <c r="R1575" s="25"/>
      <c r="S1575" s="25"/>
      <c r="T1575" s="25"/>
      <c r="U1575" s="25"/>
      <c r="V1575" s="25"/>
      <c r="W1575" s="25"/>
      <c r="X1575" s="25"/>
      <c r="Y1575" s="25"/>
      <c r="Z1575" s="25"/>
      <c r="AA1575" s="25"/>
      <c r="AB1575" s="25"/>
      <c r="AC1575" s="25"/>
      <c r="AD1575" s="178"/>
    </row>
    <row r="1576" spans="18:30" x14ac:dyDescent="0.25">
      <c r="R1576" s="25"/>
      <c r="S1576" s="25"/>
      <c r="T1576" s="25"/>
      <c r="U1576" s="25"/>
      <c r="V1576" s="25"/>
      <c r="W1576" s="25"/>
      <c r="X1576" s="25"/>
      <c r="Y1576" s="25"/>
      <c r="Z1576" s="25"/>
      <c r="AA1576" s="25"/>
      <c r="AB1576" s="25"/>
      <c r="AC1576" s="25"/>
      <c r="AD1576" s="178"/>
    </row>
    <row r="1577" spans="18:30" x14ac:dyDescent="0.25">
      <c r="R1577" s="25"/>
      <c r="S1577" s="25"/>
      <c r="T1577" s="25"/>
      <c r="U1577" s="25"/>
      <c r="V1577" s="25"/>
      <c r="W1577" s="25"/>
      <c r="X1577" s="25"/>
      <c r="Y1577" s="25"/>
      <c r="Z1577" s="25"/>
      <c r="AA1577" s="25"/>
      <c r="AB1577" s="25"/>
      <c r="AC1577" s="25"/>
      <c r="AD1577" s="178"/>
    </row>
    <row r="1578" spans="18:30" x14ac:dyDescent="0.25">
      <c r="R1578" s="25"/>
      <c r="S1578" s="25"/>
      <c r="T1578" s="25"/>
      <c r="U1578" s="25"/>
      <c r="V1578" s="25"/>
      <c r="W1578" s="25"/>
      <c r="X1578" s="25"/>
      <c r="Y1578" s="25"/>
      <c r="Z1578" s="25"/>
      <c r="AA1578" s="25"/>
      <c r="AB1578" s="25"/>
      <c r="AC1578" s="25"/>
      <c r="AD1578" s="178"/>
    </row>
    <row r="1579" spans="18:30" x14ac:dyDescent="0.25">
      <c r="R1579" s="25"/>
      <c r="S1579" s="25"/>
      <c r="T1579" s="25"/>
      <c r="U1579" s="25"/>
      <c r="V1579" s="25"/>
      <c r="W1579" s="25"/>
      <c r="X1579" s="25"/>
      <c r="Y1579" s="25"/>
      <c r="Z1579" s="25"/>
      <c r="AA1579" s="25"/>
      <c r="AB1579" s="25"/>
      <c r="AC1579" s="25"/>
      <c r="AD1579" s="178"/>
    </row>
    <row r="1580" spans="18:30" x14ac:dyDescent="0.25">
      <c r="R1580" s="25"/>
      <c r="S1580" s="25"/>
      <c r="T1580" s="25"/>
      <c r="U1580" s="25"/>
      <c r="V1580" s="25"/>
      <c r="W1580" s="25"/>
      <c r="X1580" s="25"/>
      <c r="Y1580" s="25"/>
      <c r="Z1580" s="25"/>
      <c r="AA1580" s="25"/>
      <c r="AB1580" s="25"/>
      <c r="AC1580" s="25"/>
      <c r="AD1580" s="178"/>
    </row>
    <row r="1581" spans="18:30" x14ac:dyDescent="0.25">
      <c r="R1581" s="25"/>
      <c r="S1581" s="25"/>
      <c r="T1581" s="25"/>
      <c r="U1581" s="25"/>
      <c r="V1581" s="25"/>
      <c r="W1581" s="25"/>
      <c r="X1581" s="25"/>
      <c r="Y1581" s="25"/>
      <c r="Z1581" s="25"/>
      <c r="AA1581" s="25"/>
      <c r="AB1581" s="25"/>
      <c r="AC1581" s="25"/>
      <c r="AD1581" s="178"/>
    </row>
    <row r="1582" spans="18:30" x14ac:dyDescent="0.25">
      <c r="R1582" s="25"/>
      <c r="S1582" s="25"/>
      <c r="T1582" s="25"/>
      <c r="U1582" s="25"/>
      <c r="V1582" s="25"/>
      <c r="W1582" s="25"/>
      <c r="X1582" s="25"/>
      <c r="Y1582" s="25"/>
      <c r="Z1582" s="25"/>
      <c r="AA1582" s="25"/>
      <c r="AB1582" s="25"/>
      <c r="AC1582" s="25"/>
      <c r="AD1582" s="178"/>
    </row>
    <row r="1583" spans="18:30" x14ac:dyDescent="0.25">
      <c r="R1583" s="25"/>
      <c r="S1583" s="25"/>
      <c r="T1583" s="25"/>
      <c r="U1583" s="25"/>
      <c r="V1583" s="25"/>
      <c r="W1583" s="25"/>
      <c r="X1583" s="25"/>
      <c r="Y1583" s="25"/>
      <c r="Z1583" s="25"/>
      <c r="AA1583" s="25"/>
      <c r="AB1583" s="25"/>
      <c r="AC1583" s="25"/>
      <c r="AD1583" s="178"/>
    </row>
    <row r="1584" spans="18:30" x14ac:dyDescent="0.25">
      <c r="R1584" s="25"/>
      <c r="S1584" s="25"/>
      <c r="T1584" s="25"/>
      <c r="U1584" s="25"/>
      <c r="V1584" s="25"/>
      <c r="W1584" s="25"/>
      <c r="X1584" s="25"/>
      <c r="Y1584" s="25"/>
      <c r="Z1584" s="25"/>
      <c r="AA1584" s="25"/>
      <c r="AB1584" s="25"/>
      <c r="AC1584" s="25"/>
      <c r="AD1584" s="178"/>
    </row>
    <row r="1585" spans="18:30" x14ac:dyDescent="0.25">
      <c r="R1585" s="25"/>
      <c r="S1585" s="25"/>
      <c r="T1585" s="25"/>
      <c r="U1585" s="25"/>
      <c r="V1585" s="25"/>
      <c r="W1585" s="25"/>
      <c r="X1585" s="25"/>
      <c r="Y1585" s="25"/>
      <c r="Z1585" s="25"/>
      <c r="AA1585" s="25"/>
      <c r="AB1585" s="25"/>
      <c r="AC1585" s="25"/>
      <c r="AD1585" s="178"/>
    </row>
    <row r="1586" spans="18:30" x14ac:dyDescent="0.25">
      <c r="R1586" s="25"/>
      <c r="S1586" s="25"/>
      <c r="T1586" s="25"/>
      <c r="U1586" s="25"/>
      <c r="V1586" s="25"/>
      <c r="W1586" s="25"/>
      <c r="X1586" s="25"/>
      <c r="Y1586" s="25"/>
      <c r="Z1586" s="25"/>
      <c r="AA1586" s="25"/>
      <c r="AB1586" s="25"/>
      <c r="AC1586" s="25"/>
      <c r="AD1586" s="178"/>
    </row>
    <row r="1587" spans="18:30" x14ac:dyDescent="0.25">
      <c r="R1587" s="25"/>
      <c r="S1587" s="25"/>
      <c r="T1587" s="25"/>
      <c r="U1587" s="25"/>
      <c r="V1587" s="25"/>
      <c r="W1587" s="25"/>
      <c r="X1587" s="25"/>
      <c r="Y1587" s="25"/>
      <c r="Z1587" s="25"/>
      <c r="AA1587" s="25"/>
      <c r="AB1587" s="25"/>
      <c r="AC1587" s="25"/>
      <c r="AD1587" s="178"/>
    </row>
    <row r="1588" spans="18:30" x14ac:dyDescent="0.25">
      <c r="R1588" s="25"/>
      <c r="S1588" s="25"/>
      <c r="T1588" s="25"/>
      <c r="U1588" s="25"/>
      <c r="V1588" s="25"/>
      <c r="W1588" s="25"/>
      <c r="X1588" s="25"/>
      <c r="Y1588" s="25"/>
      <c r="Z1588" s="25"/>
      <c r="AA1588" s="25"/>
      <c r="AB1588" s="25"/>
      <c r="AC1588" s="25"/>
      <c r="AD1588" s="178"/>
    </row>
    <row r="1589" spans="18:30" x14ac:dyDescent="0.25">
      <c r="R1589" s="25"/>
      <c r="S1589" s="25"/>
      <c r="T1589" s="25"/>
      <c r="U1589" s="25"/>
      <c r="V1589" s="25"/>
      <c r="W1589" s="25"/>
      <c r="X1589" s="25"/>
      <c r="Y1589" s="25"/>
      <c r="Z1589" s="25"/>
      <c r="AA1589" s="25"/>
      <c r="AB1589" s="25"/>
      <c r="AC1589" s="25"/>
      <c r="AD1589" s="178"/>
    </row>
    <row r="1590" spans="18:30" x14ac:dyDescent="0.25">
      <c r="R1590" s="25"/>
      <c r="S1590" s="25"/>
      <c r="T1590" s="25"/>
      <c r="U1590" s="25"/>
      <c r="V1590" s="25"/>
      <c r="W1590" s="25"/>
      <c r="X1590" s="25"/>
      <c r="Y1590" s="25"/>
      <c r="Z1590" s="25"/>
      <c r="AA1590" s="25"/>
      <c r="AB1590" s="25"/>
      <c r="AC1590" s="25"/>
      <c r="AD1590" s="178"/>
    </row>
    <row r="1591" spans="18:30" x14ac:dyDescent="0.25">
      <c r="R1591" s="25"/>
      <c r="S1591" s="25"/>
      <c r="T1591" s="25"/>
      <c r="U1591" s="25"/>
      <c r="V1591" s="25"/>
      <c r="W1591" s="25"/>
      <c r="X1591" s="25"/>
      <c r="Y1591" s="25"/>
      <c r="Z1591" s="25"/>
      <c r="AA1591" s="25"/>
      <c r="AB1591" s="25"/>
      <c r="AC1591" s="25"/>
      <c r="AD1591" s="178"/>
    </row>
    <row r="1592" spans="18:30" x14ac:dyDescent="0.25">
      <c r="R1592" s="25"/>
      <c r="S1592" s="25"/>
      <c r="T1592" s="25"/>
      <c r="U1592" s="25"/>
      <c r="V1592" s="25"/>
      <c r="W1592" s="25"/>
      <c r="X1592" s="25"/>
      <c r="Y1592" s="25"/>
      <c r="Z1592" s="25"/>
      <c r="AA1592" s="25"/>
      <c r="AB1592" s="25"/>
      <c r="AC1592" s="25"/>
      <c r="AD1592" s="178"/>
    </row>
    <row r="1593" spans="18:30" x14ac:dyDescent="0.25">
      <c r="R1593" s="25"/>
      <c r="S1593" s="25"/>
      <c r="T1593" s="25"/>
      <c r="U1593" s="25"/>
      <c r="V1593" s="25"/>
      <c r="W1593" s="25"/>
      <c r="X1593" s="25"/>
      <c r="Y1593" s="25"/>
      <c r="Z1593" s="25"/>
      <c r="AA1593" s="25"/>
      <c r="AB1593" s="25"/>
      <c r="AC1593" s="25"/>
      <c r="AD1593" s="178"/>
    </row>
    <row r="1594" spans="18:30" x14ac:dyDescent="0.25">
      <c r="R1594" s="25"/>
      <c r="S1594" s="25"/>
      <c r="T1594" s="25"/>
      <c r="U1594" s="25"/>
      <c r="V1594" s="25"/>
      <c r="W1594" s="25"/>
      <c r="X1594" s="25"/>
      <c r="Y1594" s="25"/>
      <c r="Z1594" s="25"/>
      <c r="AA1594" s="25"/>
      <c r="AB1594" s="25"/>
      <c r="AC1594" s="25"/>
      <c r="AD1594" s="178"/>
    </row>
    <row r="1595" spans="18:30" x14ac:dyDescent="0.25">
      <c r="R1595" s="25"/>
      <c r="S1595" s="25"/>
      <c r="T1595" s="25"/>
      <c r="U1595" s="25"/>
      <c r="V1595" s="25"/>
      <c r="W1595" s="25"/>
      <c r="X1595" s="25"/>
      <c r="Y1595" s="25"/>
      <c r="Z1595" s="25"/>
      <c r="AA1595" s="25"/>
      <c r="AB1595" s="25"/>
      <c r="AC1595" s="25"/>
      <c r="AD1595" s="178"/>
    </row>
    <row r="1596" spans="18:30" x14ac:dyDescent="0.25">
      <c r="R1596" s="25"/>
      <c r="S1596" s="25"/>
      <c r="T1596" s="25"/>
      <c r="U1596" s="25"/>
      <c r="V1596" s="25"/>
      <c r="W1596" s="25"/>
      <c r="X1596" s="25"/>
      <c r="Y1596" s="25"/>
      <c r="Z1596" s="25"/>
      <c r="AA1596" s="25"/>
      <c r="AB1596" s="25"/>
      <c r="AC1596" s="25"/>
      <c r="AD1596" s="178"/>
    </row>
    <row r="1597" spans="18:30" x14ac:dyDescent="0.25">
      <c r="R1597" s="25"/>
      <c r="S1597" s="25"/>
      <c r="T1597" s="25"/>
      <c r="U1597" s="25"/>
      <c r="V1597" s="25"/>
      <c r="W1597" s="25"/>
      <c r="X1597" s="25"/>
      <c r="Y1597" s="25"/>
      <c r="Z1597" s="25"/>
      <c r="AA1597" s="25"/>
      <c r="AB1597" s="25"/>
      <c r="AC1597" s="25"/>
      <c r="AD1597" s="178"/>
    </row>
    <row r="1598" spans="18:30" x14ac:dyDescent="0.25">
      <c r="R1598" s="25"/>
      <c r="S1598" s="25"/>
      <c r="T1598" s="25"/>
      <c r="U1598" s="25"/>
      <c r="V1598" s="25"/>
      <c r="W1598" s="25"/>
      <c r="X1598" s="25"/>
      <c r="Y1598" s="25"/>
      <c r="Z1598" s="25"/>
      <c r="AA1598" s="25"/>
      <c r="AB1598" s="25"/>
      <c r="AC1598" s="25"/>
      <c r="AD1598" s="178"/>
    </row>
    <row r="1599" spans="18:30" x14ac:dyDescent="0.25">
      <c r="R1599" s="25"/>
      <c r="S1599" s="25"/>
      <c r="T1599" s="25"/>
      <c r="U1599" s="25"/>
      <c r="V1599" s="25"/>
      <c r="W1599" s="25"/>
      <c r="X1599" s="25"/>
      <c r="Y1599" s="25"/>
      <c r="Z1599" s="25"/>
      <c r="AA1599" s="25"/>
      <c r="AB1599" s="25"/>
      <c r="AC1599" s="25"/>
      <c r="AD1599" s="178"/>
    </row>
    <row r="1600" spans="18:30" x14ac:dyDescent="0.25">
      <c r="R1600" s="25"/>
      <c r="S1600" s="25"/>
      <c r="T1600" s="25"/>
      <c r="U1600" s="25"/>
      <c r="V1600" s="25"/>
      <c r="W1600" s="25"/>
      <c r="X1600" s="25"/>
      <c r="Y1600" s="25"/>
      <c r="Z1600" s="25"/>
      <c r="AA1600" s="25"/>
      <c r="AB1600" s="25"/>
      <c r="AC1600" s="25"/>
      <c r="AD1600" s="178"/>
    </row>
    <row r="1601" spans="18:30" x14ac:dyDescent="0.25">
      <c r="R1601" s="25"/>
      <c r="S1601" s="25"/>
      <c r="T1601" s="25"/>
      <c r="U1601" s="25"/>
      <c r="V1601" s="25"/>
      <c r="W1601" s="25"/>
      <c r="X1601" s="25"/>
      <c r="Y1601" s="25"/>
      <c r="Z1601" s="25"/>
      <c r="AA1601" s="25"/>
      <c r="AB1601" s="25"/>
      <c r="AC1601" s="25"/>
      <c r="AD1601" s="178"/>
    </row>
    <row r="1602" spans="18:30" x14ac:dyDescent="0.25">
      <c r="R1602" s="25"/>
      <c r="S1602" s="25"/>
      <c r="T1602" s="25"/>
      <c r="U1602" s="25"/>
      <c r="V1602" s="25"/>
      <c r="W1602" s="25"/>
      <c r="X1602" s="25"/>
      <c r="Y1602" s="25"/>
      <c r="Z1602" s="25"/>
      <c r="AA1602" s="25"/>
      <c r="AB1602" s="25"/>
      <c r="AC1602" s="25"/>
      <c r="AD1602" s="178"/>
    </row>
    <row r="1603" spans="18:30" x14ac:dyDescent="0.25">
      <c r="R1603" s="25"/>
      <c r="S1603" s="25"/>
      <c r="T1603" s="25"/>
      <c r="U1603" s="25"/>
      <c r="V1603" s="25"/>
      <c r="W1603" s="25"/>
      <c r="X1603" s="25"/>
      <c r="Y1603" s="25"/>
      <c r="Z1603" s="25"/>
      <c r="AA1603" s="25"/>
      <c r="AB1603" s="25"/>
      <c r="AC1603" s="25"/>
      <c r="AD1603" s="178"/>
    </row>
    <row r="1604" spans="18:30" x14ac:dyDescent="0.25">
      <c r="R1604" s="25"/>
      <c r="S1604" s="25"/>
      <c r="T1604" s="25"/>
      <c r="U1604" s="25"/>
      <c r="V1604" s="25"/>
      <c r="W1604" s="25"/>
      <c r="X1604" s="25"/>
      <c r="Y1604" s="25"/>
      <c r="Z1604" s="25"/>
      <c r="AA1604" s="25"/>
      <c r="AB1604" s="25"/>
      <c r="AC1604" s="25"/>
      <c r="AD1604" s="178"/>
    </row>
    <row r="1605" spans="18:30" x14ac:dyDescent="0.25">
      <c r="R1605" s="25"/>
      <c r="S1605" s="25"/>
      <c r="T1605" s="25"/>
      <c r="U1605" s="25"/>
      <c r="V1605" s="25"/>
      <c r="W1605" s="25"/>
      <c r="X1605" s="25"/>
      <c r="Y1605" s="25"/>
      <c r="Z1605" s="25"/>
      <c r="AA1605" s="25"/>
      <c r="AB1605" s="25"/>
      <c r="AC1605" s="25"/>
      <c r="AD1605" s="178"/>
    </row>
    <row r="1606" spans="18:30" x14ac:dyDescent="0.25">
      <c r="R1606" s="25"/>
      <c r="S1606" s="25"/>
      <c r="T1606" s="25"/>
      <c r="U1606" s="25"/>
      <c r="V1606" s="25"/>
      <c r="W1606" s="25"/>
      <c r="X1606" s="25"/>
      <c r="Y1606" s="25"/>
      <c r="Z1606" s="25"/>
      <c r="AA1606" s="25"/>
      <c r="AB1606" s="25"/>
      <c r="AC1606" s="25"/>
      <c r="AD1606" s="178"/>
    </row>
    <row r="1607" spans="18:30" x14ac:dyDescent="0.25">
      <c r="R1607" s="25"/>
      <c r="S1607" s="25"/>
      <c r="T1607" s="25"/>
      <c r="U1607" s="25"/>
      <c r="V1607" s="25"/>
      <c r="W1607" s="25"/>
      <c r="X1607" s="25"/>
      <c r="Y1607" s="25"/>
      <c r="Z1607" s="25"/>
      <c r="AA1607" s="25"/>
      <c r="AB1607" s="25"/>
      <c r="AC1607" s="25"/>
      <c r="AD1607" s="178"/>
    </row>
    <row r="1608" spans="18:30" x14ac:dyDescent="0.25">
      <c r="R1608" s="25"/>
      <c r="S1608" s="25"/>
      <c r="T1608" s="25"/>
      <c r="U1608" s="25"/>
      <c r="V1608" s="25"/>
      <c r="W1608" s="25"/>
      <c r="X1608" s="25"/>
      <c r="Y1608" s="25"/>
      <c r="Z1608" s="25"/>
      <c r="AA1608" s="25"/>
      <c r="AB1608" s="25"/>
      <c r="AC1608" s="25"/>
      <c r="AD1608" s="178"/>
    </row>
    <row r="1609" spans="18:30" x14ac:dyDescent="0.25">
      <c r="R1609" s="25"/>
      <c r="S1609" s="25"/>
      <c r="T1609" s="25"/>
      <c r="U1609" s="25"/>
      <c r="V1609" s="25"/>
      <c r="W1609" s="25"/>
      <c r="X1609" s="25"/>
      <c r="Y1609" s="25"/>
      <c r="Z1609" s="25"/>
      <c r="AA1609" s="25"/>
      <c r="AB1609" s="25"/>
      <c r="AC1609" s="25"/>
      <c r="AD1609" s="178"/>
    </row>
    <row r="1610" spans="18:30" x14ac:dyDescent="0.25">
      <c r="R1610" s="25"/>
      <c r="S1610" s="25"/>
      <c r="T1610" s="25"/>
      <c r="U1610" s="25"/>
      <c r="V1610" s="25"/>
      <c r="W1610" s="25"/>
      <c r="X1610" s="25"/>
      <c r="Y1610" s="25"/>
      <c r="Z1610" s="25"/>
      <c r="AA1610" s="25"/>
      <c r="AB1610" s="25"/>
      <c r="AC1610" s="25"/>
      <c r="AD1610" s="178"/>
    </row>
    <row r="1611" spans="18:30" x14ac:dyDescent="0.25">
      <c r="R1611" s="25"/>
      <c r="S1611" s="25"/>
      <c r="T1611" s="25"/>
      <c r="U1611" s="25"/>
      <c r="V1611" s="25"/>
      <c r="W1611" s="25"/>
      <c r="X1611" s="25"/>
      <c r="Y1611" s="25"/>
      <c r="Z1611" s="25"/>
      <c r="AA1611" s="25"/>
      <c r="AB1611" s="25"/>
      <c r="AC1611" s="25"/>
      <c r="AD1611" s="178"/>
    </row>
    <row r="1612" spans="18:30" x14ac:dyDescent="0.25">
      <c r="R1612" s="25"/>
      <c r="S1612" s="25"/>
      <c r="T1612" s="25"/>
      <c r="U1612" s="25"/>
      <c r="V1612" s="25"/>
      <c r="W1612" s="25"/>
      <c r="X1612" s="25"/>
      <c r="Y1612" s="25"/>
      <c r="Z1612" s="25"/>
      <c r="AA1612" s="25"/>
      <c r="AB1612" s="25"/>
      <c r="AC1612" s="25"/>
      <c r="AD1612" s="178"/>
    </row>
    <row r="1613" spans="18:30" x14ac:dyDescent="0.25">
      <c r="R1613" s="25"/>
      <c r="S1613" s="25"/>
      <c r="T1613" s="25"/>
      <c r="U1613" s="25"/>
      <c r="V1613" s="25"/>
      <c r="W1613" s="25"/>
      <c r="X1613" s="25"/>
      <c r="Y1613" s="25"/>
      <c r="Z1613" s="25"/>
      <c r="AA1613" s="25"/>
      <c r="AB1613" s="25"/>
      <c r="AC1613" s="25"/>
      <c r="AD1613" s="178"/>
    </row>
    <row r="1614" spans="18:30" x14ac:dyDescent="0.25">
      <c r="R1614" s="25"/>
      <c r="S1614" s="25"/>
      <c r="T1614" s="25"/>
      <c r="U1614" s="25"/>
      <c r="V1614" s="25"/>
      <c r="W1614" s="25"/>
      <c r="X1614" s="25"/>
      <c r="Y1614" s="25"/>
      <c r="Z1614" s="25"/>
      <c r="AA1614" s="25"/>
      <c r="AB1614" s="25"/>
      <c r="AC1614" s="25"/>
      <c r="AD1614" s="178"/>
    </row>
    <row r="1615" spans="18:30" x14ac:dyDescent="0.25">
      <c r="R1615" s="25"/>
      <c r="S1615" s="25"/>
      <c r="T1615" s="25"/>
      <c r="U1615" s="25"/>
      <c r="V1615" s="25"/>
      <c r="W1615" s="25"/>
      <c r="X1615" s="25"/>
      <c r="Y1615" s="25"/>
      <c r="Z1615" s="25"/>
      <c r="AA1615" s="25"/>
      <c r="AB1615" s="25"/>
      <c r="AC1615" s="25"/>
      <c r="AD1615" s="178"/>
    </row>
    <row r="1616" spans="18:30" x14ac:dyDescent="0.25">
      <c r="R1616" s="25"/>
      <c r="S1616" s="25"/>
      <c r="T1616" s="25"/>
      <c r="U1616" s="25"/>
      <c r="V1616" s="25"/>
      <c r="W1616" s="25"/>
      <c r="X1616" s="25"/>
      <c r="Y1616" s="25"/>
      <c r="Z1616" s="25"/>
      <c r="AA1616" s="25"/>
      <c r="AB1616" s="25"/>
      <c r="AC1616" s="25"/>
      <c r="AD1616" s="178"/>
    </row>
    <row r="1617" spans="18:30" x14ac:dyDescent="0.25">
      <c r="R1617" s="25"/>
      <c r="S1617" s="25"/>
      <c r="T1617" s="25"/>
      <c r="U1617" s="25"/>
      <c r="V1617" s="25"/>
      <c r="W1617" s="25"/>
      <c r="X1617" s="25"/>
      <c r="Y1617" s="25"/>
      <c r="Z1617" s="25"/>
      <c r="AA1617" s="25"/>
      <c r="AB1617" s="25"/>
      <c r="AC1617" s="25"/>
      <c r="AD1617" s="178"/>
    </row>
    <row r="1618" spans="18:30" x14ac:dyDescent="0.25">
      <c r="R1618" s="25"/>
      <c r="S1618" s="25"/>
      <c r="T1618" s="25"/>
      <c r="U1618" s="25"/>
      <c r="V1618" s="25"/>
      <c r="W1618" s="25"/>
      <c r="X1618" s="25"/>
      <c r="Y1618" s="25"/>
      <c r="Z1618" s="25"/>
      <c r="AA1618" s="25"/>
      <c r="AB1618" s="25"/>
      <c r="AC1618" s="25"/>
      <c r="AD1618" s="178"/>
    </row>
    <row r="1619" spans="18:30" x14ac:dyDescent="0.25">
      <c r="R1619" s="25"/>
      <c r="S1619" s="25"/>
      <c r="T1619" s="25"/>
      <c r="U1619" s="25"/>
      <c r="V1619" s="25"/>
      <c r="W1619" s="25"/>
      <c r="X1619" s="25"/>
      <c r="Y1619" s="25"/>
      <c r="Z1619" s="25"/>
      <c r="AA1619" s="25"/>
      <c r="AB1619" s="25"/>
      <c r="AC1619" s="25"/>
      <c r="AD1619" s="178"/>
    </row>
    <row r="1620" spans="18:30" x14ac:dyDescent="0.25">
      <c r="R1620" s="25"/>
      <c r="S1620" s="25"/>
      <c r="T1620" s="25"/>
      <c r="U1620" s="25"/>
      <c r="V1620" s="25"/>
      <c r="W1620" s="25"/>
      <c r="X1620" s="25"/>
      <c r="Y1620" s="25"/>
      <c r="Z1620" s="25"/>
      <c r="AA1620" s="25"/>
      <c r="AB1620" s="25"/>
      <c r="AC1620" s="25"/>
      <c r="AD1620" s="178"/>
    </row>
    <row r="1621" spans="18:30" x14ac:dyDescent="0.25">
      <c r="R1621" s="25"/>
      <c r="S1621" s="25"/>
      <c r="T1621" s="25"/>
      <c r="U1621" s="25"/>
      <c r="V1621" s="25"/>
      <c r="W1621" s="25"/>
      <c r="X1621" s="25"/>
      <c r="Y1621" s="25"/>
      <c r="Z1621" s="25"/>
      <c r="AA1621" s="25"/>
      <c r="AB1621" s="25"/>
      <c r="AC1621" s="25"/>
      <c r="AD1621" s="178"/>
    </row>
    <row r="1622" spans="18:30" x14ac:dyDescent="0.25">
      <c r="R1622" s="25"/>
      <c r="S1622" s="25"/>
      <c r="T1622" s="25"/>
      <c r="U1622" s="25"/>
      <c r="V1622" s="25"/>
      <c r="W1622" s="25"/>
      <c r="X1622" s="25"/>
      <c r="Y1622" s="25"/>
      <c r="Z1622" s="25"/>
      <c r="AA1622" s="25"/>
      <c r="AB1622" s="25"/>
      <c r="AC1622" s="25"/>
      <c r="AD1622" s="178"/>
    </row>
  </sheetData>
  <mergeCells count="183">
    <mergeCell ref="AJ46:AJ51"/>
    <mergeCell ref="AK46:AK51"/>
    <mergeCell ref="AL46:AL51"/>
    <mergeCell ref="AM46:AM51"/>
    <mergeCell ref="AN46:AN51"/>
    <mergeCell ref="A52:C54"/>
    <mergeCell ref="S52:S54"/>
    <mergeCell ref="AF52:AF54"/>
    <mergeCell ref="AG52:AY54"/>
    <mergeCell ref="AP46:AP51"/>
    <mergeCell ref="AQ46:AQ51"/>
    <mergeCell ref="AR46:AR51"/>
    <mergeCell ref="AS46:AS51"/>
    <mergeCell ref="AT46:AT51"/>
    <mergeCell ref="AU46:AU51"/>
    <mergeCell ref="C59:I59"/>
    <mergeCell ref="J59:P59"/>
    <mergeCell ref="C57:I57"/>
    <mergeCell ref="J57:P57"/>
    <mergeCell ref="C58:I58"/>
    <mergeCell ref="J58:P58"/>
    <mergeCell ref="AK40:AK45"/>
    <mergeCell ref="AL40:AL45"/>
    <mergeCell ref="AM40:AM45"/>
    <mergeCell ref="AN40:AN45"/>
    <mergeCell ref="AO40:AO45"/>
    <mergeCell ref="AY46:AY51"/>
    <mergeCell ref="AV46:AV51"/>
    <mergeCell ref="AW46:AW51"/>
    <mergeCell ref="AX46:AX51"/>
    <mergeCell ref="AY40:AY45"/>
    <mergeCell ref="A46:A51"/>
    <mergeCell ref="B46:B51"/>
    <mergeCell ref="C46:C51"/>
    <mergeCell ref="AG46:AG51"/>
    <mergeCell ref="AH46:AH51"/>
    <mergeCell ref="AI46:AI51"/>
    <mergeCell ref="AP40:AP45"/>
    <mergeCell ref="AQ40:AQ45"/>
    <mergeCell ref="AR40:AR45"/>
    <mergeCell ref="A34:A39"/>
    <mergeCell ref="B34:B39"/>
    <mergeCell ref="AV40:AV45"/>
    <mergeCell ref="AW40:AW45"/>
    <mergeCell ref="AX40:AX45"/>
    <mergeCell ref="AO46:AO51"/>
    <mergeCell ref="AS40:AS45"/>
    <mergeCell ref="AT40:AT45"/>
    <mergeCell ref="AU40:AU45"/>
    <mergeCell ref="AJ40:AJ45"/>
    <mergeCell ref="AJ34:AJ39"/>
    <mergeCell ref="AK34:AK39"/>
    <mergeCell ref="AL34:AL39"/>
    <mergeCell ref="AM34:AM39"/>
    <mergeCell ref="AN34:AN39"/>
    <mergeCell ref="AO34:AO39"/>
    <mergeCell ref="AX34:AX39"/>
    <mergeCell ref="AY34:AY39"/>
    <mergeCell ref="A40:A45"/>
    <mergeCell ref="B40:B45"/>
    <mergeCell ref="C40:C45"/>
    <mergeCell ref="AG40:AG45"/>
    <mergeCell ref="AH40:AH45"/>
    <mergeCell ref="AI40:AI45"/>
    <mergeCell ref="AP34:AP39"/>
    <mergeCell ref="AQ34:AQ39"/>
    <mergeCell ref="AJ28:AJ33"/>
    <mergeCell ref="AK28:AK33"/>
    <mergeCell ref="AL28:AL33"/>
    <mergeCell ref="AM28:AM33"/>
    <mergeCell ref="AV34:AV39"/>
    <mergeCell ref="AW34:AW39"/>
    <mergeCell ref="AR34:AR39"/>
    <mergeCell ref="AS34:AS39"/>
    <mergeCell ref="AT34:AT39"/>
    <mergeCell ref="AU34:AU39"/>
    <mergeCell ref="C34:C39"/>
    <mergeCell ref="AG34:AG39"/>
    <mergeCell ref="AH34:AH39"/>
    <mergeCell ref="AI34:AI39"/>
    <mergeCell ref="AT28:AT33"/>
    <mergeCell ref="AU28:AU33"/>
    <mergeCell ref="C28:C33"/>
    <mergeCell ref="AG28:AG33"/>
    <mergeCell ref="AH28:AH33"/>
    <mergeCell ref="AI28:AI33"/>
    <mergeCell ref="AX22:AX27"/>
    <mergeCell ref="AY22:AY27"/>
    <mergeCell ref="AR22:AR27"/>
    <mergeCell ref="AS22:AS27"/>
    <mergeCell ref="AT22:AT27"/>
    <mergeCell ref="AU22:AU27"/>
    <mergeCell ref="AV22:AV27"/>
    <mergeCell ref="AW22:AW27"/>
    <mergeCell ref="AY28:AY33"/>
    <mergeCell ref="AN28:AN33"/>
    <mergeCell ref="AO28:AO33"/>
    <mergeCell ref="AP28:AP33"/>
    <mergeCell ref="AQ28:AQ33"/>
    <mergeCell ref="AR28:AR33"/>
    <mergeCell ref="AS28:AS33"/>
    <mergeCell ref="AV28:AV33"/>
    <mergeCell ref="AW28:AW33"/>
    <mergeCell ref="AX28:AX33"/>
    <mergeCell ref="AL22:AL27"/>
    <mergeCell ref="AM22:AM27"/>
    <mergeCell ref="AN22:AN27"/>
    <mergeCell ref="AO22:AO27"/>
    <mergeCell ref="AP22:AP27"/>
    <mergeCell ref="AQ22:AQ27"/>
    <mergeCell ref="C22:C27"/>
    <mergeCell ref="AG22:AG27"/>
    <mergeCell ref="AH22:AH27"/>
    <mergeCell ref="AI22:AI27"/>
    <mergeCell ref="AJ22:AJ27"/>
    <mergeCell ref="AK22:AK27"/>
    <mergeCell ref="AV10:AV15"/>
    <mergeCell ref="AW10:AW15"/>
    <mergeCell ref="AL10:AL15"/>
    <mergeCell ref="AM10:AM15"/>
    <mergeCell ref="AN10:AN15"/>
    <mergeCell ref="AO10:AO15"/>
    <mergeCell ref="AP10:AP15"/>
    <mergeCell ref="AI16:AI21"/>
    <mergeCell ref="AJ16:AJ21"/>
    <mergeCell ref="AK16:AK21"/>
    <mergeCell ref="AR10:AR15"/>
    <mergeCell ref="AS10:AS15"/>
    <mergeCell ref="AT10:AT15"/>
    <mergeCell ref="AR16:AR21"/>
    <mergeCell ref="B22:B27"/>
    <mergeCell ref="A22:A27"/>
    <mergeCell ref="A28:A33"/>
    <mergeCell ref="B28:B33"/>
    <mergeCell ref="AY10:AY15"/>
    <mergeCell ref="A16:A21"/>
    <mergeCell ref="B16:B21"/>
    <mergeCell ref="C16:C21"/>
    <mergeCell ref="AG16:AG21"/>
    <mergeCell ref="AH16:AH21"/>
    <mergeCell ref="AJ10:AJ15"/>
    <mergeCell ref="AK10:AK15"/>
    <mergeCell ref="AX10:AX15"/>
    <mergeCell ref="AW16:AW21"/>
    <mergeCell ref="AL16:AL21"/>
    <mergeCell ref="AM16:AM21"/>
    <mergeCell ref="AN16:AN21"/>
    <mergeCell ref="AO16:AO21"/>
    <mergeCell ref="AP16:AP21"/>
    <mergeCell ref="AQ16:AQ21"/>
    <mergeCell ref="A10:A15"/>
    <mergeCell ref="B10:B15"/>
    <mergeCell ref="C10:C15"/>
    <mergeCell ref="AG10:AG15"/>
    <mergeCell ref="AH10:AH15"/>
    <mergeCell ref="AI10:AI15"/>
    <mergeCell ref="AO8:AX8"/>
    <mergeCell ref="AY8:AY9"/>
    <mergeCell ref="AQ10:AQ15"/>
    <mergeCell ref="AX16:AX21"/>
    <mergeCell ref="AY16:AY21"/>
    <mergeCell ref="AS16:AS21"/>
    <mergeCell ref="AT16:AT21"/>
    <mergeCell ref="AU16:AU21"/>
    <mergeCell ref="AV16:AV21"/>
    <mergeCell ref="AU10:AU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913E-DC3C-924D-952A-11CF697CA967}">
  <dimension ref="A1:AL1136"/>
  <sheetViews>
    <sheetView showGridLines="0" zoomScale="69" zoomScaleNormal="69" workbookViewId="0">
      <selection activeCell="H275" sqref="H275:H360"/>
    </sheetView>
  </sheetViews>
  <sheetFormatPr baseColWidth="10" defaultColWidth="10.7109375" defaultRowHeight="15" outlineLevelRow="2" x14ac:dyDescent="0.25"/>
  <cols>
    <col min="1" max="1" width="16.28515625" customWidth="1"/>
    <col min="2" max="2" width="36.7109375" customWidth="1"/>
    <col min="3" max="4" width="19.140625" customWidth="1"/>
    <col min="5" max="5" width="17.7109375" customWidth="1"/>
    <col min="6" max="6" width="20.28515625" customWidth="1"/>
    <col min="7" max="7" width="19.28515625" customWidth="1"/>
    <col min="8" max="8" width="36.5703125" customWidth="1"/>
    <col min="9" max="9" width="14.28515625" style="194" customWidth="1"/>
    <col min="10" max="10" width="14.28515625" customWidth="1"/>
    <col min="11" max="11" width="14.140625" customWidth="1"/>
    <col min="12" max="12" width="34.28515625" customWidth="1"/>
  </cols>
  <sheetData>
    <row r="1" spans="1:12" ht="39" customHeight="1" x14ac:dyDescent="0.25">
      <c r="A1" s="647"/>
      <c r="B1" s="647"/>
      <c r="C1" s="648" t="s">
        <v>38</v>
      </c>
      <c r="D1" s="648"/>
      <c r="E1" s="648"/>
      <c r="F1" s="648"/>
      <c r="G1" s="648"/>
      <c r="H1" s="648"/>
      <c r="I1" s="648"/>
      <c r="J1" s="648"/>
      <c r="K1" s="648"/>
      <c r="L1" s="648"/>
    </row>
    <row r="2" spans="1:12" ht="36" customHeight="1" x14ac:dyDescent="0.25">
      <c r="A2" s="647"/>
      <c r="B2" s="647"/>
      <c r="C2" s="649" t="s">
        <v>119</v>
      </c>
      <c r="D2" s="650"/>
      <c r="E2" s="650"/>
      <c r="F2" s="650"/>
      <c r="G2" s="650"/>
      <c r="H2" s="650"/>
      <c r="I2" s="650"/>
      <c r="J2" s="650"/>
      <c r="K2" s="650"/>
      <c r="L2" s="650"/>
    </row>
    <row r="3" spans="1:12" ht="36" customHeight="1" x14ac:dyDescent="0.4">
      <c r="A3" s="647"/>
      <c r="B3" s="647"/>
      <c r="C3" s="651" t="s">
        <v>39</v>
      </c>
      <c r="D3" s="651"/>
      <c r="E3" s="651"/>
      <c r="F3" s="651"/>
      <c r="G3" s="651"/>
      <c r="H3" s="652" t="s">
        <v>257</v>
      </c>
      <c r="I3" s="652"/>
      <c r="J3" s="652"/>
      <c r="K3" s="652"/>
      <c r="L3" s="652"/>
    </row>
    <row r="4" spans="1:12" ht="19.5" customHeight="1" x14ac:dyDescent="0.25">
      <c r="A4" s="653" t="s">
        <v>0</v>
      </c>
      <c r="B4" s="653"/>
      <c r="C4" s="654" t="s">
        <v>341</v>
      </c>
      <c r="D4" s="654"/>
      <c r="E4" s="654"/>
      <c r="F4" s="654"/>
      <c r="G4" s="654"/>
      <c r="H4" s="654"/>
      <c r="I4" s="654"/>
      <c r="J4" s="654"/>
      <c r="K4" s="654"/>
      <c r="L4" s="654"/>
    </row>
    <row r="5" spans="1:12" ht="40.5" customHeight="1" x14ac:dyDescent="0.25">
      <c r="A5" s="653" t="s">
        <v>2</v>
      </c>
      <c r="B5" s="653"/>
      <c r="C5" s="654" t="s">
        <v>342</v>
      </c>
      <c r="D5" s="654"/>
      <c r="E5" s="654"/>
      <c r="F5" s="654"/>
      <c r="G5" s="654"/>
      <c r="H5" s="654"/>
      <c r="I5" s="654"/>
      <c r="J5" s="654"/>
      <c r="K5" s="654"/>
      <c r="L5" s="654"/>
    </row>
    <row r="7" spans="1:12" s="3" customFormat="1" ht="27" customHeight="1" x14ac:dyDescent="0.25">
      <c r="A7" s="643" t="s">
        <v>120</v>
      </c>
      <c r="B7" s="643"/>
      <c r="C7" s="643"/>
      <c r="D7" s="643"/>
      <c r="E7" s="643"/>
      <c r="F7" s="643"/>
      <c r="G7" s="643"/>
      <c r="H7" s="643"/>
      <c r="I7" s="192"/>
    </row>
    <row r="8" spans="1:12" s="3" customFormat="1" ht="27" customHeight="1" x14ac:dyDescent="0.25">
      <c r="A8" s="150" t="s">
        <v>48</v>
      </c>
      <c r="B8" s="150" t="s">
        <v>343</v>
      </c>
      <c r="C8" s="39" t="s">
        <v>121</v>
      </c>
      <c r="D8" s="151" t="s">
        <v>122</v>
      </c>
      <c r="E8" s="151" t="s">
        <v>123</v>
      </c>
      <c r="F8" s="151" t="s">
        <v>124</v>
      </c>
      <c r="G8" s="151" t="s">
        <v>125</v>
      </c>
      <c r="H8" s="151" t="s">
        <v>126</v>
      </c>
      <c r="I8" s="192"/>
    </row>
    <row r="9" spans="1:12" s="154" customFormat="1" ht="49.9" hidden="1" customHeight="1" outlineLevel="1" x14ac:dyDescent="0.25">
      <c r="A9" s="635" t="s">
        <v>128</v>
      </c>
      <c r="B9" s="152" t="s">
        <v>344</v>
      </c>
      <c r="C9" s="152" t="s">
        <v>198</v>
      </c>
      <c r="D9" s="153">
        <v>450000000</v>
      </c>
      <c r="E9" s="153">
        <v>450000000</v>
      </c>
      <c r="F9" s="153">
        <v>0</v>
      </c>
      <c r="G9" s="153">
        <v>0</v>
      </c>
      <c r="H9" s="153">
        <v>0</v>
      </c>
      <c r="I9" s="193"/>
    </row>
    <row r="10" spans="1:12" s="154" customFormat="1" ht="49.9" hidden="1" customHeight="1" outlineLevel="1" x14ac:dyDescent="0.25">
      <c r="A10" s="640"/>
      <c r="B10" s="635" t="s">
        <v>345</v>
      </c>
      <c r="C10" s="152" t="s">
        <v>198</v>
      </c>
      <c r="D10" s="153">
        <v>550985000</v>
      </c>
      <c r="E10" s="153">
        <v>550985000</v>
      </c>
      <c r="F10" s="153">
        <v>0</v>
      </c>
      <c r="G10" s="153">
        <v>0</v>
      </c>
      <c r="H10" s="153">
        <v>0</v>
      </c>
      <c r="I10" s="193"/>
    </row>
    <row r="11" spans="1:12" s="154" customFormat="1" ht="49.9" hidden="1" customHeight="1" outlineLevel="1" x14ac:dyDescent="0.25">
      <c r="A11" s="640"/>
      <c r="B11" s="636"/>
      <c r="C11" s="152" t="s">
        <v>346</v>
      </c>
      <c r="D11" s="153">
        <v>62855322</v>
      </c>
      <c r="E11" s="153">
        <v>62855322</v>
      </c>
      <c r="F11" s="153">
        <v>0</v>
      </c>
      <c r="G11" s="153">
        <v>0</v>
      </c>
      <c r="H11" s="153">
        <v>0</v>
      </c>
      <c r="I11" s="193"/>
    </row>
    <row r="12" spans="1:12" s="154" customFormat="1" ht="49.9" hidden="1" customHeight="1" outlineLevel="1" x14ac:dyDescent="0.25">
      <c r="A12" s="640"/>
      <c r="B12" s="152" t="s">
        <v>347</v>
      </c>
      <c r="C12" s="152" t="s">
        <v>348</v>
      </c>
      <c r="D12" s="153">
        <v>658814131</v>
      </c>
      <c r="E12" s="153">
        <v>658814131</v>
      </c>
      <c r="F12" s="153">
        <v>0</v>
      </c>
      <c r="G12" s="153">
        <v>0</v>
      </c>
      <c r="H12" s="153">
        <v>0</v>
      </c>
      <c r="I12" s="193"/>
    </row>
    <row r="13" spans="1:12" s="154" customFormat="1" ht="49.9" hidden="1" customHeight="1" outlineLevel="1" x14ac:dyDescent="0.25">
      <c r="A13" s="640"/>
      <c r="B13" s="635" t="s">
        <v>349</v>
      </c>
      <c r="C13" s="152" t="s">
        <v>198</v>
      </c>
      <c r="D13" s="153">
        <v>601054131</v>
      </c>
      <c r="E13" s="153">
        <v>601054131</v>
      </c>
      <c r="F13" s="153">
        <v>0</v>
      </c>
      <c r="G13" s="153">
        <v>0</v>
      </c>
      <c r="H13" s="153">
        <v>0</v>
      </c>
      <c r="I13" s="193"/>
    </row>
    <row r="14" spans="1:12" s="154" customFormat="1" ht="49.9" hidden="1" customHeight="1" outlineLevel="1" x14ac:dyDescent="0.25">
      <c r="A14" s="640"/>
      <c r="B14" s="636"/>
      <c r="C14" s="152" t="s">
        <v>350</v>
      </c>
      <c r="D14" s="153">
        <v>20000000</v>
      </c>
      <c r="E14" s="153">
        <v>20000000</v>
      </c>
      <c r="F14" s="153">
        <v>0</v>
      </c>
      <c r="G14" s="153">
        <v>0</v>
      </c>
      <c r="H14" s="153">
        <v>0</v>
      </c>
      <c r="I14" s="193"/>
    </row>
    <row r="15" spans="1:12" s="154" customFormat="1" ht="49.9" hidden="1" customHeight="1" outlineLevel="1" x14ac:dyDescent="0.25">
      <c r="A15" s="640"/>
      <c r="B15" s="635" t="s">
        <v>351</v>
      </c>
      <c r="C15" s="152" t="s">
        <v>198</v>
      </c>
      <c r="D15" s="153">
        <v>1093590131</v>
      </c>
      <c r="E15" s="153">
        <v>1093590131</v>
      </c>
      <c r="F15" s="153">
        <v>0</v>
      </c>
      <c r="G15" s="153">
        <v>0</v>
      </c>
      <c r="H15" s="153">
        <v>0</v>
      </c>
      <c r="I15" s="193"/>
    </row>
    <row r="16" spans="1:12" s="154" customFormat="1" ht="49.9" hidden="1" customHeight="1" outlineLevel="1" x14ac:dyDescent="0.25">
      <c r="A16" s="640"/>
      <c r="B16" s="636"/>
      <c r="C16" s="152" t="s">
        <v>348</v>
      </c>
      <c r="D16" s="153">
        <v>319199869</v>
      </c>
      <c r="E16" s="153">
        <v>319199869</v>
      </c>
      <c r="F16" s="153">
        <v>0</v>
      </c>
      <c r="G16" s="153">
        <v>0</v>
      </c>
      <c r="H16" s="153">
        <v>0</v>
      </c>
      <c r="I16" s="193"/>
    </row>
    <row r="17" spans="1:9" s="154" customFormat="1" ht="49.9" hidden="1" customHeight="1" outlineLevel="1" x14ac:dyDescent="0.25">
      <c r="A17" s="640"/>
      <c r="B17" s="155" t="s">
        <v>352</v>
      </c>
      <c r="C17" s="152" t="s">
        <v>198</v>
      </c>
      <c r="D17" s="153">
        <v>403410000</v>
      </c>
      <c r="E17" s="153">
        <v>403410000</v>
      </c>
      <c r="F17" s="153">
        <v>0</v>
      </c>
      <c r="G17" s="153">
        <v>0</v>
      </c>
      <c r="H17" s="153">
        <v>0</v>
      </c>
      <c r="I17" s="193"/>
    </row>
    <row r="18" spans="1:9" s="154" customFormat="1" ht="49.9" hidden="1" customHeight="1" outlineLevel="1" x14ac:dyDescent="0.25">
      <c r="A18" s="636"/>
      <c r="B18" s="152" t="s">
        <v>353</v>
      </c>
      <c r="C18" s="152" t="s">
        <v>198</v>
      </c>
      <c r="D18" s="153">
        <v>775545944</v>
      </c>
      <c r="E18" s="153">
        <v>775545944</v>
      </c>
      <c r="F18" s="153">
        <v>0</v>
      </c>
      <c r="G18" s="153">
        <v>0</v>
      </c>
      <c r="H18" s="153">
        <v>0</v>
      </c>
      <c r="I18" s="193"/>
    </row>
    <row r="19" spans="1:9" s="154" customFormat="1" ht="49.9" hidden="1" customHeight="1" outlineLevel="1" collapsed="1" x14ac:dyDescent="0.25">
      <c r="A19" s="633" t="s">
        <v>129</v>
      </c>
      <c r="B19" s="152" t="s">
        <v>344</v>
      </c>
      <c r="C19" s="152" t="s">
        <v>198</v>
      </c>
      <c r="D19" s="153">
        <v>450000000</v>
      </c>
      <c r="E19" s="153">
        <v>450000000</v>
      </c>
      <c r="F19" s="153">
        <v>0</v>
      </c>
      <c r="G19" s="153">
        <v>0</v>
      </c>
      <c r="H19" s="153">
        <v>0</v>
      </c>
      <c r="I19" s="193"/>
    </row>
    <row r="20" spans="1:9" s="154" customFormat="1" ht="49.9" hidden="1" customHeight="1" outlineLevel="1" x14ac:dyDescent="0.25">
      <c r="A20" s="632"/>
      <c r="B20" s="635" t="s">
        <v>345</v>
      </c>
      <c r="C20" s="152" t="s">
        <v>198</v>
      </c>
      <c r="D20" s="153">
        <v>550985000</v>
      </c>
      <c r="E20" s="153">
        <v>550985000</v>
      </c>
      <c r="F20" s="153">
        <v>0</v>
      </c>
      <c r="G20" s="153">
        <v>0</v>
      </c>
      <c r="H20" s="153">
        <v>0</v>
      </c>
      <c r="I20" s="193"/>
    </row>
    <row r="21" spans="1:9" s="154" customFormat="1" ht="49.9" hidden="1" customHeight="1" outlineLevel="1" x14ac:dyDescent="0.25">
      <c r="A21" s="632"/>
      <c r="B21" s="636"/>
      <c r="C21" s="152" t="s">
        <v>346</v>
      </c>
      <c r="D21" s="153">
        <v>62855322</v>
      </c>
      <c r="E21" s="153">
        <v>62855322</v>
      </c>
      <c r="F21" s="153">
        <v>0</v>
      </c>
      <c r="G21" s="153">
        <v>0</v>
      </c>
      <c r="H21" s="153">
        <v>0</v>
      </c>
      <c r="I21" s="193"/>
    </row>
    <row r="22" spans="1:9" s="154" customFormat="1" ht="49.9" hidden="1" customHeight="1" outlineLevel="1" x14ac:dyDescent="0.25">
      <c r="A22" s="632"/>
      <c r="B22" s="152" t="s">
        <v>347</v>
      </c>
      <c r="C22" s="152" t="s">
        <v>348</v>
      </c>
      <c r="D22" s="153">
        <v>658814131</v>
      </c>
      <c r="E22" s="153">
        <v>658814131</v>
      </c>
      <c r="F22" s="153">
        <v>0</v>
      </c>
      <c r="G22" s="153">
        <v>0</v>
      </c>
      <c r="H22" s="153">
        <v>0</v>
      </c>
      <c r="I22" s="193"/>
    </row>
    <row r="23" spans="1:9" s="154" customFormat="1" ht="49.9" hidden="1" customHeight="1" outlineLevel="1" x14ac:dyDescent="0.25">
      <c r="A23" s="632"/>
      <c r="B23" s="635" t="s">
        <v>349</v>
      </c>
      <c r="C23" s="152" t="s">
        <v>198</v>
      </c>
      <c r="D23" s="153">
        <v>601054131</v>
      </c>
      <c r="E23" s="153">
        <v>601054131</v>
      </c>
      <c r="F23" s="153">
        <v>0</v>
      </c>
      <c r="G23" s="153">
        <v>0</v>
      </c>
      <c r="H23" s="153">
        <v>0</v>
      </c>
      <c r="I23" s="193"/>
    </row>
    <row r="24" spans="1:9" s="154" customFormat="1" ht="49.9" hidden="1" customHeight="1" outlineLevel="1" x14ac:dyDescent="0.25">
      <c r="A24" s="632"/>
      <c r="B24" s="636"/>
      <c r="C24" s="152" t="s">
        <v>350</v>
      </c>
      <c r="D24" s="153">
        <v>20000000</v>
      </c>
      <c r="E24" s="153">
        <v>20000000</v>
      </c>
      <c r="F24" s="153">
        <v>0</v>
      </c>
      <c r="G24" s="153">
        <v>0</v>
      </c>
      <c r="H24" s="153">
        <v>0</v>
      </c>
      <c r="I24" s="193"/>
    </row>
    <row r="25" spans="1:9" s="154" customFormat="1" ht="49.9" hidden="1" customHeight="1" outlineLevel="1" x14ac:dyDescent="0.25">
      <c r="A25" s="632"/>
      <c r="B25" s="635" t="s">
        <v>351</v>
      </c>
      <c r="C25" s="152" t="s">
        <v>198</v>
      </c>
      <c r="D25" s="153">
        <v>1093590131</v>
      </c>
      <c r="E25" s="153">
        <v>1093590131</v>
      </c>
      <c r="F25" s="153">
        <v>49763000</v>
      </c>
      <c r="G25" s="153">
        <v>0</v>
      </c>
      <c r="H25" s="153">
        <v>0</v>
      </c>
      <c r="I25" s="193"/>
    </row>
    <row r="26" spans="1:9" s="154" customFormat="1" ht="49.9" hidden="1" customHeight="1" outlineLevel="1" x14ac:dyDescent="0.25">
      <c r="A26" s="632"/>
      <c r="B26" s="636"/>
      <c r="C26" s="152" t="s">
        <v>348</v>
      </c>
      <c r="D26" s="153">
        <v>319199869</v>
      </c>
      <c r="E26" s="153">
        <v>319199869</v>
      </c>
      <c r="F26" s="153">
        <v>30213000</v>
      </c>
      <c r="G26" s="153">
        <v>0</v>
      </c>
      <c r="H26" s="153">
        <v>0</v>
      </c>
      <c r="I26" s="193"/>
    </row>
    <row r="27" spans="1:9" s="154" customFormat="1" ht="49.9" hidden="1" customHeight="1" outlineLevel="1" x14ac:dyDescent="0.25">
      <c r="A27" s="632"/>
      <c r="B27" s="155" t="s">
        <v>352</v>
      </c>
      <c r="C27" s="152" t="s">
        <v>198</v>
      </c>
      <c r="D27" s="153">
        <v>403410000</v>
      </c>
      <c r="E27" s="153">
        <v>403410000</v>
      </c>
      <c r="F27" s="153">
        <v>10000000</v>
      </c>
      <c r="G27" s="153">
        <v>0</v>
      </c>
      <c r="H27" s="153">
        <v>0</v>
      </c>
      <c r="I27" s="193"/>
    </row>
    <row r="28" spans="1:9" s="154" customFormat="1" ht="49.9" hidden="1" customHeight="1" outlineLevel="1" x14ac:dyDescent="0.25">
      <c r="A28" s="597"/>
      <c r="B28" s="152" t="s">
        <v>353</v>
      </c>
      <c r="C28" s="152" t="s">
        <v>198</v>
      </c>
      <c r="D28" s="153">
        <v>775545944</v>
      </c>
      <c r="E28" s="153">
        <v>775545944</v>
      </c>
      <c r="F28" s="153">
        <v>56548312</v>
      </c>
      <c r="G28" s="153">
        <v>0</v>
      </c>
      <c r="H28" s="153">
        <v>0</v>
      </c>
      <c r="I28" s="193"/>
    </row>
    <row r="29" spans="1:9" s="154" customFormat="1" ht="49.9" hidden="1" customHeight="1" outlineLevel="1" collapsed="1" x14ac:dyDescent="0.25">
      <c r="A29" s="633" t="s">
        <v>130</v>
      </c>
      <c r="B29" s="152" t="s">
        <v>344</v>
      </c>
      <c r="C29" s="152" t="s">
        <v>198</v>
      </c>
      <c r="D29" s="153">
        <v>450000000</v>
      </c>
      <c r="E29" s="153">
        <v>450000000</v>
      </c>
      <c r="F29" s="153">
        <v>373112000</v>
      </c>
      <c r="G29" s="153">
        <v>0</v>
      </c>
      <c r="H29" s="153">
        <v>0</v>
      </c>
      <c r="I29" s="193"/>
    </row>
    <row r="30" spans="1:9" s="154" customFormat="1" ht="49.9" hidden="1" customHeight="1" outlineLevel="1" x14ac:dyDescent="0.25">
      <c r="A30" s="632"/>
      <c r="B30" s="635" t="s">
        <v>345</v>
      </c>
      <c r="C30" s="152" t="s">
        <v>198</v>
      </c>
      <c r="D30" s="153">
        <v>550985000</v>
      </c>
      <c r="E30" s="153">
        <v>550985000</v>
      </c>
      <c r="F30" s="153">
        <v>465500000</v>
      </c>
      <c r="G30" s="153">
        <v>0</v>
      </c>
      <c r="H30" s="153">
        <v>0</v>
      </c>
      <c r="I30" s="193"/>
    </row>
    <row r="31" spans="1:9" s="154" customFormat="1" ht="49.9" hidden="1" customHeight="1" outlineLevel="1" x14ac:dyDescent="0.25">
      <c r="A31" s="632"/>
      <c r="B31" s="636"/>
      <c r="C31" s="152" t="s">
        <v>346</v>
      </c>
      <c r="D31" s="153">
        <v>62855322</v>
      </c>
      <c r="E31" s="153">
        <v>62855322</v>
      </c>
      <c r="F31" s="153">
        <v>0</v>
      </c>
      <c r="G31" s="153">
        <v>0</v>
      </c>
      <c r="H31" s="153">
        <v>0</v>
      </c>
      <c r="I31" s="193"/>
    </row>
    <row r="32" spans="1:9" s="154" customFormat="1" ht="49.9" hidden="1" customHeight="1" outlineLevel="1" x14ac:dyDescent="0.25">
      <c r="A32" s="632"/>
      <c r="B32" s="152" t="s">
        <v>347</v>
      </c>
      <c r="C32" s="152" t="s">
        <v>348</v>
      </c>
      <c r="D32" s="153">
        <v>658814131</v>
      </c>
      <c r="E32" s="153">
        <v>658814131</v>
      </c>
      <c r="F32" s="153">
        <v>451588000</v>
      </c>
      <c r="G32" s="153">
        <v>0</v>
      </c>
      <c r="H32" s="153">
        <v>0</v>
      </c>
      <c r="I32" s="193"/>
    </row>
    <row r="33" spans="1:9" s="154" customFormat="1" ht="49.9" hidden="1" customHeight="1" outlineLevel="1" x14ac:dyDescent="0.25">
      <c r="A33" s="632"/>
      <c r="B33" s="635" t="s">
        <v>349</v>
      </c>
      <c r="C33" s="152" t="s">
        <v>198</v>
      </c>
      <c r="D33" s="153">
        <v>601054131</v>
      </c>
      <c r="E33" s="153">
        <v>601054131</v>
      </c>
      <c r="F33" s="153">
        <v>433428000</v>
      </c>
      <c r="G33" s="153">
        <v>0</v>
      </c>
      <c r="H33" s="153">
        <v>0</v>
      </c>
      <c r="I33" s="193"/>
    </row>
    <row r="34" spans="1:9" s="154" customFormat="1" ht="49.9" hidden="1" customHeight="1" outlineLevel="1" x14ac:dyDescent="0.25">
      <c r="A34" s="632"/>
      <c r="B34" s="636"/>
      <c r="C34" s="152" t="s">
        <v>350</v>
      </c>
      <c r="D34" s="153">
        <v>20000000</v>
      </c>
      <c r="E34" s="153">
        <v>20000000</v>
      </c>
      <c r="F34" s="153">
        <v>0</v>
      </c>
      <c r="G34" s="153">
        <v>0</v>
      </c>
      <c r="H34" s="153">
        <v>0</v>
      </c>
      <c r="I34" s="193"/>
    </row>
    <row r="35" spans="1:9" s="154" customFormat="1" ht="49.9" hidden="1" customHeight="1" outlineLevel="1" x14ac:dyDescent="0.25">
      <c r="A35" s="632"/>
      <c r="B35" s="635" t="s">
        <v>351</v>
      </c>
      <c r="C35" s="152" t="s">
        <v>198</v>
      </c>
      <c r="D35" s="153">
        <v>1093590131</v>
      </c>
      <c r="E35" s="153">
        <v>1093590131</v>
      </c>
      <c r="F35" s="153">
        <v>548275984</v>
      </c>
      <c r="G35" s="153">
        <v>0</v>
      </c>
      <c r="H35" s="153">
        <v>0</v>
      </c>
      <c r="I35" s="193"/>
    </row>
    <row r="36" spans="1:9" s="154" customFormat="1" ht="49.9" hidden="1" customHeight="1" outlineLevel="1" x14ac:dyDescent="0.25">
      <c r="A36" s="632"/>
      <c r="B36" s="636"/>
      <c r="C36" s="152" t="s">
        <v>348</v>
      </c>
      <c r="D36" s="153">
        <v>319199869</v>
      </c>
      <c r="E36" s="153">
        <v>319199869</v>
      </c>
      <c r="F36" s="153">
        <v>286832000</v>
      </c>
      <c r="G36" s="153">
        <v>0</v>
      </c>
      <c r="H36" s="153">
        <v>0</v>
      </c>
      <c r="I36" s="193"/>
    </row>
    <row r="37" spans="1:9" s="154" customFormat="1" ht="49.9" hidden="1" customHeight="1" outlineLevel="1" x14ac:dyDescent="0.25">
      <c r="A37" s="632"/>
      <c r="B37" s="155" t="s">
        <v>352</v>
      </c>
      <c r="C37" s="152" t="s">
        <v>198</v>
      </c>
      <c r="D37" s="153">
        <v>403410000</v>
      </c>
      <c r="E37" s="153">
        <v>403410000</v>
      </c>
      <c r="F37" s="153">
        <v>92564000</v>
      </c>
      <c r="G37" s="153">
        <v>0</v>
      </c>
      <c r="H37" s="153">
        <v>0</v>
      </c>
      <c r="I37" s="193"/>
    </row>
    <row r="38" spans="1:9" s="154" customFormat="1" ht="49.9" hidden="1" customHeight="1" outlineLevel="1" x14ac:dyDescent="0.25">
      <c r="A38" s="597"/>
      <c r="B38" s="152" t="s">
        <v>353</v>
      </c>
      <c r="C38" s="152" t="s">
        <v>198</v>
      </c>
      <c r="D38" s="153">
        <v>775545944</v>
      </c>
      <c r="E38" s="153">
        <v>775545944</v>
      </c>
      <c r="F38" s="153">
        <v>404965456</v>
      </c>
      <c r="G38" s="153">
        <v>11541544</v>
      </c>
      <c r="H38" s="153">
        <v>11541544</v>
      </c>
      <c r="I38" s="193"/>
    </row>
    <row r="39" spans="1:9" s="154" customFormat="1" ht="49.9" hidden="1" customHeight="1" outlineLevel="1" x14ac:dyDescent="0.25">
      <c r="A39" s="633" t="s">
        <v>131</v>
      </c>
      <c r="B39" s="152" t="s">
        <v>344</v>
      </c>
      <c r="C39" s="152" t="s">
        <v>198</v>
      </c>
      <c r="D39" s="153">
        <v>450000000</v>
      </c>
      <c r="E39" s="153">
        <v>450000000</v>
      </c>
      <c r="F39" s="153">
        <v>373112000</v>
      </c>
      <c r="G39" s="153">
        <v>26409699</v>
      </c>
      <c r="H39" s="153">
        <v>26409699</v>
      </c>
      <c r="I39" s="193"/>
    </row>
    <row r="40" spans="1:9" s="154" customFormat="1" ht="49.9" hidden="1" customHeight="1" outlineLevel="1" x14ac:dyDescent="0.25">
      <c r="A40" s="632"/>
      <c r="B40" s="635" t="s">
        <v>345</v>
      </c>
      <c r="C40" s="152" t="s">
        <v>198</v>
      </c>
      <c r="D40" s="153">
        <v>550985000</v>
      </c>
      <c r="E40" s="153">
        <v>550985000</v>
      </c>
      <c r="F40" s="153">
        <v>465500000</v>
      </c>
      <c r="G40" s="153">
        <v>35398499</v>
      </c>
      <c r="H40" s="153">
        <v>35398499</v>
      </c>
      <c r="I40" s="193"/>
    </row>
    <row r="41" spans="1:9" s="154" customFormat="1" ht="49.9" hidden="1" customHeight="1" outlineLevel="1" x14ac:dyDescent="0.25">
      <c r="A41" s="632"/>
      <c r="B41" s="636"/>
      <c r="C41" s="152" t="s">
        <v>346</v>
      </c>
      <c r="D41" s="153">
        <v>62855322</v>
      </c>
      <c r="E41" s="153">
        <v>62855322</v>
      </c>
      <c r="F41" s="153">
        <v>0</v>
      </c>
      <c r="G41" s="153">
        <v>0</v>
      </c>
      <c r="H41" s="153">
        <v>0</v>
      </c>
      <c r="I41" s="193"/>
    </row>
    <row r="42" spans="1:9" s="154" customFormat="1" ht="49.9" hidden="1" customHeight="1" outlineLevel="1" x14ac:dyDescent="0.25">
      <c r="A42" s="632"/>
      <c r="B42" s="152" t="s">
        <v>347</v>
      </c>
      <c r="C42" s="152" t="s">
        <v>348</v>
      </c>
      <c r="D42" s="153">
        <v>658814131</v>
      </c>
      <c r="E42" s="153">
        <v>658814131</v>
      </c>
      <c r="F42" s="153">
        <v>472900000</v>
      </c>
      <c r="G42" s="153">
        <v>38096468</v>
      </c>
      <c r="H42" s="153">
        <v>38096468</v>
      </c>
      <c r="I42" s="193"/>
    </row>
    <row r="43" spans="1:9" s="154" customFormat="1" ht="49.9" hidden="1" customHeight="1" outlineLevel="1" x14ac:dyDescent="0.25">
      <c r="A43" s="632"/>
      <c r="B43" s="635" t="s">
        <v>349</v>
      </c>
      <c r="C43" s="152" t="s">
        <v>198</v>
      </c>
      <c r="D43" s="153">
        <v>601054131</v>
      </c>
      <c r="E43" s="153">
        <v>601054131</v>
      </c>
      <c r="F43" s="153">
        <v>433428000</v>
      </c>
      <c r="G43" s="153">
        <v>45142900</v>
      </c>
      <c r="H43" s="153">
        <v>45142900</v>
      </c>
      <c r="I43" s="193"/>
    </row>
    <row r="44" spans="1:9" s="154" customFormat="1" ht="49.9" hidden="1" customHeight="1" outlineLevel="1" x14ac:dyDescent="0.25">
      <c r="A44" s="632"/>
      <c r="B44" s="636"/>
      <c r="C44" s="152" t="s">
        <v>350</v>
      </c>
      <c r="D44" s="153">
        <v>20000000</v>
      </c>
      <c r="E44" s="153">
        <v>20000000</v>
      </c>
      <c r="F44" s="153">
        <v>0</v>
      </c>
      <c r="G44" s="153">
        <v>0</v>
      </c>
      <c r="H44" s="153">
        <v>0</v>
      </c>
      <c r="I44" s="193"/>
    </row>
    <row r="45" spans="1:9" s="154" customFormat="1" ht="49.9" hidden="1" customHeight="1" outlineLevel="1" x14ac:dyDescent="0.25">
      <c r="A45" s="632"/>
      <c r="B45" s="635" t="s">
        <v>351</v>
      </c>
      <c r="C45" s="152" t="s">
        <v>198</v>
      </c>
      <c r="D45" s="153">
        <v>1093590131</v>
      </c>
      <c r="E45" s="153">
        <v>1093590131</v>
      </c>
      <c r="F45" s="153">
        <v>573298666</v>
      </c>
      <c r="G45" s="153">
        <v>51721448</v>
      </c>
      <c r="H45" s="153">
        <v>51721448</v>
      </c>
      <c r="I45" s="193"/>
    </row>
    <row r="46" spans="1:9" s="154" customFormat="1" ht="49.9" hidden="1" customHeight="1" outlineLevel="1" x14ac:dyDescent="0.25">
      <c r="A46" s="632"/>
      <c r="B46" s="636"/>
      <c r="C46" s="152" t="s">
        <v>348</v>
      </c>
      <c r="D46" s="153">
        <v>319199869</v>
      </c>
      <c r="E46" s="153">
        <v>319199869</v>
      </c>
      <c r="F46" s="153">
        <v>286832000</v>
      </c>
      <c r="G46" s="153">
        <v>26956333</v>
      </c>
      <c r="H46" s="153">
        <v>26956333</v>
      </c>
      <c r="I46" s="193"/>
    </row>
    <row r="47" spans="1:9" s="154" customFormat="1" ht="49.9" hidden="1" customHeight="1" outlineLevel="1" x14ac:dyDescent="0.25">
      <c r="A47" s="632"/>
      <c r="B47" s="155" t="s">
        <v>352</v>
      </c>
      <c r="C47" s="152" t="s">
        <v>198</v>
      </c>
      <c r="D47" s="153">
        <v>403410000</v>
      </c>
      <c r="E47" s="153">
        <v>403410000</v>
      </c>
      <c r="F47" s="153">
        <v>164519000</v>
      </c>
      <c r="G47" s="153">
        <v>2848433</v>
      </c>
      <c r="H47" s="153">
        <v>2848433</v>
      </c>
      <c r="I47" s="193"/>
    </row>
    <row r="48" spans="1:9" s="154" customFormat="1" ht="49.9" hidden="1" customHeight="1" outlineLevel="1" x14ac:dyDescent="0.25">
      <c r="A48" s="597"/>
      <c r="B48" s="152" t="s">
        <v>353</v>
      </c>
      <c r="C48" s="152" t="s">
        <v>198</v>
      </c>
      <c r="D48" s="153">
        <v>775545944</v>
      </c>
      <c r="E48" s="153">
        <v>775545944</v>
      </c>
      <c r="F48" s="153">
        <v>433527167</v>
      </c>
      <c r="G48" s="153">
        <v>36332725</v>
      </c>
      <c r="H48" s="153">
        <v>36332725</v>
      </c>
      <c r="I48" s="193"/>
    </row>
    <row r="49" spans="1:9" s="154" customFormat="1" ht="49.9" hidden="1" customHeight="1" outlineLevel="1" x14ac:dyDescent="0.25">
      <c r="A49" s="633" t="s">
        <v>132</v>
      </c>
      <c r="B49" s="152" t="s">
        <v>344</v>
      </c>
      <c r="C49" s="157" t="s">
        <v>198</v>
      </c>
      <c r="D49" s="158">
        <v>450000000</v>
      </c>
      <c r="E49" s="158">
        <v>450000000</v>
      </c>
      <c r="F49" s="158">
        <v>377292000</v>
      </c>
      <c r="G49" s="158">
        <v>210279165</v>
      </c>
      <c r="H49" s="158">
        <v>210279165</v>
      </c>
      <c r="I49" s="193"/>
    </row>
    <row r="50" spans="1:9" s="154" customFormat="1" ht="49.9" hidden="1" customHeight="1" outlineLevel="1" x14ac:dyDescent="0.25">
      <c r="A50" s="632"/>
      <c r="B50" s="635" t="s">
        <v>345</v>
      </c>
      <c r="C50" s="157" t="s">
        <v>198</v>
      </c>
      <c r="D50" s="158">
        <v>753985000</v>
      </c>
      <c r="E50" s="158">
        <v>763985000</v>
      </c>
      <c r="F50" s="158">
        <v>480083000</v>
      </c>
      <c r="G50" s="158">
        <v>254439132</v>
      </c>
      <c r="H50" s="158">
        <v>254439132</v>
      </c>
      <c r="I50" s="193"/>
    </row>
    <row r="51" spans="1:9" s="154" customFormat="1" ht="49.9" hidden="1" customHeight="1" outlineLevel="1" x14ac:dyDescent="0.25">
      <c r="A51" s="632"/>
      <c r="B51" s="636"/>
      <c r="C51" s="157" t="s">
        <v>346</v>
      </c>
      <c r="D51" s="158">
        <v>62855322</v>
      </c>
      <c r="E51" s="158">
        <v>62855322</v>
      </c>
      <c r="F51" s="158">
        <v>62855322</v>
      </c>
      <c r="G51" s="158">
        <v>62855322</v>
      </c>
      <c r="H51" s="158">
        <v>62855322</v>
      </c>
      <c r="I51" s="193"/>
    </row>
    <row r="52" spans="1:9" s="154" customFormat="1" ht="49.9" hidden="1" customHeight="1" outlineLevel="1" x14ac:dyDescent="0.25">
      <c r="A52" s="632"/>
      <c r="B52" s="152" t="s">
        <v>347</v>
      </c>
      <c r="C52" s="157" t="s">
        <v>348</v>
      </c>
      <c r="D52" s="158">
        <v>658814131</v>
      </c>
      <c r="E52" s="158">
        <v>658814131</v>
      </c>
      <c r="F52" s="158">
        <v>545531000</v>
      </c>
      <c r="G52" s="158">
        <v>232554035</v>
      </c>
      <c r="H52" s="158">
        <v>232554035</v>
      </c>
      <c r="I52" s="193"/>
    </row>
    <row r="53" spans="1:9" s="154" customFormat="1" ht="49.9" hidden="1" customHeight="1" outlineLevel="1" x14ac:dyDescent="0.25">
      <c r="A53" s="632"/>
      <c r="B53" s="635" t="s">
        <v>349</v>
      </c>
      <c r="C53" s="157" t="s">
        <v>198</v>
      </c>
      <c r="D53" s="158">
        <v>536054131</v>
      </c>
      <c r="E53" s="158">
        <v>536054131</v>
      </c>
      <c r="F53" s="158">
        <v>437787131</v>
      </c>
      <c r="G53" s="158">
        <v>269195535</v>
      </c>
      <c r="H53" s="158">
        <v>269195535</v>
      </c>
      <c r="I53" s="193"/>
    </row>
    <row r="54" spans="1:9" s="154" customFormat="1" ht="49.9" hidden="1" customHeight="1" outlineLevel="1" x14ac:dyDescent="0.25">
      <c r="A54" s="632"/>
      <c r="B54" s="636"/>
      <c r="C54" s="157" t="s">
        <v>350</v>
      </c>
      <c r="D54" s="158">
        <v>20000000</v>
      </c>
      <c r="E54" s="158">
        <v>20000000</v>
      </c>
      <c r="F54" s="158">
        <v>0</v>
      </c>
      <c r="G54" s="158">
        <v>0</v>
      </c>
      <c r="H54" s="158">
        <v>0</v>
      </c>
      <c r="I54" s="193"/>
    </row>
    <row r="55" spans="1:9" s="154" customFormat="1" ht="49.9" hidden="1" customHeight="1" outlineLevel="1" x14ac:dyDescent="0.25">
      <c r="A55" s="632"/>
      <c r="B55" s="635" t="s">
        <v>351</v>
      </c>
      <c r="C55" s="157" t="s">
        <v>198</v>
      </c>
      <c r="D55" s="158">
        <v>1080590131</v>
      </c>
      <c r="E55" s="158">
        <v>1080590131</v>
      </c>
      <c r="F55" s="158">
        <v>618799416</v>
      </c>
      <c r="G55" s="158">
        <v>252268566</v>
      </c>
      <c r="H55" s="158">
        <v>252268566</v>
      </c>
      <c r="I55" s="193"/>
    </row>
    <row r="56" spans="1:9" s="154" customFormat="1" ht="49.9" hidden="1" customHeight="1" outlineLevel="1" x14ac:dyDescent="0.25">
      <c r="A56" s="632"/>
      <c r="B56" s="636"/>
      <c r="C56" s="157" t="s">
        <v>348</v>
      </c>
      <c r="D56" s="158">
        <v>319199869</v>
      </c>
      <c r="E56" s="158">
        <v>319199869</v>
      </c>
      <c r="F56" s="158">
        <v>286832000</v>
      </c>
      <c r="G56" s="158">
        <v>157706433</v>
      </c>
      <c r="H56" s="158">
        <v>157706433</v>
      </c>
      <c r="I56" s="193"/>
    </row>
    <row r="57" spans="1:9" s="154" customFormat="1" ht="49.9" hidden="1" customHeight="1" outlineLevel="1" x14ac:dyDescent="0.25">
      <c r="A57" s="632"/>
      <c r="B57" s="155" t="s">
        <v>352</v>
      </c>
      <c r="C57" s="157" t="s">
        <v>198</v>
      </c>
      <c r="D57" s="158">
        <v>263410000</v>
      </c>
      <c r="E57" s="158">
        <v>263410000</v>
      </c>
      <c r="F57" s="158">
        <v>191691000</v>
      </c>
      <c r="G57" s="158">
        <v>78561375</v>
      </c>
      <c r="H57" s="158">
        <v>78561375</v>
      </c>
      <c r="I57" s="193"/>
    </row>
    <row r="58" spans="1:9" s="154" customFormat="1" ht="49.9" hidden="1" customHeight="1" outlineLevel="1" x14ac:dyDescent="0.25">
      <c r="A58" s="597"/>
      <c r="B58" s="152" t="s">
        <v>353</v>
      </c>
      <c r="C58" s="157" t="s">
        <v>198</v>
      </c>
      <c r="D58" s="158">
        <v>790545944</v>
      </c>
      <c r="E58" s="158">
        <v>780545944</v>
      </c>
      <c r="F58" s="158">
        <v>488375819</v>
      </c>
      <c r="G58" s="158">
        <v>278527169</v>
      </c>
      <c r="H58" s="158">
        <v>278527169</v>
      </c>
      <c r="I58" s="193"/>
    </row>
    <row r="59" spans="1:9" s="154" customFormat="1" ht="49.9" hidden="1" customHeight="1" outlineLevel="1" x14ac:dyDescent="0.25">
      <c r="A59" s="633" t="s">
        <v>133</v>
      </c>
      <c r="B59" s="152" t="s">
        <v>344</v>
      </c>
      <c r="C59" s="157" t="s">
        <v>198</v>
      </c>
      <c r="D59" s="158">
        <v>450000000</v>
      </c>
      <c r="E59" s="159">
        <v>450000000</v>
      </c>
      <c r="F59" s="158">
        <v>447516000</v>
      </c>
      <c r="G59" s="158">
        <v>316341865</v>
      </c>
      <c r="H59" s="158">
        <f>+G59</f>
        <v>316341865</v>
      </c>
      <c r="I59" s="193"/>
    </row>
    <row r="60" spans="1:9" s="154" customFormat="1" ht="49.9" hidden="1" customHeight="1" outlineLevel="1" x14ac:dyDescent="0.25">
      <c r="A60" s="632"/>
      <c r="B60" s="635" t="s">
        <v>345</v>
      </c>
      <c r="C60" s="157" t="s">
        <v>198</v>
      </c>
      <c r="D60" s="158">
        <v>753985000</v>
      </c>
      <c r="E60" s="159">
        <v>763985000</v>
      </c>
      <c r="F60" s="158">
        <v>607617783</v>
      </c>
      <c r="G60" s="158">
        <v>387105399</v>
      </c>
      <c r="H60" s="158">
        <f t="shared" ref="H60:H68" si="0">+G60</f>
        <v>387105399</v>
      </c>
      <c r="I60" s="193"/>
    </row>
    <row r="61" spans="1:9" s="154" customFormat="1" ht="49.9" hidden="1" customHeight="1" outlineLevel="1" x14ac:dyDescent="0.25">
      <c r="A61" s="632"/>
      <c r="B61" s="636"/>
      <c r="C61" s="157" t="s">
        <v>346</v>
      </c>
      <c r="D61" s="158">
        <v>62855322</v>
      </c>
      <c r="E61" s="159">
        <v>62855322</v>
      </c>
      <c r="F61" s="158">
        <v>62855322</v>
      </c>
      <c r="G61" s="158">
        <v>62855322</v>
      </c>
      <c r="H61" s="158">
        <f t="shared" si="0"/>
        <v>62855322</v>
      </c>
      <c r="I61" s="193"/>
    </row>
    <row r="62" spans="1:9" s="154" customFormat="1" ht="49.9" hidden="1" customHeight="1" outlineLevel="1" x14ac:dyDescent="0.25">
      <c r="A62" s="632"/>
      <c r="B62" s="152" t="s">
        <v>347</v>
      </c>
      <c r="C62" s="157" t="s">
        <v>348</v>
      </c>
      <c r="D62" s="158">
        <v>658814131</v>
      </c>
      <c r="E62" s="159">
        <v>658814131</v>
      </c>
      <c r="F62" s="158">
        <v>644978000</v>
      </c>
      <c r="G62" s="158">
        <v>368534169</v>
      </c>
      <c r="H62" s="158">
        <f t="shared" si="0"/>
        <v>368534169</v>
      </c>
      <c r="I62" s="193"/>
    </row>
    <row r="63" spans="1:9" s="154" customFormat="1" ht="49.9" hidden="1" customHeight="1" outlineLevel="1" x14ac:dyDescent="0.25">
      <c r="A63" s="632"/>
      <c r="B63" s="635" t="s">
        <v>349</v>
      </c>
      <c r="C63" s="157" t="s">
        <v>198</v>
      </c>
      <c r="D63" s="158">
        <v>536054131</v>
      </c>
      <c r="E63" s="159">
        <v>536054131</v>
      </c>
      <c r="F63" s="158">
        <v>535986131</v>
      </c>
      <c r="G63" s="158">
        <v>403638440.30888337</v>
      </c>
      <c r="H63" s="158">
        <f t="shared" si="0"/>
        <v>403638440.30888337</v>
      </c>
      <c r="I63" s="193"/>
    </row>
    <row r="64" spans="1:9" s="154" customFormat="1" ht="49.9" hidden="1" customHeight="1" outlineLevel="1" x14ac:dyDescent="0.25">
      <c r="A64" s="632"/>
      <c r="B64" s="636"/>
      <c r="C64" s="157" t="s">
        <v>350</v>
      </c>
      <c r="D64" s="158">
        <v>20000000</v>
      </c>
      <c r="E64" s="158">
        <v>20000000</v>
      </c>
      <c r="F64" s="158">
        <v>0</v>
      </c>
      <c r="G64" s="158">
        <v>0</v>
      </c>
      <c r="H64" s="158">
        <v>0</v>
      </c>
      <c r="I64" s="193"/>
    </row>
    <row r="65" spans="1:9" s="154" customFormat="1" ht="49.9" hidden="1" customHeight="1" outlineLevel="1" x14ac:dyDescent="0.25">
      <c r="A65" s="632"/>
      <c r="B65" s="635" t="s">
        <v>351</v>
      </c>
      <c r="C65" s="157" t="s">
        <v>198</v>
      </c>
      <c r="D65" s="158">
        <v>1080590131</v>
      </c>
      <c r="E65" s="158">
        <v>1080590131</v>
      </c>
      <c r="F65" s="159">
        <v>1012453063</v>
      </c>
      <c r="G65" s="158">
        <v>505007680.18480587</v>
      </c>
      <c r="H65" s="158">
        <f t="shared" si="0"/>
        <v>505007680.18480587</v>
      </c>
      <c r="I65" s="193"/>
    </row>
    <row r="66" spans="1:9" s="154" customFormat="1" ht="49.9" hidden="1" customHeight="1" outlineLevel="1" x14ac:dyDescent="0.25">
      <c r="A66" s="632"/>
      <c r="B66" s="636"/>
      <c r="C66" s="157" t="s">
        <v>348</v>
      </c>
      <c r="D66" s="158">
        <v>319199869</v>
      </c>
      <c r="E66" s="158">
        <v>319199869</v>
      </c>
      <c r="F66" s="158">
        <v>313688000</v>
      </c>
      <c r="G66" s="158">
        <v>227490433</v>
      </c>
      <c r="H66" s="158">
        <f t="shared" si="0"/>
        <v>227490433</v>
      </c>
      <c r="I66" s="193"/>
    </row>
    <row r="67" spans="1:9" s="154" customFormat="1" ht="49.9" hidden="1" customHeight="1" outlineLevel="1" x14ac:dyDescent="0.25">
      <c r="A67" s="632"/>
      <c r="B67" s="155" t="s">
        <v>352</v>
      </c>
      <c r="C67" s="157" t="s">
        <v>198</v>
      </c>
      <c r="D67" s="158">
        <v>263410000</v>
      </c>
      <c r="E67" s="158">
        <v>263410000</v>
      </c>
      <c r="F67" s="158">
        <v>232617000</v>
      </c>
      <c r="G67" s="158">
        <v>139980686.50631076</v>
      </c>
      <c r="H67" s="158">
        <f t="shared" si="0"/>
        <v>139980686.50631076</v>
      </c>
      <c r="I67" s="193"/>
    </row>
    <row r="68" spans="1:9" s="154" customFormat="1" ht="49.9" hidden="1" customHeight="1" outlineLevel="1" x14ac:dyDescent="0.25">
      <c r="A68" s="597"/>
      <c r="B68" s="152" t="s">
        <v>353</v>
      </c>
      <c r="C68" s="157" t="s">
        <v>198</v>
      </c>
      <c r="D68" s="158">
        <v>790545944</v>
      </c>
      <c r="E68" s="159">
        <v>780545944</v>
      </c>
      <c r="F68" s="158">
        <v>731213017</v>
      </c>
      <c r="G68" s="158">
        <v>381508875</v>
      </c>
      <c r="H68" s="158">
        <f t="shared" si="0"/>
        <v>381508875</v>
      </c>
      <c r="I68" s="193"/>
    </row>
    <row r="69" spans="1:9" ht="16.5" customHeight="1" collapsed="1" x14ac:dyDescent="0.25"/>
    <row r="70" spans="1:9" ht="26.25" customHeight="1" x14ac:dyDescent="0.25">
      <c r="A70" s="643" t="s">
        <v>134</v>
      </c>
      <c r="B70" s="643"/>
      <c r="C70" s="643"/>
      <c r="D70" s="643"/>
      <c r="E70" s="643"/>
      <c r="F70" s="643"/>
      <c r="G70" s="643"/>
      <c r="H70" s="643"/>
    </row>
    <row r="71" spans="1:9" ht="25.5" customHeight="1" x14ac:dyDescent="0.25">
      <c r="A71" s="150" t="s">
        <v>48</v>
      </c>
      <c r="B71" s="150" t="s">
        <v>343</v>
      </c>
      <c r="C71" s="39" t="s">
        <v>121</v>
      </c>
      <c r="D71" s="151" t="s">
        <v>122</v>
      </c>
      <c r="E71" s="151" t="s">
        <v>123</v>
      </c>
      <c r="F71" s="151" t="s">
        <v>124</v>
      </c>
      <c r="G71" s="151" t="s">
        <v>125</v>
      </c>
      <c r="H71" s="151" t="s">
        <v>126</v>
      </c>
    </row>
    <row r="72" spans="1:9" ht="49.9" hidden="1" customHeight="1" outlineLevel="1" x14ac:dyDescent="0.25">
      <c r="A72" s="656" t="s">
        <v>135</v>
      </c>
      <c r="B72" s="152" t="s">
        <v>353</v>
      </c>
      <c r="C72" s="157" t="s">
        <v>198</v>
      </c>
      <c r="D72" s="158">
        <v>790545944</v>
      </c>
      <c r="E72" s="159">
        <v>780545944</v>
      </c>
      <c r="F72" s="40"/>
      <c r="G72" s="40"/>
      <c r="H72" s="40"/>
    </row>
    <row r="73" spans="1:9" ht="49.9" hidden="1" customHeight="1" outlineLevel="1" x14ac:dyDescent="0.25">
      <c r="A73" s="656"/>
      <c r="B73" s="617" t="s">
        <v>345</v>
      </c>
      <c r="C73" s="157" t="s">
        <v>198</v>
      </c>
      <c r="D73" s="158">
        <v>753985000</v>
      </c>
      <c r="E73" s="159">
        <v>763985000</v>
      </c>
      <c r="F73" s="40"/>
      <c r="G73" s="40"/>
      <c r="H73" s="40"/>
    </row>
    <row r="74" spans="1:9" ht="49.9" hidden="1" customHeight="1" outlineLevel="1" x14ac:dyDescent="0.25">
      <c r="A74" s="656"/>
      <c r="B74" s="617"/>
      <c r="C74" s="157" t="s">
        <v>346</v>
      </c>
      <c r="D74" s="158">
        <v>62855322</v>
      </c>
      <c r="E74" s="159">
        <v>62855322</v>
      </c>
      <c r="F74" s="40"/>
      <c r="G74" s="40"/>
      <c r="H74" s="40"/>
    </row>
    <row r="75" spans="1:9" ht="49.9" hidden="1" customHeight="1" outlineLevel="1" x14ac:dyDescent="0.25">
      <c r="A75" s="656"/>
      <c r="B75" s="617" t="s">
        <v>351</v>
      </c>
      <c r="C75" s="157" t="s">
        <v>198</v>
      </c>
      <c r="D75" s="158">
        <v>1080590131</v>
      </c>
      <c r="E75" s="158">
        <v>1080590131</v>
      </c>
      <c r="F75" s="40"/>
      <c r="G75" s="40"/>
      <c r="H75" s="40"/>
    </row>
    <row r="76" spans="1:9" ht="49.9" hidden="1" customHeight="1" outlineLevel="1" x14ac:dyDescent="0.25">
      <c r="A76" s="656"/>
      <c r="B76" s="617"/>
      <c r="C76" s="157" t="s">
        <v>348</v>
      </c>
      <c r="D76" s="158">
        <v>319199869</v>
      </c>
      <c r="E76" s="158">
        <v>319199869</v>
      </c>
      <c r="F76" s="40"/>
      <c r="G76" s="40"/>
      <c r="H76" s="40"/>
    </row>
    <row r="77" spans="1:9" ht="49.9" hidden="1" customHeight="1" outlineLevel="1" x14ac:dyDescent="0.25">
      <c r="A77" s="656"/>
      <c r="B77" s="617" t="s">
        <v>349</v>
      </c>
      <c r="C77" s="157" t="s">
        <v>198</v>
      </c>
      <c r="D77" s="158">
        <v>536054131</v>
      </c>
      <c r="E77" s="159">
        <v>536054131</v>
      </c>
      <c r="F77" s="40"/>
      <c r="G77" s="40"/>
      <c r="H77" s="40"/>
    </row>
    <row r="78" spans="1:9" ht="49.9" hidden="1" customHeight="1" outlineLevel="1" x14ac:dyDescent="0.25">
      <c r="A78" s="656"/>
      <c r="B78" s="617"/>
      <c r="C78" s="157" t="s">
        <v>350</v>
      </c>
      <c r="D78" s="158">
        <v>20000000</v>
      </c>
      <c r="E78" s="158">
        <v>20000000</v>
      </c>
      <c r="F78" s="40"/>
      <c r="G78" s="40"/>
      <c r="H78" s="40"/>
    </row>
    <row r="79" spans="1:9" ht="49.9" hidden="1" customHeight="1" outlineLevel="1" x14ac:dyDescent="0.25">
      <c r="A79" s="656"/>
      <c r="B79" s="152" t="s">
        <v>352</v>
      </c>
      <c r="C79" s="157" t="s">
        <v>198</v>
      </c>
      <c r="D79" s="158">
        <v>263410000</v>
      </c>
      <c r="E79" s="158">
        <v>263410000</v>
      </c>
      <c r="F79" s="40"/>
      <c r="G79" s="40"/>
      <c r="H79" s="40"/>
    </row>
    <row r="80" spans="1:9" ht="49.9" hidden="1" customHeight="1" outlineLevel="1" x14ac:dyDescent="0.25">
      <c r="A80" s="656"/>
      <c r="B80" s="152" t="s">
        <v>347</v>
      </c>
      <c r="C80" s="157" t="s">
        <v>348</v>
      </c>
      <c r="D80" s="158">
        <v>658814131</v>
      </c>
      <c r="E80" s="159">
        <v>658814131</v>
      </c>
      <c r="F80" s="40"/>
      <c r="G80" s="40"/>
      <c r="H80" s="40"/>
    </row>
    <row r="81" spans="1:8" ht="49.9" hidden="1" customHeight="1" outlineLevel="1" x14ac:dyDescent="0.25">
      <c r="A81" s="656"/>
      <c r="B81" s="152" t="s">
        <v>344</v>
      </c>
      <c r="C81" s="157" t="s">
        <v>198</v>
      </c>
      <c r="D81" s="158">
        <v>450000000</v>
      </c>
      <c r="E81" s="159">
        <v>450000000</v>
      </c>
      <c r="F81" s="40"/>
      <c r="G81" s="40"/>
      <c r="H81" s="40"/>
    </row>
    <row r="82" spans="1:8" ht="49.9" hidden="1" customHeight="1" outlineLevel="1" x14ac:dyDescent="0.25">
      <c r="A82" s="655" t="s">
        <v>136</v>
      </c>
      <c r="B82" s="152" t="s">
        <v>353</v>
      </c>
      <c r="C82" s="157" t="s">
        <v>354</v>
      </c>
      <c r="D82" s="158">
        <v>1564678000</v>
      </c>
      <c r="E82" s="159">
        <v>1564678000</v>
      </c>
      <c r="F82" s="159">
        <v>188232000</v>
      </c>
      <c r="G82" s="159">
        <v>188232000</v>
      </c>
      <c r="H82" s="159">
        <v>0</v>
      </c>
    </row>
    <row r="83" spans="1:8" ht="49.9" hidden="1" customHeight="1" outlineLevel="1" x14ac:dyDescent="0.25">
      <c r="A83" s="655"/>
      <c r="B83" s="152" t="s">
        <v>345</v>
      </c>
      <c r="C83" s="157" t="s">
        <v>354</v>
      </c>
      <c r="D83" s="159">
        <v>1374057000</v>
      </c>
      <c r="E83" s="159">
        <v>1374057000</v>
      </c>
      <c r="F83" s="159">
        <v>582050000</v>
      </c>
      <c r="G83" s="159">
        <v>582050000</v>
      </c>
      <c r="H83" s="159">
        <v>0</v>
      </c>
    </row>
    <row r="84" spans="1:8" ht="49.9" hidden="1" customHeight="1" outlineLevel="1" x14ac:dyDescent="0.25">
      <c r="A84" s="655"/>
      <c r="B84" s="617" t="s">
        <v>351</v>
      </c>
      <c r="C84" s="157" t="s">
        <v>354</v>
      </c>
      <c r="D84" s="158">
        <v>2007824000</v>
      </c>
      <c r="E84" s="158">
        <v>2007824000</v>
      </c>
      <c r="F84" s="158">
        <v>292843000</v>
      </c>
      <c r="G84" s="158">
        <v>292843000</v>
      </c>
      <c r="H84" s="159">
        <v>0</v>
      </c>
    </row>
    <row r="85" spans="1:8" ht="49.9" hidden="1" customHeight="1" outlineLevel="1" x14ac:dyDescent="0.25">
      <c r="A85" s="655"/>
      <c r="B85" s="617"/>
      <c r="C85" s="157" t="s">
        <v>355</v>
      </c>
      <c r="D85" s="158">
        <v>792348000</v>
      </c>
      <c r="E85" s="158">
        <v>792348000</v>
      </c>
      <c r="F85" s="158">
        <v>115947000</v>
      </c>
      <c r="G85" s="158">
        <v>115947000</v>
      </c>
      <c r="H85" s="159">
        <v>0</v>
      </c>
    </row>
    <row r="86" spans="1:8" ht="49.9" hidden="1" customHeight="1" outlineLevel="1" x14ac:dyDescent="0.25">
      <c r="A86" s="655"/>
      <c r="B86" s="617"/>
      <c r="C86" s="157" t="s">
        <v>356</v>
      </c>
      <c r="D86" s="158">
        <v>173604000</v>
      </c>
      <c r="E86" s="158">
        <v>173604000</v>
      </c>
      <c r="F86" s="158">
        <v>0</v>
      </c>
      <c r="G86" s="158">
        <v>0</v>
      </c>
      <c r="H86" s="159">
        <v>0</v>
      </c>
    </row>
    <row r="87" spans="1:8" ht="49.9" hidden="1" customHeight="1" outlineLevel="1" x14ac:dyDescent="0.25">
      <c r="A87" s="655"/>
      <c r="B87" s="617" t="s">
        <v>349</v>
      </c>
      <c r="C87" s="157" t="s">
        <v>354</v>
      </c>
      <c r="D87" s="158">
        <v>1180481000</v>
      </c>
      <c r="E87" s="158">
        <v>1180481000</v>
      </c>
      <c r="F87" s="158">
        <v>740287000</v>
      </c>
      <c r="G87" s="158">
        <v>740287000</v>
      </c>
      <c r="H87" s="159">
        <v>0</v>
      </c>
    </row>
    <row r="88" spans="1:8" ht="49.9" hidden="1" customHeight="1" outlineLevel="1" x14ac:dyDescent="0.25">
      <c r="A88" s="655"/>
      <c r="B88" s="617"/>
      <c r="C88" s="157" t="s">
        <v>356</v>
      </c>
      <c r="D88" s="158">
        <v>300000000</v>
      </c>
      <c r="E88" s="158">
        <v>300000000</v>
      </c>
      <c r="F88" s="158">
        <v>0</v>
      </c>
      <c r="G88" s="158">
        <v>0</v>
      </c>
      <c r="H88" s="159">
        <v>0</v>
      </c>
    </row>
    <row r="89" spans="1:8" ht="49.9" hidden="1" customHeight="1" outlineLevel="1" x14ac:dyDescent="0.25">
      <c r="A89" s="655"/>
      <c r="B89" s="152" t="s">
        <v>352</v>
      </c>
      <c r="C89" s="157" t="s">
        <v>354</v>
      </c>
      <c r="D89" s="158">
        <v>689070000</v>
      </c>
      <c r="E89" s="158">
        <v>689070000</v>
      </c>
      <c r="F89" s="158">
        <v>34584000</v>
      </c>
      <c r="G89" s="158">
        <v>34584000</v>
      </c>
      <c r="H89" s="159">
        <v>0</v>
      </c>
    </row>
    <row r="90" spans="1:8" ht="49.9" hidden="1" customHeight="1" outlineLevel="1" x14ac:dyDescent="0.25">
      <c r="A90" s="655"/>
      <c r="B90" s="617" t="s">
        <v>347</v>
      </c>
      <c r="C90" s="157" t="s">
        <v>355</v>
      </c>
      <c r="D90" s="158">
        <v>1277236000</v>
      </c>
      <c r="E90" s="159">
        <v>1277236000</v>
      </c>
      <c r="F90" s="159">
        <v>385283000</v>
      </c>
      <c r="G90" s="159">
        <v>385283000</v>
      </c>
      <c r="H90" s="159">
        <v>0</v>
      </c>
    </row>
    <row r="91" spans="1:8" ht="49.9" hidden="1" customHeight="1" outlineLevel="1" x14ac:dyDescent="0.25">
      <c r="A91" s="655"/>
      <c r="B91" s="617"/>
      <c r="C91" s="157" t="s">
        <v>356</v>
      </c>
      <c r="D91" s="158">
        <v>16912000</v>
      </c>
      <c r="E91" s="159">
        <v>16912000</v>
      </c>
      <c r="F91" s="159">
        <v>0</v>
      </c>
      <c r="G91" s="159">
        <v>0</v>
      </c>
      <c r="H91" s="159">
        <v>0</v>
      </c>
    </row>
    <row r="92" spans="1:8" ht="49.9" hidden="1" customHeight="1" outlineLevel="1" x14ac:dyDescent="0.25">
      <c r="A92" s="655"/>
      <c r="B92" s="152" t="s">
        <v>344</v>
      </c>
      <c r="C92" s="157" t="s">
        <v>354</v>
      </c>
      <c r="D92" s="158">
        <v>691670000</v>
      </c>
      <c r="E92" s="158">
        <v>691670000</v>
      </c>
      <c r="F92" s="159">
        <v>326043000</v>
      </c>
      <c r="G92" s="159">
        <v>326043000</v>
      </c>
      <c r="H92" s="159">
        <v>0</v>
      </c>
    </row>
    <row r="93" spans="1:8" ht="49.9" hidden="1" customHeight="1" outlineLevel="1" x14ac:dyDescent="0.25">
      <c r="A93" s="655" t="s">
        <v>137</v>
      </c>
      <c r="B93" s="152" t="s">
        <v>353</v>
      </c>
      <c r="C93" s="157" t="s">
        <v>354</v>
      </c>
      <c r="D93" s="158">
        <v>1564678000</v>
      </c>
      <c r="E93" s="159">
        <v>1564678000</v>
      </c>
      <c r="F93" s="159">
        <v>537224000</v>
      </c>
      <c r="G93" s="159">
        <v>537224000</v>
      </c>
      <c r="H93" s="159">
        <v>0</v>
      </c>
    </row>
    <row r="94" spans="1:8" ht="49.9" hidden="1" customHeight="1" outlineLevel="1" x14ac:dyDescent="0.25">
      <c r="A94" s="655"/>
      <c r="B94" s="152" t="s">
        <v>345</v>
      </c>
      <c r="C94" s="157" t="s">
        <v>354</v>
      </c>
      <c r="D94" s="159">
        <v>1374057000</v>
      </c>
      <c r="E94" s="159">
        <v>1374057000</v>
      </c>
      <c r="F94" s="159">
        <v>1121617000</v>
      </c>
      <c r="G94" s="159">
        <v>1121617000</v>
      </c>
      <c r="H94" s="159">
        <v>3498367</v>
      </c>
    </row>
    <row r="95" spans="1:8" ht="49.9" hidden="1" customHeight="1" outlineLevel="1" x14ac:dyDescent="0.25">
      <c r="A95" s="655"/>
      <c r="B95" s="617" t="s">
        <v>351</v>
      </c>
      <c r="C95" s="157" t="s">
        <v>354</v>
      </c>
      <c r="D95" s="158">
        <v>2007824000</v>
      </c>
      <c r="E95" s="158">
        <v>2007824000</v>
      </c>
      <c r="F95" s="158">
        <v>1198459150</v>
      </c>
      <c r="G95" s="158">
        <v>1198459150</v>
      </c>
      <c r="H95" s="158">
        <v>34478553</v>
      </c>
    </row>
    <row r="96" spans="1:8" ht="49.9" hidden="1" customHeight="1" outlineLevel="1" x14ac:dyDescent="0.25">
      <c r="A96" s="655"/>
      <c r="B96" s="617"/>
      <c r="C96" s="157" t="s">
        <v>355</v>
      </c>
      <c r="D96" s="158">
        <v>792348000</v>
      </c>
      <c r="E96" s="158">
        <v>792348000</v>
      </c>
      <c r="F96" s="158">
        <v>595485000</v>
      </c>
      <c r="G96" s="158">
        <v>595485000</v>
      </c>
      <c r="H96" s="158">
        <v>3931767</v>
      </c>
    </row>
    <row r="97" spans="1:8" ht="49.9" hidden="1" customHeight="1" outlineLevel="1" x14ac:dyDescent="0.25">
      <c r="A97" s="655"/>
      <c r="B97" s="617"/>
      <c r="C97" s="157" t="s">
        <v>356</v>
      </c>
      <c r="D97" s="158">
        <v>173604000</v>
      </c>
      <c r="E97" s="158">
        <v>173604000</v>
      </c>
      <c r="F97" s="158">
        <v>0</v>
      </c>
      <c r="G97" s="158">
        <v>0</v>
      </c>
      <c r="H97" s="158">
        <v>0</v>
      </c>
    </row>
    <row r="98" spans="1:8" ht="49.9" hidden="1" customHeight="1" outlineLevel="1" x14ac:dyDescent="0.25">
      <c r="A98" s="655"/>
      <c r="B98" s="617" t="s">
        <v>349</v>
      </c>
      <c r="C98" s="157" t="s">
        <v>354</v>
      </c>
      <c r="D98" s="158">
        <v>1180481000</v>
      </c>
      <c r="E98" s="158">
        <v>1180481000</v>
      </c>
      <c r="F98" s="158">
        <v>1001575000</v>
      </c>
      <c r="G98" s="158">
        <v>1001575000</v>
      </c>
      <c r="H98" s="158">
        <v>27208599</v>
      </c>
    </row>
    <row r="99" spans="1:8" ht="49.9" hidden="1" customHeight="1" outlineLevel="1" x14ac:dyDescent="0.25">
      <c r="A99" s="655"/>
      <c r="B99" s="617"/>
      <c r="C99" s="157" t="s">
        <v>356</v>
      </c>
      <c r="D99" s="158">
        <v>300000000</v>
      </c>
      <c r="E99" s="158">
        <v>300000000</v>
      </c>
      <c r="F99" s="158">
        <v>0</v>
      </c>
      <c r="G99" s="158">
        <v>0</v>
      </c>
      <c r="H99" s="158">
        <v>0</v>
      </c>
    </row>
    <row r="100" spans="1:8" ht="49.9" hidden="1" customHeight="1" outlineLevel="1" x14ac:dyDescent="0.25">
      <c r="A100" s="655"/>
      <c r="B100" s="152" t="s">
        <v>352</v>
      </c>
      <c r="C100" s="157" t="s">
        <v>354</v>
      </c>
      <c r="D100" s="158">
        <v>689070000</v>
      </c>
      <c r="E100" s="158">
        <v>689070000</v>
      </c>
      <c r="F100" s="158">
        <v>343006000</v>
      </c>
      <c r="G100" s="158">
        <v>343006000</v>
      </c>
      <c r="H100" s="158">
        <v>0</v>
      </c>
    </row>
    <row r="101" spans="1:8" ht="49.9" hidden="1" customHeight="1" outlineLevel="1" x14ac:dyDescent="0.25">
      <c r="A101" s="655"/>
      <c r="B101" s="617" t="s">
        <v>347</v>
      </c>
      <c r="C101" s="157" t="s">
        <v>355</v>
      </c>
      <c r="D101" s="158">
        <v>1277236000</v>
      </c>
      <c r="E101" s="159">
        <v>1277236000</v>
      </c>
      <c r="F101" s="159">
        <v>1137979000</v>
      </c>
      <c r="G101" s="159">
        <v>1137979000</v>
      </c>
      <c r="H101" s="159">
        <v>2672200</v>
      </c>
    </row>
    <row r="102" spans="1:8" ht="49.9" hidden="1" customHeight="1" outlineLevel="1" x14ac:dyDescent="0.25">
      <c r="A102" s="655"/>
      <c r="B102" s="617"/>
      <c r="C102" s="157" t="s">
        <v>356</v>
      </c>
      <c r="D102" s="158">
        <v>16912000</v>
      </c>
      <c r="E102" s="159">
        <v>16912000</v>
      </c>
      <c r="F102" s="159">
        <v>0</v>
      </c>
      <c r="G102" s="159">
        <v>0</v>
      </c>
      <c r="H102" s="159">
        <v>0</v>
      </c>
    </row>
    <row r="103" spans="1:8" ht="49.9" hidden="1" customHeight="1" outlineLevel="1" x14ac:dyDescent="0.25">
      <c r="A103" s="655"/>
      <c r="B103" s="152" t="s">
        <v>344</v>
      </c>
      <c r="C103" s="157" t="s">
        <v>354</v>
      </c>
      <c r="D103" s="158">
        <v>691670000</v>
      </c>
      <c r="E103" s="158">
        <v>691670000</v>
      </c>
      <c r="F103" s="159">
        <v>415638000</v>
      </c>
      <c r="G103" s="159">
        <v>415638000</v>
      </c>
      <c r="H103" s="159">
        <v>13025300</v>
      </c>
    </row>
    <row r="104" spans="1:8" ht="49.9" hidden="1" customHeight="1" outlineLevel="1" x14ac:dyDescent="0.25">
      <c r="A104" s="655" t="s">
        <v>138</v>
      </c>
      <c r="B104" s="152" t="s">
        <v>353</v>
      </c>
      <c r="C104" s="157" t="s">
        <v>354</v>
      </c>
      <c r="D104" s="158">
        <v>1564678000</v>
      </c>
      <c r="E104" s="159">
        <v>837335614</v>
      </c>
      <c r="F104" s="159">
        <v>664703857</v>
      </c>
      <c r="G104" s="159">
        <v>664703857</v>
      </c>
      <c r="H104" s="159">
        <v>41026232</v>
      </c>
    </row>
    <row r="105" spans="1:8" ht="49.9" hidden="1" customHeight="1" outlineLevel="1" x14ac:dyDescent="0.25">
      <c r="A105" s="655"/>
      <c r="B105" s="152" t="s">
        <v>345</v>
      </c>
      <c r="C105" s="157" t="s">
        <v>354</v>
      </c>
      <c r="D105" s="159">
        <v>1374057000</v>
      </c>
      <c r="E105" s="159">
        <v>1262994000</v>
      </c>
      <c r="F105" s="159">
        <v>1215729000</v>
      </c>
      <c r="G105" s="159">
        <v>1215729000</v>
      </c>
      <c r="H105" s="159">
        <v>92283634</v>
      </c>
    </row>
    <row r="106" spans="1:8" ht="49.9" hidden="1" customHeight="1" outlineLevel="1" x14ac:dyDescent="0.25">
      <c r="A106" s="655"/>
      <c r="B106" s="617" t="s">
        <v>351</v>
      </c>
      <c r="C106" s="157" t="s">
        <v>354</v>
      </c>
      <c r="D106" s="158">
        <v>2007824000</v>
      </c>
      <c r="E106" s="158">
        <v>1670091000</v>
      </c>
      <c r="F106" s="158">
        <v>1319795150</v>
      </c>
      <c r="G106" s="158">
        <v>1319795150</v>
      </c>
      <c r="H106" s="158">
        <v>76115753</v>
      </c>
    </row>
    <row r="107" spans="1:8" ht="49.9" hidden="1" customHeight="1" outlineLevel="1" x14ac:dyDescent="0.25">
      <c r="A107" s="655"/>
      <c r="B107" s="617"/>
      <c r="C107" s="157" t="s">
        <v>355</v>
      </c>
      <c r="D107" s="158">
        <v>792348000</v>
      </c>
      <c r="E107" s="158">
        <v>792348000</v>
      </c>
      <c r="F107" s="158">
        <v>622989000</v>
      </c>
      <c r="G107" s="158">
        <v>622989000</v>
      </c>
      <c r="H107" s="158">
        <v>45443400</v>
      </c>
    </row>
    <row r="108" spans="1:8" ht="49.9" hidden="1" customHeight="1" outlineLevel="1" x14ac:dyDescent="0.25">
      <c r="A108" s="655"/>
      <c r="B108" s="617"/>
      <c r="C108" s="157" t="s">
        <v>356</v>
      </c>
      <c r="D108" s="158">
        <v>173604000</v>
      </c>
      <c r="E108" s="158">
        <v>173604000</v>
      </c>
      <c r="F108" s="158">
        <v>0</v>
      </c>
      <c r="G108" s="158">
        <v>0</v>
      </c>
      <c r="H108" s="158">
        <v>0</v>
      </c>
    </row>
    <row r="109" spans="1:8" ht="49.9" hidden="1" customHeight="1" outlineLevel="1" x14ac:dyDescent="0.25">
      <c r="A109" s="655"/>
      <c r="B109" s="617" t="s">
        <v>349</v>
      </c>
      <c r="C109" s="157" t="s">
        <v>354</v>
      </c>
      <c r="D109" s="158">
        <v>1180481000</v>
      </c>
      <c r="E109" s="158">
        <v>1153575000</v>
      </c>
      <c r="F109" s="158">
        <v>1001575000</v>
      </c>
      <c r="G109" s="158">
        <v>1001575000</v>
      </c>
      <c r="H109" s="158">
        <v>129841932</v>
      </c>
    </row>
    <row r="110" spans="1:8" ht="49.9" hidden="1" customHeight="1" outlineLevel="1" x14ac:dyDescent="0.25">
      <c r="A110" s="655"/>
      <c r="B110" s="617"/>
      <c r="C110" s="157" t="s">
        <v>356</v>
      </c>
      <c r="D110" s="158">
        <v>300000000</v>
      </c>
      <c r="E110" s="158">
        <v>300000000</v>
      </c>
      <c r="F110" s="158">
        <v>0</v>
      </c>
      <c r="G110" s="158">
        <v>0</v>
      </c>
      <c r="H110" s="158">
        <v>0</v>
      </c>
    </row>
    <row r="111" spans="1:8" ht="49.9" hidden="1" customHeight="1" outlineLevel="1" x14ac:dyDescent="0.25">
      <c r="A111" s="655"/>
      <c r="B111" s="152" t="s">
        <v>352</v>
      </c>
      <c r="C111" s="157" t="s">
        <v>354</v>
      </c>
      <c r="D111" s="158">
        <v>689070000</v>
      </c>
      <c r="E111" s="158">
        <v>483246000</v>
      </c>
      <c r="F111" s="158">
        <v>344744634</v>
      </c>
      <c r="G111" s="158">
        <v>344744634</v>
      </c>
      <c r="H111" s="158">
        <v>29463567</v>
      </c>
    </row>
    <row r="112" spans="1:8" ht="49.9" hidden="1" customHeight="1" outlineLevel="1" x14ac:dyDescent="0.25">
      <c r="A112" s="655"/>
      <c r="B112" s="617" t="s">
        <v>347</v>
      </c>
      <c r="C112" s="157" t="s">
        <v>355</v>
      </c>
      <c r="D112" s="158">
        <v>1277236000</v>
      </c>
      <c r="E112" s="159">
        <v>1277236000</v>
      </c>
      <c r="F112" s="159">
        <v>1137979000</v>
      </c>
      <c r="G112" s="159">
        <v>1137979000</v>
      </c>
      <c r="H112" s="159">
        <v>52827934</v>
      </c>
    </row>
    <row r="113" spans="1:8" ht="49.9" hidden="1" customHeight="1" outlineLevel="1" x14ac:dyDescent="0.25">
      <c r="A113" s="655"/>
      <c r="B113" s="617"/>
      <c r="C113" s="157" t="s">
        <v>356</v>
      </c>
      <c r="D113" s="158">
        <v>16912000</v>
      </c>
      <c r="E113" s="159">
        <v>16912000</v>
      </c>
      <c r="F113" s="159">
        <v>0</v>
      </c>
      <c r="G113" s="159">
        <v>0</v>
      </c>
      <c r="H113" s="159">
        <v>0</v>
      </c>
    </row>
    <row r="114" spans="1:8" ht="49.9" hidden="1" customHeight="1" outlineLevel="1" x14ac:dyDescent="0.25">
      <c r="A114" s="655"/>
      <c r="B114" s="152" t="s">
        <v>344</v>
      </c>
      <c r="C114" s="157" t="s">
        <v>354</v>
      </c>
      <c r="D114" s="158">
        <v>691670000</v>
      </c>
      <c r="E114" s="158">
        <v>528678000</v>
      </c>
      <c r="F114" s="159">
        <v>516118000</v>
      </c>
      <c r="G114" s="159">
        <v>516118000</v>
      </c>
      <c r="H114" s="159">
        <v>54300600</v>
      </c>
    </row>
    <row r="115" spans="1:8" ht="49.9" hidden="1" customHeight="1" outlineLevel="1" x14ac:dyDescent="0.25">
      <c r="A115" s="618" t="s">
        <v>139</v>
      </c>
      <c r="B115" s="152" t="s">
        <v>353</v>
      </c>
      <c r="C115" s="157" t="s">
        <v>354</v>
      </c>
      <c r="D115" s="176">
        <v>1564678000</v>
      </c>
      <c r="E115" s="177">
        <v>871335614</v>
      </c>
      <c r="F115" s="177">
        <v>664703857</v>
      </c>
      <c r="G115" s="177">
        <v>664703857</v>
      </c>
      <c r="H115" s="177">
        <v>118345946</v>
      </c>
    </row>
    <row r="116" spans="1:8" ht="49.9" hidden="1" customHeight="1" outlineLevel="1" x14ac:dyDescent="0.25">
      <c r="A116" s="619"/>
      <c r="B116" s="152" t="s">
        <v>345</v>
      </c>
      <c r="C116" s="157" t="s">
        <v>354</v>
      </c>
      <c r="D116" s="177">
        <v>1374057000</v>
      </c>
      <c r="E116" s="177">
        <v>1262994000</v>
      </c>
      <c r="F116" s="177">
        <v>1215729000</v>
      </c>
      <c r="G116" s="177">
        <v>1215729000</v>
      </c>
      <c r="H116" s="177">
        <v>211528368</v>
      </c>
    </row>
    <row r="117" spans="1:8" ht="49.9" hidden="1" customHeight="1" outlineLevel="1" x14ac:dyDescent="0.25">
      <c r="A117" s="619"/>
      <c r="B117" s="617" t="s">
        <v>351</v>
      </c>
      <c r="C117" s="157" t="s">
        <v>354</v>
      </c>
      <c r="D117" s="176">
        <v>2007824000</v>
      </c>
      <c r="E117" s="176">
        <v>1636091000</v>
      </c>
      <c r="F117" s="176">
        <v>1319795150</v>
      </c>
      <c r="G117" s="176">
        <v>1319795150</v>
      </c>
      <c r="H117" s="176">
        <v>267779765</v>
      </c>
    </row>
    <row r="118" spans="1:8" ht="49.9" hidden="1" customHeight="1" outlineLevel="1" x14ac:dyDescent="0.25">
      <c r="A118" s="619"/>
      <c r="B118" s="617"/>
      <c r="C118" s="157" t="s">
        <v>355</v>
      </c>
      <c r="D118" s="176">
        <v>792348000</v>
      </c>
      <c r="E118" s="176">
        <v>792348000</v>
      </c>
      <c r="F118" s="176">
        <v>622989000</v>
      </c>
      <c r="G118" s="176">
        <v>622989000</v>
      </c>
      <c r="H118" s="176">
        <v>107635600</v>
      </c>
    </row>
    <row r="119" spans="1:8" ht="49.9" hidden="1" customHeight="1" outlineLevel="1" x14ac:dyDescent="0.25">
      <c r="A119" s="619"/>
      <c r="B119" s="617"/>
      <c r="C119" s="157" t="s">
        <v>356</v>
      </c>
      <c r="D119" s="176">
        <v>173604000</v>
      </c>
      <c r="E119" s="176">
        <v>173604000</v>
      </c>
      <c r="F119" s="176">
        <v>0</v>
      </c>
      <c r="G119" s="176">
        <v>0</v>
      </c>
      <c r="H119" s="176">
        <v>0</v>
      </c>
    </row>
    <row r="120" spans="1:8" ht="49.9" hidden="1" customHeight="1" outlineLevel="1" x14ac:dyDescent="0.25">
      <c r="A120" s="619"/>
      <c r="B120" s="617" t="s">
        <v>349</v>
      </c>
      <c r="C120" s="157" t="s">
        <v>354</v>
      </c>
      <c r="D120" s="176">
        <v>1180481000</v>
      </c>
      <c r="E120" s="176">
        <v>1153575000</v>
      </c>
      <c r="F120" s="176">
        <v>1001575000</v>
      </c>
      <c r="G120" s="176">
        <v>1001575000</v>
      </c>
      <c r="H120" s="176">
        <v>243619999</v>
      </c>
    </row>
    <row r="121" spans="1:8" ht="49.9" hidden="1" customHeight="1" outlineLevel="1" x14ac:dyDescent="0.25">
      <c r="A121" s="619"/>
      <c r="B121" s="617"/>
      <c r="C121" s="157" t="s">
        <v>356</v>
      </c>
      <c r="D121" s="176">
        <v>300000000</v>
      </c>
      <c r="E121" s="176">
        <v>300000000</v>
      </c>
      <c r="F121" s="176">
        <v>0</v>
      </c>
      <c r="G121" s="176">
        <v>0</v>
      </c>
      <c r="H121" s="176">
        <v>0</v>
      </c>
    </row>
    <row r="122" spans="1:8" ht="49.9" hidden="1" customHeight="1" outlineLevel="1" x14ac:dyDescent="0.25">
      <c r="A122" s="619"/>
      <c r="B122" s="152" t="s">
        <v>352</v>
      </c>
      <c r="C122" s="157" t="s">
        <v>354</v>
      </c>
      <c r="D122" s="176">
        <v>689070000</v>
      </c>
      <c r="E122" s="176">
        <v>483246000</v>
      </c>
      <c r="F122" s="176">
        <v>358986578</v>
      </c>
      <c r="G122" s="176">
        <v>358986578</v>
      </c>
      <c r="H122" s="176">
        <v>71775801</v>
      </c>
    </row>
    <row r="123" spans="1:8" ht="49.9" hidden="1" customHeight="1" outlineLevel="1" x14ac:dyDescent="0.25">
      <c r="A123" s="619"/>
      <c r="B123" s="617" t="s">
        <v>347</v>
      </c>
      <c r="C123" s="157" t="s">
        <v>355</v>
      </c>
      <c r="D123" s="176">
        <v>1277236000</v>
      </c>
      <c r="E123" s="177">
        <v>1277236000</v>
      </c>
      <c r="F123" s="177">
        <v>1162045000</v>
      </c>
      <c r="G123" s="177">
        <v>1162045000</v>
      </c>
      <c r="H123" s="177">
        <v>164897501</v>
      </c>
    </row>
    <row r="124" spans="1:8" ht="49.9" hidden="1" customHeight="1" outlineLevel="1" x14ac:dyDescent="0.25">
      <c r="A124" s="619"/>
      <c r="B124" s="617"/>
      <c r="C124" s="157" t="s">
        <v>356</v>
      </c>
      <c r="D124" s="176">
        <v>16912000</v>
      </c>
      <c r="E124" s="177">
        <v>16912000</v>
      </c>
      <c r="F124" s="177">
        <v>0</v>
      </c>
      <c r="G124" s="177">
        <v>0</v>
      </c>
      <c r="H124" s="177">
        <v>0</v>
      </c>
    </row>
    <row r="125" spans="1:8" ht="49.9" hidden="1" customHeight="1" outlineLevel="1" x14ac:dyDescent="0.25">
      <c r="A125" s="620"/>
      <c r="B125" s="152" t="s">
        <v>344</v>
      </c>
      <c r="C125" s="157" t="s">
        <v>354</v>
      </c>
      <c r="D125" s="176">
        <v>691670000</v>
      </c>
      <c r="E125" s="176">
        <v>528678000</v>
      </c>
      <c r="F125" s="177">
        <v>516118000</v>
      </c>
      <c r="G125" s="177">
        <v>516118000</v>
      </c>
      <c r="H125" s="177">
        <v>104126700</v>
      </c>
    </row>
    <row r="126" spans="1:8" ht="49.9" hidden="1" customHeight="1" outlineLevel="1" x14ac:dyDescent="0.25">
      <c r="A126" s="618" t="s">
        <v>140</v>
      </c>
      <c r="B126" s="152" t="s">
        <v>353</v>
      </c>
      <c r="C126" s="157" t="s">
        <v>354</v>
      </c>
      <c r="D126" s="176">
        <v>1564678000</v>
      </c>
      <c r="E126" s="177">
        <v>871335614</v>
      </c>
      <c r="F126" s="177">
        <v>871181753</v>
      </c>
      <c r="G126" s="177">
        <v>871181753</v>
      </c>
      <c r="H126" s="177">
        <v>208815171</v>
      </c>
    </row>
    <row r="127" spans="1:8" ht="49.9" hidden="1" customHeight="1" outlineLevel="1" x14ac:dyDescent="0.25">
      <c r="A127" s="619"/>
      <c r="B127" s="152" t="s">
        <v>345</v>
      </c>
      <c r="C127" s="157" t="s">
        <v>354</v>
      </c>
      <c r="D127" s="177">
        <v>1374057000</v>
      </c>
      <c r="E127" s="177">
        <v>1262994000</v>
      </c>
      <c r="F127" s="177">
        <v>1215729000</v>
      </c>
      <c r="G127" s="177">
        <v>1215729000</v>
      </c>
      <c r="H127" s="177">
        <v>386596068</v>
      </c>
    </row>
    <row r="128" spans="1:8" ht="49.9" hidden="1" customHeight="1" outlineLevel="1" x14ac:dyDescent="0.25">
      <c r="A128" s="619"/>
      <c r="B128" s="617" t="s">
        <v>351</v>
      </c>
      <c r="C128" s="157" t="s">
        <v>354</v>
      </c>
      <c r="D128" s="176">
        <v>2007824000</v>
      </c>
      <c r="E128" s="176">
        <v>1636091000</v>
      </c>
      <c r="F128" s="177">
        <v>1569526714</v>
      </c>
      <c r="G128" s="177">
        <v>1569526714</v>
      </c>
      <c r="H128" s="177">
        <v>483936563</v>
      </c>
    </row>
    <row r="129" spans="1:8" ht="49.9" hidden="1" customHeight="1" outlineLevel="1" x14ac:dyDescent="0.25">
      <c r="A129" s="619"/>
      <c r="B129" s="617"/>
      <c r="C129" s="157" t="s">
        <v>355</v>
      </c>
      <c r="D129" s="176">
        <v>792348000</v>
      </c>
      <c r="E129" s="176">
        <v>792348000</v>
      </c>
      <c r="F129" s="177">
        <v>622989000</v>
      </c>
      <c r="G129" s="177">
        <v>622989000</v>
      </c>
      <c r="H129" s="177">
        <v>189768200</v>
      </c>
    </row>
    <row r="130" spans="1:8" ht="49.9" hidden="1" customHeight="1" outlineLevel="1" x14ac:dyDescent="0.25">
      <c r="A130" s="619"/>
      <c r="B130" s="617"/>
      <c r="C130" s="157" t="s">
        <v>356</v>
      </c>
      <c r="D130" s="176">
        <v>173604000</v>
      </c>
      <c r="E130" s="176">
        <v>173604000</v>
      </c>
      <c r="F130" s="177">
        <v>0</v>
      </c>
      <c r="G130" s="177">
        <v>0</v>
      </c>
      <c r="H130" s="177">
        <v>0</v>
      </c>
    </row>
    <row r="131" spans="1:8" ht="49.9" hidden="1" customHeight="1" outlineLevel="1" x14ac:dyDescent="0.25">
      <c r="A131" s="619"/>
      <c r="B131" s="617" t="s">
        <v>349</v>
      </c>
      <c r="C131" s="157" t="s">
        <v>354</v>
      </c>
      <c r="D131" s="176">
        <v>1180481000</v>
      </c>
      <c r="E131" s="176">
        <v>1153575000</v>
      </c>
      <c r="F131" s="177">
        <v>1151575000</v>
      </c>
      <c r="G131" s="177">
        <v>1151575000</v>
      </c>
      <c r="H131" s="177">
        <v>358671999</v>
      </c>
    </row>
    <row r="132" spans="1:8" ht="49.9" hidden="1" customHeight="1" outlineLevel="1" x14ac:dyDescent="0.25">
      <c r="A132" s="619"/>
      <c r="B132" s="617"/>
      <c r="C132" s="157" t="s">
        <v>356</v>
      </c>
      <c r="D132" s="176">
        <v>300000000</v>
      </c>
      <c r="E132" s="176">
        <v>300000000</v>
      </c>
      <c r="F132" s="177">
        <v>0</v>
      </c>
      <c r="G132" s="177">
        <v>0</v>
      </c>
      <c r="H132" s="177">
        <v>0</v>
      </c>
    </row>
    <row r="133" spans="1:8" ht="49.9" hidden="1" customHeight="1" outlineLevel="1" x14ac:dyDescent="0.25">
      <c r="A133" s="619"/>
      <c r="B133" s="152" t="s">
        <v>352</v>
      </c>
      <c r="C133" s="157" t="s">
        <v>354</v>
      </c>
      <c r="D133" s="176">
        <v>689070000</v>
      </c>
      <c r="E133" s="176">
        <v>483246000</v>
      </c>
      <c r="F133" s="177">
        <v>455766292</v>
      </c>
      <c r="G133" s="177">
        <v>455766292</v>
      </c>
      <c r="H133" s="177">
        <v>122385759</v>
      </c>
    </row>
    <row r="134" spans="1:8" ht="49.9" hidden="1" customHeight="1" outlineLevel="1" x14ac:dyDescent="0.25">
      <c r="A134" s="619"/>
      <c r="B134" s="617" t="s">
        <v>347</v>
      </c>
      <c r="C134" s="157" t="s">
        <v>355</v>
      </c>
      <c r="D134" s="176">
        <v>1277236000</v>
      </c>
      <c r="E134" s="177">
        <v>1277236000</v>
      </c>
      <c r="F134" s="177">
        <v>1162045000</v>
      </c>
      <c r="G134" s="177">
        <v>1162045000</v>
      </c>
      <c r="H134" s="177">
        <v>318285901</v>
      </c>
    </row>
    <row r="135" spans="1:8" ht="49.9" hidden="1" customHeight="1" outlineLevel="1" x14ac:dyDescent="0.25">
      <c r="A135" s="619"/>
      <c r="B135" s="617"/>
      <c r="C135" s="157" t="s">
        <v>356</v>
      </c>
      <c r="D135" s="176">
        <v>16912000</v>
      </c>
      <c r="E135" s="177">
        <v>16912000</v>
      </c>
      <c r="F135" s="177">
        <v>0</v>
      </c>
      <c r="G135" s="177">
        <v>0</v>
      </c>
      <c r="H135" s="177">
        <v>0</v>
      </c>
    </row>
    <row r="136" spans="1:8" ht="49.9" hidden="1" customHeight="1" outlineLevel="1" x14ac:dyDescent="0.25">
      <c r="A136" s="620"/>
      <c r="B136" s="152" t="s">
        <v>344</v>
      </c>
      <c r="C136" s="157" t="s">
        <v>354</v>
      </c>
      <c r="D136" s="176">
        <v>691670000</v>
      </c>
      <c r="E136" s="176">
        <v>528678000</v>
      </c>
      <c r="F136" s="177">
        <v>516118000</v>
      </c>
      <c r="G136" s="177">
        <v>516118000</v>
      </c>
      <c r="H136" s="177">
        <v>163380167</v>
      </c>
    </row>
    <row r="137" spans="1:8" ht="49.9" hidden="1" customHeight="1" outlineLevel="1" x14ac:dyDescent="0.25">
      <c r="A137" s="618" t="s">
        <v>128</v>
      </c>
      <c r="B137" s="152" t="s">
        <v>353</v>
      </c>
      <c r="C137" s="157" t="s">
        <v>354</v>
      </c>
      <c r="D137" s="176">
        <v>1564678000</v>
      </c>
      <c r="E137" s="177">
        <v>871335614</v>
      </c>
      <c r="F137" s="177">
        <v>871181753</v>
      </c>
      <c r="G137" s="177">
        <v>871181753</v>
      </c>
      <c r="H137" s="177">
        <v>283862781</v>
      </c>
    </row>
    <row r="138" spans="1:8" ht="49.9" hidden="1" customHeight="1" outlineLevel="1" x14ac:dyDescent="0.25">
      <c r="A138" s="619"/>
      <c r="B138" s="152" t="s">
        <v>345</v>
      </c>
      <c r="C138" s="157" t="s">
        <v>354</v>
      </c>
      <c r="D138" s="177">
        <v>1374057000</v>
      </c>
      <c r="E138" s="177">
        <v>1262994000</v>
      </c>
      <c r="F138" s="177">
        <v>1215729000</v>
      </c>
      <c r="G138" s="177">
        <v>1240619000</v>
      </c>
      <c r="H138" s="177">
        <v>533879068</v>
      </c>
    </row>
    <row r="139" spans="1:8" ht="49.9" hidden="1" customHeight="1" outlineLevel="1" x14ac:dyDescent="0.25">
      <c r="A139" s="619"/>
      <c r="B139" s="617" t="s">
        <v>351</v>
      </c>
      <c r="C139" s="157" t="s">
        <v>354</v>
      </c>
      <c r="D139" s="176">
        <v>2007824000</v>
      </c>
      <c r="E139" s="176">
        <v>1636091000</v>
      </c>
      <c r="F139" s="177">
        <v>1569526714</v>
      </c>
      <c r="G139" s="177">
        <v>1569526714</v>
      </c>
      <c r="H139" s="177">
        <v>619554113</v>
      </c>
    </row>
    <row r="140" spans="1:8" ht="49.9" hidden="1" customHeight="1" outlineLevel="1" x14ac:dyDescent="0.25">
      <c r="A140" s="619"/>
      <c r="B140" s="617"/>
      <c r="C140" s="157" t="s">
        <v>355</v>
      </c>
      <c r="D140" s="176">
        <v>792348000</v>
      </c>
      <c r="E140" s="176">
        <v>792348000</v>
      </c>
      <c r="F140" s="177">
        <v>622989000</v>
      </c>
      <c r="G140" s="177">
        <v>622989000</v>
      </c>
      <c r="H140" s="177">
        <v>262045200</v>
      </c>
    </row>
    <row r="141" spans="1:8" ht="49.9" hidden="1" customHeight="1" outlineLevel="1" x14ac:dyDescent="0.25">
      <c r="A141" s="619"/>
      <c r="B141" s="617"/>
      <c r="C141" s="157" t="s">
        <v>356</v>
      </c>
      <c r="D141" s="176">
        <v>173604000</v>
      </c>
      <c r="E141" s="176">
        <v>173604000</v>
      </c>
      <c r="F141" s="177">
        <v>0</v>
      </c>
      <c r="G141" s="177">
        <v>0</v>
      </c>
      <c r="H141" s="177">
        <v>0</v>
      </c>
    </row>
    <row r="142" spans="1:8" ht="49.9" hidden="1" customHeight="1" outlineLevel="1" x14ac:dyDescent="0.25">
      <c r="A142" s="619"/>
      <c r="B142" s="617" t="s">
        <v>349</v>
      </c>
      <c r="C142" s="157" t="s">
        <v>354</v>
      </c>
      <c r="D142" s="176">
        <v>1180481000</v>
      </c>
      <c r="E142" s="176">
        <v>1153575000</v>
      </c>
      <c r="F142" s="177">
        <v>1151575000</v>
      </c>
      <c r="G142" s="177">
        <v>1151575000</v>
      </c>
      <c r="H142" s="177">
        <v>470285999</v>
      </c>
    </row>
    <row r="143" spans="1:8" ht="49.9" hidden="1" customHeight="1" outlineLevel="1" x14ac:dyDescent="0.25">
      <c r="A143" s="619"/>
      <c r="B143" s="617"/>
      <c r="C143" s="157" t="s">
        <v>356</v>
      </c>
      <c r="D143" s="176">
        <v>300000000</v>
      </c>
      <c r="E143" s="176">
        <v>300000000</v>
      </c>
      <c r="F143" s="177">
        <v>0</v>
      </c>
      <c r="G143" s="177">
        <v>0</v>
      </c>
      <c r="H143" s="177">
        <v>0</v>
      </c>
    </row>
    <row r="144" spans="1:8" ht="49.9" hidden="1" customHeight="1" outlineLevel="1" x14ac:dyDescent="0.25">
      <c r="A144" s="619"/>
      <c r="B144" s="152" t="s">
        <v>352</v>
      </c>
      <c r="C144" s="157" t="s">
        <v>354</v>
      </c>
      <c r="D144" s="176">
        <v>689070000</v>
      </c>
      <c r="E144" s="176">
        <v>483246000</v>
      </c>
      <c r="F144" s="177">
        <v>455766292</v>
      </c>
      <c r="G144" s="177">
        <v>455766292</v>
      </c>
      <c r="H144" s="177">
        <v>175150260</v>
      </c>
    </row>
    <row r="145" spans="1:8" ht="49.9" hidden="1" customHeight="1" outlineLevel="1" x14ac:dyDescent="0.25">
      <c r="A145" s="619"/>
      <c r="B145" s="617" t="s">
        <v>347</v>
      </c>
      <c r="C145" s="157" t="s">
        <v>355</v>
      </c>
      <c r="D145" s="176">
        <v>1277236000</v>
      </c>
      <c r="E145" s="177">
        <v>1277236000</v>
      </c>
      <c r="F145" s="177">
        <v>1162045000</v>
      </c>
      <c r="G145" s="177">
        <v>1162045000</v>
      </c>
      <c r="H145" s="177">
        <v>452002301</v>
      </c>
    </row>
    <row r="146" spans="1:8" ht="49.9" hidden="1" customHeight="1" outlineLevel="1" x14ac:dyDescent="0.25">
      <c r="A146" s="619"/>
      <c r="B146" s="617"/>
      <c r="C146" s="157" t="s">
        <v>356</v>
      </c>
      <c r="D146" s="176">
        <v>16912000</v>
      </c>
      <c r="E146" s="177">
        <v>16912000</v>
      </c>
      <c r="F146" s="177">
        <v>0</v>
      </c>
      <c r="G146" s="177">
        <v>0</v>
      </c>
      <c r="H146" s="177">
        <v>0</v>
      </c>
    </row>
    <row r="147" spans="1:8" ht="49.9" hidden="1" customHeight="1" outlineLevel="1" x14ac:dyDescent="0.25">
      <c r="A147" s="620"/>
      <c r="B147" s="152" t="s">
        <v>344</v>
      </c>
      <c r="C147" s="157" t="s">
        <v>354</v>
      </c>
      <c r="D147" s="176">
        <v>691670000</v>
      </c>
      <c r="E147" s="176">
        <v>528678000</v>
      </c>
      <c r="F147" s="177">
        <v>516118000</v>
      </c>
      <c r="G147" s="177">
        <v>516118000</v>
      </c>
      <c r="H147" s="177">
        <v>222122167</v>
      </c>
    </row>
    <row r="148" spans="1:8" ht="51" hidden="1" customHeight="1" outlineLevel="1" x14ac:dyDescent="0.25">
      <c r="A148" s="618" t="s">
        <v>129</v>
      </c>
      <c r="B148" s="152" t="s">
        <v>353</v>
      </c>
      <c r="C148" s="157" t="s">
        <v>354</v>
      </c>
      <c r="D148" s="176">
        <v>1564678000</v>
      </c>
      <c r="E148" s="177">
        <v>1598678000</v>
      </c>
      <c r="F148" s="177">
        <v>871181753</v>
      </c>
      <c r="G148" s="177">
        <v>871181753</v>
      </c>
      <c r="H148" s="177">
        <v>437562435</v>
      </c>
    </row>
    <row r="149" spans="1:8" ht="51" hidden="1" customHeight="1" outlineLevel="1" x14ac:dyDescent="0.25">
      <c r="A149" s="619"/>
      <c r="B149" s="152" t="s">
        <v>345</v>
      </c>
      <c r="C149" s="157" t="s">
        <v>354</v>
      </c>
      <c r="D149" s="177">
        <v>1374057000</v>
      </c>
      <c r="E149" s="177">
        <v>1374057000</v>
      </c>
      <c r="F149" s="177">
        <v>1240619000</v>
      </c>
      <c r="G149" s="177">
        <v>1240619000</v>
      </c>
      <c r="H149" s="177">
        <v>676839068</v>
      </c>
    </row>
    <row r="150" spans="1:8" ht="51" hidden="1" customHeight="1" outlineLevel="1" x14ac:dyDescent="0.25">
      <c r="A150" s="619"/>
      <c r="B150" s="617" t="s">
        <v>351</v>
      </c>
      <c r="C150" s="157" t="s">
        <v>354</v>
      </c>
      <c r="D150" s="176">
        <v>2007824000</v>
      </c>
      <c r="E150" s="176">
        <v>1948824000</v>
      </c>
      <c r="F150" s="177">
        <v>1569526714</v>
      </c>
      <c r="G150" s="177">
        <v>1569526714</v>
      </c>
      <c r="H150" s="177">
        <v>753836463</v>
      </c>
    </row>
    <row r="151" spans="1:8" ht="51" hidden="1" customHeight="1" outlineLevel="1" x14ac:dyDescent="0.25">
      <c r="A151" s="619"/>
      <c r="B151" s="617"/>
      <c r="C151" s="157" t="s">
        <v>355</v>
      </c>
      <c r="D151" s="176">
        <v>792348000</v>
      </c>
      <c r="E151" s="176">
        <v>792348000</v>
      </c>
      <c r="F151" s="177">
        <v>622989000</v>
      </c>
      <c r="G151" s="177">
        <v>622989000</v>
      </c>
      <c r="H151" s="177">
        <v>334322200</v>
      </c>
    </row>
    <row r="152" spans="1:8" ht="51" hidden="1" customHeight="1" outlineLevel="1" x14ac:dyDescent="0.25">
      <c r="A152" s="619"/>
      <c r="B152" s="617"/>
      <c r="C152" s="157" t="s">
        <v>356</v>
      </c>
      <c r="D152" s="176">
        <v>173604000</v>
      </c>
      <c r="E152" s="176">
        <v>173604000</v>
      </c>
      <c r="F152" s="177">
        <v>0</v>
      </c>
      <c r="G152" s="177">
        <v>0</v>
      </c>
      <c r="H152" s="177">
        <v>0</v>
      </c>
    </row>
    <row r="153" spans="1:8" ht="51" hidden="1" customHeight="1" outlineLevel="1" x14ac:dyDescent="0.25">
      <c r="A153" s="619"/>
      <c r="B153" s="617" t="s">
        <v>349</v>
      </c>
      <c r="C153" s="157" t="s">
        <v>354</v>
      </c>
      <c r="D153" s="176">
        <v>1180481000</v>
      </c>
      <c r="E153" s="176">
        <v>1180481000</v>
      </c>
      <c r="F153" s="177">
        <v>1151575000</v>
      </c>
      <c r="G153" s="177">
        <v>1151575000</v>
      </c>
      <c r="H153" s="177">
        <v>581899999</v>
      </c>
    </row>
    <row r="154" spans="1:8" ht="51" hidden="1" customHeight="1" outlineLevel="1" x14ac:dyDescent="0.25">
      <c r="A154" s="619"/>
      <c r="B154" s="617"/>
      <c r="C154" s="157" t="s">
        <v>356</v>
      </c>
      <c r="D154" s="176">
        <v>300000000</v>
      </c>
      <c r="E154" s="176">
        <v>300000000</v>
      </c>
      <c r="F154" s="177">
        <v>0</v>
      </c>
      <c r="G154" s="177">
        <v>0</v>
      </c>
      <c r="H154" s="177">
        <v>0</v>
      </c>
    </row>
    <row r="155" spans="1:8" ht="51" hidden="1" customHeight="1" outlineLevel="1" x14ac:dyDescent="0.25">
      <c r="A155" s="619"/>
      <c r="B155" s="152" t="s">
        <v>352</v>
      </c>
      <c r="C155" s="157" t="s">
        <v>354</v>
      </c>
      <c r="D155" s="176">
        <v>689070000</v>
      </c>
      <c r="E155" s="176">
        <v>714070000</v>
      </c>
      <c r="F155" s="177">
        <v>492530292</v>
      </c>
      <c r="G155" s="177">
        <v>492530292</v>
      </c>
      <c r="H155" s="177">
        <v>214552860</v>
      </c>
    </row>
    <row r="156" spans="1:8" ht="51" hidden="1" customHeight="1" outlineLevel="1" x14ac:dyDescent="0.25">
      <c r="A156" s="619"/>
      <c r="B156" s="617" t="s">
        <v>347</v>
      </c>
      <c r="C156" s="157" t="s">
        <v>355</v>
      </c>
      <c r="D156" s="176">
        <v>1277236000</v>
      </c>
      <c r="E156" s="177">
        <v>1277236000</v>
      </c>
      <c r="F156" s="177">
        <v>1162045000</v>
      </c>
      <c r="G156" s="177">
        <v>1162045000</v>
      </c>
      <c r="H156" s="177">
        <v>586299268</v>
      </c>
    </row>
    <row r="157" spans="1:8" ht="51" hidden="1" customHeight="1" outlineLevel="1" x14ac:dyDescent="0.25">
      <c r="A157" s="619"/>
      <c r="B157" s="617"/>
      <c r="C157" s="157" t="s">
        <v>356</v>
      </c>
      <c r="D157" s="176">
        <v>16912000</v>
      </c>
      <c r="E157" s="177">
        <v>16912000</v>
      </c>
      <c r="F157" s="177">
        <v>0</v>
      </c>
      <c r="G157" s="177">
        <v>0</v>
      </c>
      <c r="H157" s="177">
        <v>0</v>
      </c>
    </row>
    <row r="158" spans="1:8" ht="51" hidden="1" customHeight="1" outlineLevel="1" x14ac:dyDescent="0.25">
      <c r="A158" s="620"/>
      <c r="B158" s="152" t="s">
        <v>344</v>
      </c>
      <c r="C158" s="157" t="s">
        <v>354</v>
      </c>
      <c r="D158" s="176">
        <v>691670000</v>
      </c>
      <c r="E158" s="176">
        <v>691670000</v>
      </c>
      <c r="F158" s="177">
        <v>516118000</v>
      </c>
      <c r="G158" s="177">
        <v>516118000</v>
      </c>
      <c r="H158" s="177">
        <v>280864167</v>
      </c>
    </row>
    <row r="159" spans="1:8" ht="49.9" hidden="1" customHeight="1" outlineLevel="1" x14ac:dyDescent="0.25">
      <c r="A159" s="618" t="s">
        <v>130</v>
      </c>
      <c r="B159" s="152" t="s">
        <v>353</v>
      </c>
      <c r="C159" s="157" t="s">
        <v>354</v>
      </c>
      <c r="D159" s="176">
        <v>1564678000</v>
      </c>
      <c r="E159" s="177">
        <v>1534521300</v>
      </c>
      <c r="F159" s="177">
        <v>898822087</v>
      </c>
      <c r="G159" s="177">
        <v>898822087</v>
      </c>
      <c r="H159" s="177">
        <v>529153691</v>
      </c>
    </row>
    <row r="160" spans="1:8" ht="49.9" hidden="1" customHeight="1" outlineLevel="1" x14ac:dyDescent="0.25">
      <c r="A160" s="619"/>
      <c r="B160" s="152" t="s">
        <v>345</v>
      </c>
      <c r="C160" s="157" t="s">
        <v>354</v>
      </c>
      <c r="D160" s="177">
        <v>1374057000</v>
      </c>
      <c r="E160" s="177">
        <v>1389997314</v>
      </c>
      <c r="F160" s="177">
        <v>1256382667</v>
      </c>
      <c r="G160" s="177">
        <v>1256382667</v>
      </c>
      <c r="H160" s="177">
        <v>826270468</v>
      </c>
    </row>
    <row r="161" spans="1:8" ht="49.9" hidden="1" customHeight="1" outlineLevel="1" x14ac:dyDescent="0.25">
      <c r="A161" s="619"/>
      <c r="B161" s="617" t="s">
        <v>351</v>
      </c>
      <c r="C161" s="157" t="s">
        <v>354</v>
      </c>
      <c r="D161" s="176">
        <v>2007824000</v>
      </c>
      <c r="E161" s="176">
        <v>1964948316</v>
      </c>
      <c r="F161" s="177">
        <v>1574880714</v>
      </c>
      <c r="G161" s="177">
        <v>1574880714</v>
      </c>
      <c r="H161" s="177">
        <v>928120702</v>
      </c>
    </row>
    <row r="162" spans="1:8" ht="49.9" hidden="1" customHeight="1" outlineLevel="1" x14ac:dyDescent="0.25">
      <c r="A162" s="619"/>
      <c r="B162" s="617"/>
      <c r="C162" s="157" t="s">
        <v>355</v>
      </c>
      <c r="D162" s="176">
        <v>792348000</v>
      </c>
      <c r="E162" s="176">
        <v>792348000</v>
      </c>
      <c r="F162" s="177">
        <v>630861834</v>
      </c>
      <c r="G162" s="177">
        <v>630861834</v>
      </c>
      <c r="H162" s="177">
        <v>403161200</v>
      </c>
    </row>
    <row r="163" spans="1:8" ht="49.9" hidden="1" customHeight="1" outlineLevel="1" x14ac:dyDescent="0.25">
      <c r="A163" s="619"/>
      <c r="B163" s="617"/>
      <c r="C163" s="157" t="s">
        <v>356</v>
      </c>
      <c r="D163" s="176">
        <v>173604000</v>
      </c>
      <c r="E163" s="176">
        <v>173604000</v>
      </c>
      <c r="F163" s="177">
        <v>0</v>
      </c>
      <c r="G163" s="177">
        <v>0</v>
      </c>
      <c r="H163" s="177">
        <v>0</v>
      </c>
    </row>
    <row r="164" spans="1:8" ht="49.9" hidden="1" customHeight="1" outlineLevel="1" x14ac:dyDescent="0.25">
      <c r="A164" s="619"/>
      <c r="B164" s="617" t="s">
        <v>349</v>
      </c>
      <c r="C164" s="157" t="s">
        <v>354</v>
      </c>
      <c r="D164" s="176">
        <v>1180481000</v>
      </c>
      <c r="E164" s="176">
        <v>1287481000</v>
      </c>
      <c r="F164" s="177">
        <v>1151575000</v>
      </c>
      <c r="G164" s="177">
        <v>1151575000</v>
      </c>
      <c r="H164" s="177">
        <v>693513999</v>
      </c>
    </row>
    <row r="165" spans="1:8" ht="49.9" hidden="1" customHeight="1" outlineLevel="1" x14ac:dyDescent="0.25">
      <c r="A165" s="619"/>
      <c r="B165" s="617"/>
      <c r="C165" s="157" t="s">
        <v>356</v>
      </c>
      <c r="D165" s="176">
        <v>300000000</v>
      </c>
      <c r="E165" s="176">
        <v>300000000</v>
      </c>
      <c r="F165" s="177">
        <v>0</v>
      </c>
      <c r="G165" s="177">
        <v>0</v>
      </c>
      <c r="H165" s="177">
        <v>0</v>
      </c>
    </row>
    <row r="166" spans="1:8" ht="49.9" hidden="1" customHeight="1" outlineLevel="1" x14ac:dyDescent="0.25">
      <c r="A166" s="619"/>
      <c r="B166" s="152" t="s">
        <v>352</v>
      </c>
      <c r="C166" s="157" t="s">
        <v>354</v>
      </c>
      <c r="D166" s="176">
        <v>689070000</v>
      </c>
      <c r="E166" s="176">
        <v>749390000</v>
      </c>
      <c r="F166" s="177">
        <v>492530292</v>
      </c>
      <c r="G166" s="177">
        <v>492530292</v>
      </c>
      <c r="H166" s="177">
        <v>254011027</v>
      </c>
    </row>
    <row r="167" spans="1:8" ht="49.9" hidden="1" customHeight="1" outlineLevel="1" x14ac:dyDescent="0.25">
      <c r="A167" s="619"/>
      <c r="B167" s="617" t="s">
        <v>347</v>
      </c>
      <c r="C167" s="157" t="s">
        <v>355</v>
      </c>
      <c r="D167" s="176">
        <v>1277236000</v>
      </c>
      <c r="E167" s="177">
        <v>1277236000</v>
      </c>
      <c r="F167" s="177">
        <v>1169728500</v>
      </c>
      <c r="G167" s="177">
        <v>1169728500</v>
      </c>
      <c r="H167" s="177">
        <v>730050201</v>
      </c>
    </row>
    <row r="168" spans="1:8" ht="49.9" hidden="1" customHeight="1" outlineLevel="1" x14ac:dyDescent="0.25">
      <c r="A168" s="619"/>
      <c r="B168" s="617"/>
      <c r="C168" s="157" t="s">
        <v>356</v>
      </c>
      <c r="D168" s="176">
        <v>16912000</v>
      </c>
      <c r="E168" s="177">
        <v>16912000</v>
      </c>
      <c r="F168" s="177">
        <v>16912000</v>
      </c>
      <c r="G168" s="177">
        <v>16912000</v>
      </c>
      <c r="H168" s="177">
        <v>0</v>
      </c>
    </row>
    <row r="169" spans="1:8" ht="49.9" hidden="1" customHeight="1" outlineLevel="1" x14ac:dyDescent="0.25">
      <c r="A169" s="620"/>
      <c r="B169" s="152" t="s">
        <v>344</v>
      </c>
      <c r="C169" s="157" t="s">
        <v>354</v>
      </c>
      <c r="D169" s="176">
        <v>691670000</v>
      </c>
      <c r="E169" s="176">
        <v>557942070</v>
      </c>
      <c r="F169" s="177">
        <v>516118000</v>
      </c>
      <c r="G169" s="177">
        <v>516118000</v>
      </c>
      <c r="H169" s="177">
        <v>339606167</v>
      </c>
    </row>
    <row r="170" spans="1:8" ht="49.9" hidden="1" customHeight="1" outlineLevel="1" x14ac:dyDescent="0.25">
      <c r="A170" s="618" t="s">
        <v>131</v>
      </c>
      <c r="B170" s="152" t="s">
        <v>353</v>
      </c>
      <c r="C170" s="157" t="s">
        <v>354</v>
      </c>
      <c r="D170" s="176">
        <v>1564678000</v>
      </c>
      <c r="E170" s="177">
        <v>1515081614</v>
      </c>
      <c r="F170" s="177">
        <v>1065487169</v>
      </c>
      <c r="G170" s="177">
        <v>1065487169</v>
      </c>
      <c r="H170" s="177">
        <v>616494200</v>
      </c>
    </row>
    <row r="171" spans="1:8" ht="49.9" hidden="1" customHeight="1" outlineLevel="1" x14ac:dyDescent="0.25">
      <c r="A171" s="619"/>
      <c r="B171" s="152"/>
      <c r="C171" s="157" t="s">
        <v>502</v>
      </c>
      <c r="D171" s="176">
        <v>0</v>
      </c>
      <c r="E171" s="177">
        <v>19439686</v>
      </c>
      <c r="F171" s="177">
        <v>19439686</v>
      </c>
      <c r="G171" s="177">
        <v>19439686</v>
      </c>
      <c r="H171" s="177">
        <v>0</v>
      </c>
    </row>
    <row r="172" spans="1:8" ht="49.9" hidden="1" customHeight="1" outlineLevel="1" x14ac:dyDescent="0.25">
      <c r="A172" s="619"/>
      <c r="B172" s="203" t="s">
        <v>345</v>
      </c>
      <c r="C172" s="157" t="s">
        <v>354</v>
      </c>
      <c r="D172" s="176">
        <v>1374057000</v>
      </c>
      <c r="E172" s="177">
        <v>1389997314</v>
      </c>
      <c r="F172" s="177">
        <v>1299130533</v>
      </c>
      <c r="G172" s="177">
        <v>1299130533</v>
      </c>
      <c r="H172" s="177">
        <v>974208468</v>
      </c>
    </row>
    <row r="173" spans="1:8" ht="49.9" hidden="1" customHeight="1" outlineLevel="1" x14ac:dyDescent="0.25">
      <c r="A173" s="619"/>
      <c r="B173" s="203" t="s">
        <v>351</v>
      </c>
      <c r="C173" s="157" t="s">
        <v>354</v>
      </c>
      <c r="D173" s="176">
        <v>2007824000</v>
      </c>
      <c r="E173" s="177">
        <v>1964948316</v>
      </c>
      <c r="F173" s="177">
        <v>1606130852</v>
      </c>
      <c r="G173" s="177">
        <v>1606130852</v>
      </c>
      <c r="H173" s="177">
        <v>1098028595</v>
      </c>
    </row>
    <row r="174" spans="1:8" ht="49.9" hidden="1" customHeight="1" outlineLevel="1" x14ac:dyDescent="0.25">
      <c r="A174" s="619"/>
      <c r="B174" s="203"/>
      <c r="C174" s="157" t="s">
        <v>355</v>
      </c>
      <c r="D174" s="176">
        <v>792348000</v>
      </c>
      <c r="E174" s="177">
        <v>792348000</v>
      </c>
      <c r="F174" s="177">
        <v>637164834</v>
      </c>
      <c r="G174" s="177">
        <v>637164834</v>
      </c>
      <c r="H174" s="177">
        <v>478876200</v>
      </c>
    </row>
    <row r="175" spans="1:8" ht="49.9" hidden="1" customHeight="1" outlineLevel="1" x14ac:dyDescent="0.25">
      <c r="A175" s="619"/>
      <c r="B175" s="203"/>
      <c r="C175" s="157" t="s">
        <v>356</v>
      </c>
      <c r="D175" s="176">
        <v>173604000</v>
      </c>
      <c r="E175" s="177">
        <v>173604000</v>
      </c>
      <c r="F175" s="177">
        <v>0.01</v>
      </c>
      <c r="G175" s="177">
        <v>0</v>
      </c>
      <c r="H175" s="177">
        <v>0</v>
      </c>
    </row>
    <row r="176" spans="1:8" ht="49.9" hidden="1" customHeight="1" outlineLevel="1" x14ac:dyDescent="0.25">
      <c r="A176" s="619"/>
      <c r="B176" s="203" t="s">
        <v>349</v>
      </c>
      <c r="C176" s="157" t="s">
        <v>354</v>
      </c>
      <c r="D176" s="176">
        <v>1180481000</v>
      </c>
      <c r="E176" s="177">
        <v>1287481000</v>
      </c>
      <c r="F176" s="177">
        <v>1163968667</v>
      </c>
      <c r="G176" s="177">
        <v>1163968667</v>
      </c>
      <c r="H176" s="177">
        <v>805127999</v>
      </c>
    </row>
    <row r="177" spans="1:9" ht="49.9" hidden="1" customHeight="1" outlineLevel="1" x14ac:dyDescent="0.25">
      <c r="A177" s="619"/>
      <c r="B177" s="203"/>
      <c r="C177" s="157" t="s">
        <v>356</v>
      </c>
      <c r="D177" s="176">
        <v>300000000</v>
      </c>
      <c r="E177" s="177">
        <v>300000000</v>
      </c>
      <c r="F177" s="177">
        <v>0.01</v>
      </c>
      <c r="G177" s="177">
        <v>0</v>
      </c>
      <c r="H177" s="177">
        <v>0</v>
      </c>
    </row>
    <row r="178" spans="1:9" ht="49.9" hidden="1" customHeight="1" outlineLevel="1" x14ac:dyDescent="0.25">
      <c r="A178" s="619"/>
      <c r="B178" s="152" t="s">
        <v>352</v>
      </c>
      <c r="C178" s="157" t="s">
        <v>354</v>
      </c>
      <c r="D178" s="176">
        <v>689070000</v>
      </c>
      <c r="E178" s="177">
        <v>749390000</v>
      </c>
      <c r="F178" s="177">
        <v>504299959</v>
      </c>
      <c r="G178" s="177">
        <v>504299959</v>
      </c>
      <c r="H178" s="177">
        <v>295252027</v>
      </c>
    </row>
    <row r="179" spans="1:9" ht="49.9" hidden="1" customHeight="1" outlineLevel="1" x14ac:dyDescent="0.25">
      <c r="A179" s="619"/>
      <c r="B179" s="203" t="s">
        <v>347</v>
      </c>
      <c r="C179" s="157" t="s">
        <v>355</v>
      </c>
      <c r="D179" s="176">
        <v>1277236000</v>
      </c>
      <c r="E179" s="177">
        <v>1277236000</v>
      </c>
      <c r="F179" s="177">
        <v>1185694167</v>
      </c>
      <c r="G179" s="177">
        <v>1185694167</v>
      </c>
      <c r="H179" s="177">
        <v>869117701</v>
      </c>
    </row>
    <row r="180" spans="1:9" ht="49.9" hidden="1" customHeight="1" outlineLevel="1" x14ac:dyDescent="0.25">
      <c r="A180" s="619"/>
      <c r="B180" s="203"/>
      <c r="C180" s="157" t="s">
        <v>356</v>
      </c>
      <c r="D180" s="176">
        <v>16912000</v>
      </c>
      <c r="E180" s="177">
        <v>16912000</v>
      </c>
      <c r="F180" s="177">
        <v>16912000</v>
      </c>
      <c r="G180" s="177">
        <v>16912000</v>
      </c>
      <c r="H180" s="177">
        <v>0</v>
      </c>
    </row>
    <row r="181" spans="1:9" ht="49.9" hidden="1" customHeight="1" outlineLevel="1" x14ac:dyDescent="0.25">
      <c r="A181" s="620"/>
      <c r="B181" s="152" t="s">
        <v>344</v>
      </c>
      <c r="C181" s="157" t="s">
        <v>354</v>
      </c>
      <c r="D181" s="176">
        <v>691670000</v>
      </c>
      <c r="E181" s="177">
        <v>557942070</v>
      </c>
      <c r="F181" s="177">
        <v>543649699</v>
      </c>
      <c r="G181" s="177">
        <v>543649699</v>
      </c>
      <c r="H181" s="177">
        <v>398348167</v>
      </c>
    </row>
    <row r="182" spans="1:9" ht="49.9" hidden="1" customHeight="1" outlineLevel="1" x14ac:dyDescent="0.25">
      <c r="A182" s="618" t="s">
        <v>132</v>
      </c>
      <c r="B182" s="635" t="s">
        <v>353</v>
      </c>
      <c r="C182" s="157" t="s">
        <v>354</v>
      </c>
      <c r="D182" s="176">
        <v>1564678000</v>
      </c>
      <c r="E182" s="177">
        <v>1515081614</v>
      </c>
      <c r="F182" s="177">
        <v>1291169211</v>
      </c>
      <c r="G182" s="177">
        <v>1291169211</v>
      </c>
      <c r="H182" s="177">
        <v>772252276</v>
      </c>
      <c r="I182" s="206"/>
    </row>
    <row r="183" spans="1:9" ht="49.9" hidden="1" customHeight="1" outlineLevel="1" x14ac:dyDescent="0.25">
      <c r="A183" s="619"/>
      <c r="B183" s="636"/>
      <c r="C183" s="157" t="s">
        <v>502</v>
      </c>
      <c r="D183" s="176">
        <v>0</v>
      </c>
      <c r="E183" s="177">
        <v>19439686</v>
      </c>
      <c r="F183" s="177">
        <v>19439686</v>
      </c>
      <c r="G183" s="177">
        <v>19439686</v>
      </c>
      <c r="H183" s="177">
        <v>19439686</v>
      </c>
      <c r="I183" s="206"/>
    </row>
    <row r="184" spans="1:9" ht="49.9" hidden="1" customHeight="1" outlineLevel="1" x14ac:dyDescent="0.25">
      <c r="A184" s="619"/>
      <c r="B184" s="152" t="s">
        <v>345</v>
      </c>
      <c r="C184" s="157" t="s">
        <v>354</v>
      </c>
      <c r="D184" s="177">
        <v>1374057000</v>
      </c>
      <c r="E184" s="177">
        <v>1389997314</v>
      </c>
      <c r="F184" s="177">
        <v>1325918200</v>
      </c>
      <c r="G184" s="177">
        <v>1325918200</v>
      </c>
      <c r="H184" s="177">
        <v>1113730468</v>
      </c>
      <c r="I184" s="206"/>
    </row>
    <row r="185" spans="1:9" ht="49.9" hidden="1" customHeight="1" outlineLevel="1" x14ac:dyDescent="0.25">
      <c r="A185" s="619"/>
      <c r="B185" s="617" t="s">
        <v>351</v>
      </c>
      <c r="C185" s="157" t="s">
        <v>354</v>
      </c>
      <c r="D185" s="176">
        <v>2007824000</v>
      </c>
      <c r="E185" s="176">
        <v>1964948316</v>
      </c>
      <c r="F185" s="177">
        <v>1674596499</v>
      </c>
      <c r="G185" s="177">
        <v>1674596499</v>
      </c>
      <c r="H185" s="177">
        <v>1218624163</v>
      </c>
      <c r="I185" s="206"/>
    </row>
    <row r="186" spans="1:9" ht="49.9" hidden="1" customHeight="1" outlineLevel="1" x14ac:dyDescent="0.25">
      <c r="A186" s="619"/>
      <c r="B186" s="617"/>
      <c r="C186" s="157" t="s">
        <v>355</v>
      </c>
      <c r="D186" s="176">
        <v>792348000</v>
      </c>
      <c r="E186" s="176">
        <v>792348000</v>
      </c>
      <c r="F186" s="177">
        <v>650343834</v>
      </c>
      <c r="G186" s="177">
        <v>650343834</v>
      </c>
      <c r="H186" s="177">
        <v>551153200</v>
      </c>
      <c r="I186" s="206"/>
    </row>
    <row r="187" spans="1:9" ht="49.9" hidden="1" customHeight="1" outlineLevel="1" x14ac:dyDescent="0.25">
      <c r="A187" s="619"/>
      <c r="B187" s="617"/>
      <c r="C187" s="157" t="s">
        <v>356</v>
      </c>
      <c r="D187" s="176">
        <v>173604000</v>
      </c>
      <c r="E187" s="176">
        <v>173604000</v>
      </c>
      <c r="F187" s="177">
        <v>0.01</v>
      </c>
      <c r="G187" s="177">
        <v>0</v>
      </c>
      <c r="H187" s="177">
        <v>0</v>
      </c>
      <c r="I187" s="206"/>
    </row>
    <row r="188" spans="1:9" ht="49.9" hidden="1" customHeight="1" outlineLevel="1" x14ac:dyDescent="0.25">
      <c r="A188" s="619"/>
      <c r="B188" s="617" t="s">
        <v>349</v>
      </c>
      <c r="C188" s="157" t="s">
        <v>354</v>
      </c>
      <c r="D188" s="176">
        <v>1180481000</v>
      </c>
      <c r="E188" s="176">
        <v>1287481000</v>
      </c>
      <c r="F188" s="177">
        <v>1219287834</v>
      </c>
      <c r="G188" s="177">
        <v>1219287834</v>
      </c>
      <c r="H188" s="177">
        <v>939227611</v>
      </c>
      <c r="I188" s="206"/>
    </row>
    <row r="189" spans="1:9" ht="49.9" hidden="1" customHeight="1" outlineLevel="1" x14ac:dyDescent="0.25">
      <c r="A189" s="619"/>
      <c r="B189" s="617"/>
      <c r="C189" s="157" t="s">
        <v>356</v>
      </c>
      <c r="D189" s="176">
        <v>300000000</v>
      </c>
      <c r="E189" s="176">
        <v>300000000</v>
      </c>
      <c r="F189" s="177">
        <v>300000000</v>
      </c>
      <c r="G189" s="177">
        <v>300000000</v>
      </c>
      <c r="H189" s="177">
        <v>0</v>
      </c>
      <c r="I189" s="206"/>
    </row>
    <row r="190" spans="1:9" ht="49.9" hidden="1" customHeight="1" outlineLevel="1" x14ac:dyDescent="0.25">
      <c r="A190" s="619"/>
      <c r="B190" s="152" t="s">
        <v>352</v>
      </c>
      <c r="C190" s="157" t="s">
        <v>354</v>
      </c>
      <c r="D190" s="176">
        <v>689070000</v>
      </c>
      <c r="E190" s="176">
        <v>749390000</v>
      </c>
      <c r="F190" s="177">
        <v>523621459</v>
      </c>
      <c r="G190" s="177">
        <v>523621459</v>
      </c>
      <c r="H190" s="177">
        <v>340211694</v>
      </c>
      <c r="I190" s="206"/>
    </row>
    <row r="191" spans="1:9" ht="49.9" hidden="1" customHeight="1" outlineLevel="1" x14ac:dyDescent="0.25">
      <c r="A191" s="619"/>
      <c r="B191" s="617" t="s">
        <v>347</v>
      </c>
      <c r="C191" s="157" t="s">
        <v>355</v>
      </c>
      <c r="D191" s="176">
        <v>1277236000</v>
      </c>
      <c r="E191" s="177">
        <v>1277236000</v>
      </c>
      <c r="F191" s="177">
        <v>1247264766</v>
      </c>
      <c r="G191" s="177">
        <v>1247264766</v>
      </c>
      <c r="H191" s="177">
        <v>990097101</v>
      </c>
      <c r="I191" s="206"/>
    </row>
    <row r="192" spans="1:9" ht="49.9" hidden="1" customHeight="1" outlineLevel="1" x14ac:dyDescent="0.25">
      <c r="A192" s="619"/>
      <c r="B192" s="617"/>
      <c r="C192" s="157" t="s">
        <v>356</v>
      </c>
      <c r="D192" s="176">
        <v>16912000</v>
      </c>
      <c r="E192" s="177">
        <v>16912000</v>
      </c>
      <c r="F192" s="177">
        <v>16912000</v>
      </c>
      <c r="G192" s="177">
        <v>16912000</v>
      </c>
      <c r="H192" s="177">
        <v>0</v>
      </c>
      <c r="I192" s="206"/>
    </row>
    <row r="193" spans="1:9" ht="49.9" hidden="1" customHeight="1" outlineLevel="1" x14ac:dyDescent="0.25">
      <c r="A193" s="620"/>
      <c r="B193" s="152" t="s">
        <v>344</v>
      </c>
      <c r="C193" s="157" t="s">
        <v>354</v>
      </c>
      <c r="D193" s="176">
        <v>691670000</v>
      </c>
      <c r="E193" s="176">
        <v>557942070</v>
      </c>
      <c r="F193" s="177">
        <v>556933365</v>
      </c>
      <c r="G193" s="177">
        <v>556933365</v>
      </c>
      <c r="H193" s="177">
        <v>457090167</v>
      </c>
      <c r="I193" s="206"/>
    </row>
    <row r="194" spans="1:9" ht="16.5" hidden="1" customHeight="1" outlineLevel="1" x14ac:dyDescent="0.25">
      <c r="A194" s="40" t="s">
        <v>133</v>
      </c>
      <c r="B194" s="215"/>
      <c r="C194" s="215"/>
      <c r="D194" s="215"/>
      <c r="E194" s="215"/>
      <c r="F194" s="215"/>
      <c r="G194" s="215"/>
      <c r="H194" s="215"/>
    </row>
    <row r="195" spans="1:9" ht="16.5" customHeight="1" collapsed="1" x14ac:dyDescent="0.25"/>
    <row r="196" spans="1:9" ht="31.15" customHeight="1" x14ac:dyDescent="0.25">
      <c r="A196" s="643" t="s">
        <v>141</v>
      </c>
      <c r="B196" s="643"/>
      <c r="C196" s="643"/>
      <c r="D196" s="643"/>
      <c r="E196" s="643"/>
      <c r="F196" s="643"/>
      <c r="G196" s="643"/>
      <c r="H196" s="643"/>
    </row>
    <row r="197" spans="1:9" ht="33" customHeight="1" x14ac:dyDescent="0.25">
      <c r="A197" s="150" t="s">
        <v>61</v>
      </c>
      <c r="B197" s="39" t="s">
        <v>121</v>
      </c>
      <c r="C197" s="39" t="s">
        <v>122</v>
      </c>
      <c r="D197" s="39" t="s">
        <v>123</v>
      </c>
      <c r="E197" s="39" t="s">
        <v>124</v>
      </c>
      <c r="F197" s="39" t="s">
        <v>125</v>
      </c>
      <c r="G197" s="39" t="s">
        <v>126</v>
      </c>
      <c r="H197" s="39" t="s">
        <v>127</v>
      </c>
    </row>
    <row r="198" spans="1:9" ht="49.9" customHeight="1" x14ac:dyDescent="0.25">
      <c r="A198" s="618" t="s">
        <v>135</v>
      </c>
      <c r="B198" s="221" t="s">
        <v>344</v>
      </c>
      <c r="C198" s="221" t="s">
        <v>354</v>
      </c>
      <c r="D198" s="177">
        <v>588053000</v>
      </c>
      <c r="E198" s="177">
        <v>588053000</v>
      </c>
      <c r="F198" s="177">
        <v>585413000</v>
      </c>
      <c r="G198" s="177">
        <v>585413000</v>
      </c>
      <c r="H198" s="177">
        <v>0</v>
      </c>
    </row>
    <row r="199" spans="1:9" ht="49.9" customHeight="1" x14ac:dyDescent="0.25">
      <c r="A199" s="619"/>
      <c r="B199" s="221" t="s">
        <v>345</v>
      </c>
      <c r="C199" s="221" t="s">
        <v>354</v>
      </c>
      <c r="D199" s="177">
        <v>6219259000</v>
      </c>
      <c r="E199" s="177">
        <v>6219259000</v>
      </c>
      <c r="F199" s="177">
        <v>1835843000</v>
      </c>
      <c r="G199" s="177">
        <v>1835843000</v>
      </c>
      <c r="H199" s="177">
        <v>0</v>
      </c>
    </row>
    <row r="200" spans="1:9" ht="49.9" customHeight="1" x14ac:dyDescent="0.25">
      <c r="A200" s="619"/>
      <c r="B200" s="221" t="s">
        <v>349</v>
      </c>
      <c r="C200" s="221" t="s">
        <v>354</v>
      </c>
      <c r="D200" s="177">
        <v>1617058000</v>
      </c>
      <c r="E200" s="177">
        <v>1617058000</v>
      </c>
      <c r="F200" s="177">
        <v>1097940000</v>
      </c>
      <c r="G200" s="177">
        <v>1097940000</v>
      </c>
      <c r="H200" s="177">
        <v>0</v>
      </c>
    </row>
    <row r="201" spans="1:9" ht="49.9" customHeight="1" x14ac:dyDescent="0.25">
      <c r="A201" s="619"/>
      <c r="B201" s="641" t="s">
        <v>541</v>
      </c>
      <c r="C201" s="221" t="s">
        <v>354</v>
      </c>
      <c r="D201" s="177">
        <v>154846000</v>
      </c>
      <c r="E201" s="177">
        <v>154846000</v>
      </c>
      <c r="F201" s="177">
        <v>154249000</v>
      </c>
      <c r="G201" s="177">
        <v>154249000</v>
      </c>
      <c r="H201" s="177">
        <v>0</v>
      </c>
    </row>
    <row r="202" spans="1:9" ht="49.9" customHeight="1" x14ac:dyDescent="0.25">
      <c r="A202" s="619"/>
      <c r="B202" s="657"/>
      <c r="C202" s="221" t="s">
        <v>355</v>
      </c>
      <c r="D202" s="177">
        <v>117874000</v>
      </c>
      <c r="E202" s="177">
        <v>117874000</v>
      </c>
      <c r="F202" s="177">
        <v>0</v>
      </c>
      <c r="G202" s="177">
        <v>0</v>
      </c>
      <c r="H202" s="177">
        <v>0</v>
      </c>
    </row>
    <row r="203" spans="1:9" ht="49.9" customHeight="1" x14ac:dyDescent="0.25">
      <c r="A203" s="619"/>
      <c r="B203" s="657"/>
      <c r="C203" s="221" t="s">
        <v>356</v>
      </c>
      <c r="D203" s="177">
        <v>1336995000</v>
      </c>
      <c r="E203" s="177">
        <v>1336995000</v>
      </c>
      <c r="F203" s="177">
        <v>1333569000</v>
      </c>
      <c r="G203" s="177">
        <v>1333569000</v>
      </c>
      <c r="H203" s="177">
        <v>0</v>
      </c>
    </row>
    <row r="204" spans="1:9" ht="49.9" customHeight="1" x14ac:dyDescent="0.25">
      <c r="A204" s="619"/>
      <c r="B204" s="642"/>
      <c r="C204" s="221" t="s">
        <v>542</v>
      </c>
      <c r="D204" s="177">
        <v>7278000</v>
      </c>
      <c r="E204" s="177">
        <v>7278000</v>
      </c>
      <c r="F204" s="177">
        <v>0</v>
      </c>
      <c r="G204" s="177">
        <v>0</v>
      </c>
      <c r="H204" s="177">
        <v>0</v>
      </c>
    </row>
    <row r="205" spans="1:9" ht="49.9" customHeight="1" x14ac:dyDescent="0.25">
      <c r="A205" s="619"/>
      <c r="B205" s="641" t="s">
        <v>351</v>
      </c>
      <c r="C205" s="221" t="s">
        <v>354</v>
      </c>
      <c r="D205" s="177">
        <v>679700000</v>
      </c>
      <c r="E205" s="177">
        <v>679700000</v>
      </c>
      <c r="F205" s="177">
        <v>652012000</v>
      </c>
      <c r="G205" s="177">
        <v>652012000</v>
      </c>
      <c r="H205" s="177">
        <v>0</v>
      </c>
    </row>
    <row r="206" spans="1:9" ht="49.9" customHeight="1" x14ac:dyDescent="0.25">
      <c r="A206" s="619"/>
      <c r="B206" s="657"/>
      <c r="C206" s="221" t="s">
        <v>355</v>
      </c>
      <c r="D206" s="177">
        <v>871058000</v>
      </c>
      <c r="E206" s="177">
        <v>871058000</v>
      </c>
      <c r="F206" s="177">
        <v>446731908</v>
      </c>
      <c r="G206" s="177">
        <v>446731908</v>
      </c>
      <c r="H206" s="177">
        <v>0</v>
      </c>
    </row>
    <row r="207" spans="1:9" ht="49.9" customHeight="1" x14ac:dyDescent="0.25">
      <c r="A207" s="619"/>
      <c r="B207" s="642"/>
      <c r="C207" s="221" t="s">
        <v>356</v>
      </c>
      <c r="D207" s="177">
        <v>1813479000</v>
      </c>
      <c r="E207" s="177">
        <v>1813479000</v>
      </c>
      <c r="F207" s="177">
        <v>1435895000</v>
      </c>
      <c r="G207" s="177">
        <v>1435895000</v>
      </c>
      <c r="H207" s="177">
        <v>0</v>
      </c>
    </row>
    <row r="208" spans="1:9" ht="49.9" customHeight="1" x14ac:dyDescent="0.25">
      <c r="A208" s="619"/>
      <c r="B208" s="221" t="s">
        <v>352</v>
      </c>
      <c r="C208" s="221" t="s">
        <v>354</v>
      </c>
      <c r="D208" s="177">
        <v>843232000</v>
      </c>
      <c r="E208" s="177">
        <v>843232000</v>
      </c>
      <c r="F208" s="177">
        <v>455184000</v>
      </c>
      <c r="G208" s="177">
        <v>455184000</v>
      </c>
      <c r="H208" s="177">
        <v>0</v>
      </c>
    </row>
    <row r="209" spans="1:8" ht="49.9" customHeight="1" x14ac:dyDescent="0.25">
      <c r="A209" s="619"/>
      <c r="B209" s="641" t="s">
        <v>353</v>
      </c>
      <c r="C209" s="221" t="s">
        <v>354</v>
      </c>
      <c r="D209" s="177">
        <v>2180745000</v>
      </c>
      <c r="E209" s="177">
        <v>2180745000</v>
      </c>
      <c r="F209" s="177">
        <v>665963000</v>
      </c>
      <c r="G209" s="177">
        <v>665963000</v>
      </c>
      <c r="H209" s="177">
        <v>0</v>
      </c>
    </row>
    <row r="210" spans="1:8" ht="49.9" customHeight="1" x14ac:dyDescent="0.25">
      <c r="A210" s="620"/>
      <c r="B210" s="642"/>
      <c r="C210" s="221" t="s">
        <v>355</v>
      </c>
      <c r="D210" s="177">
        <v>38864000</v>
      </c>
      <c r="E210" s="177">
        <v>38864000</v>
      </c>
      <c r="F210" s="177">
        <v>0</v>
      </c>
      <c r="G210" s="177">
        <v>0</v>
      </c>
      <c r="H210" s="177">
        <v>0</v>
      </c>
    </row>
    <row r="211" spans="1:8" ht="49.9" customHeight="1" x14ac:dyDescent="0.25">
      <c r="A211" s="618" t="s">
        <v>136</v>
      </c>
      <c r="B211" s="221" t="s">
        <v>344</v>
      </c>
      <c r="C211" s="221" t="s">
        <v>354</v>
      </c>
      <c r="D211" s="177">
        <v>588053000</v>
      </c>
      <c r="E211" s="177">
        <v>588053000</v>
      </c>
      <c r="F211" s="177">
        <v>585413000</v>
      </c>
      <c r="G211" s="177">
        <v>585413000</v>
      </c>
      <c r="H211" s="177">
        <v>0</v>
      </c>
    </row>
    <row r="212" spans="1:8" ht="49.9" customHeight="1" x14ac:dyDescent="0.25">
      <c r="A212" s="619"/>
      <c r="B212" s="221" t="s">
        <v>345</v>
      </c>
      <c r="C212" s="221" t="s">
        <v>354</v>
      </c>
      <c r="D212" s="177">
        <v>6219259000</v>
      </c>
      <c r="E212" s="177">
        <v>6219259000</v>
      </c>
      <c r="F212" s="177">
        <v>1835843000</v>
      </c>
      <c r="G212" s="177">
        <v>1835843000</v>
      </c>
      <c r="H212" s="177">
        <v>0</v>
      </c>
    </row>
    <row r="213" spans="1:8" ht="49.9" customHeight="1" x14ac:dyDescent="0.25">
      <c r="A213" s="619"/>
      <c r="B213" s="221" t="s">
        <v>349</v>
      </c>
      <c r="C213" s="221" t="s">
        <v>354</v>
      </c>
      <c r="D213" s="177">
        <v>1617058000</v>
      </c>
      <c r="E213" s="177">
        <v>1617058000</v>
      </c>
      <c r="F213" s="177">
        <v>1097940000</v>
      </c>
      <c r="G213" s="177">
        <v>1097940000</v>
      </c>
      <c r="H213" s="177">
        <v>0</v>
      </c>
    </row>
    <row r="214" spans="1:8" ht="49.9" customHeight="1" x14ac:dyDescent="0.25">
      <c r="A214" s="619"/>
      <c r="B214" s="641" t="s">
        <v>541</v>
      </c>
      <c r="C214" s="221" t="s">
        <v>354</v>
      </c>
      <c r="D214" s="177">
        <v>154846000</v>
      </c>
      <c r="E214" s="177">
        <v>154846000</v>
      </c>
      <c r="F214" s="177">
        <v>154249000</v>
      </c>
      <c r="G214" s="177">
        <v>154249000</v>
      </c>
      <c r="H214" s="177">
        <v>0</v>
      </c>
    </row>
    <row r="215" spans="1:8" ht="49.9" customHeight="1" x14ac:dyDescent="0.25">
      <c r="A215" s="619"/>
      <c r="B215" s="657"/>
      <c r="C215" s="221" t="s">
        <v>355</v>
      </c>
      <c r="D215" s="177">
        <v>117874000</v>
      </c>
      <c r="E215" s="177">
        <v>117874000</v>
      </c>
      <c r="F215" s="177">
        <v>0</v>
      </c>
      <c r="G215" s="177">
        <v>0</v>
      </c>
      <c r="H215" s="177">
        <v>0</v>
      </c>
    </row>
    <row r="216" spans="1:8" ht="49.9" customHeight="1" x14ac:dyDescent="0.25">
      <c r="A216" s="619"/>
      <c r="B216" s="657"/>
      <c r="C216" s="221" t="s">
        <v>356</v>
      </c>
      <c r="D216" s="177">
        <v>1336995000</v>
      </c>
      <c r="E216" s="177">
        <v>1336995000</v>
      </c>
      <c r="F216" s="177">
        <v>1333569000</v>
      </c>
      <c r="G216" s="177">
        <v>1333569000</v>
      </c>
      <c r="H216" s="177">
        <v>0</v>
      </c>
    </row>
    <row r="217" spans="1:8" ht="49.9" customHeight="1" x14ac:dyDescent="0.25">
      <c r="A217" s="619"/>
      <c r="B217" s="642"/>
      <c r="C217" s="221" t="s">
        <v>542</v>
      </c>
      <c r="D217" s="177">
        <v>7278000</v>
      </c>
      <c r="E217" s="177">
        <v>7278000</v>
      </c>
      <c r="F217" s="177">
        <v>0</v>
      </c>
      <c r="G217" s="177">
        <v>0</v>
      </c>
      <c r="H217" s="177">
        <v>0</v>
      </c>
    </row>
    <row r="218" spans="1:8" ht="49.9" customHeight="1" x14ac:dyDescent="0.25">
      <c r="A218" s="619"/>
      <c r="B218" s="641" t="s">
        <v>351</v>
      </c>
      <c r="C218" s="221" t="s">
        <v>354</v>
      </c>
      <c r="D218" s="177">
        <v>679700000</v>
      </c>
      <c r="E218" s="177">
        <v>679700000</v>
      </c>
      <c r="F218" s="177">
        <v>652012000</v>
      </c>
      <c r="G218" s="177">
        <v>652012000</v>
      </c>
      <c r="H218" s="177">
        <v>0</v>
      </c>
    </row>
    <row r="219" spans="1:8" ht="49.9" customHeight="1" x14ac:dyDescent="0.25">
      <c r="A219" s="619"/>
      <c r="B219" s="657"/>
      <c r="C219" s="221" t="s">
        <v>355</v>
      </c>
      <c r="D219" s="177">
        <v>871058000</v>
      </c>
      <c r="E219" s="177">
        <v>871058000</v>
      </c>
      <c r="F219" s="177">
        <v>446731908</v>
      </c>
      <c r="G219" s="177">
        <v>446731908</v>
      </c>
      <c r="H219" s="177">
        <v>0</v>
      </c>
    </row>
    <row r="220" spans="1:8" ht="49.9" customHeight="1" x14ac:dyDescent="0.25">
      <c r="A220" s="619"/>
      <c r="B220" s="642"/>
      <c r="C220" s="221" t="s">
        <v>356</v>
      </c>
      <c r="D220" s="177">
        <v>1813479000</v>
      </c>
      <c r="E220" s="177">
        <v>1813479000</v>
      </c>
      <c r="F220" s="177">
        <v>1435895000</v>
      </c>
      <c r="G220" s="177">
        <v>1435895000</v>
      </c>
      <c r="H220" s="177">
        <v>0</v>
      </c>
    </row>
    <row r="221" spans="1:8" ht="49.9" customHeight="1" x14ac:dyDescent="0.25">
      <c r="A221" s="619"/>
      <c r="B221" s="221" t="s">
        <v>352</v>
      </c>
      <c r="C221" s="221" t="s">
        <v>354</v>
      </c>
      <c r="D221" s="177">
        <v>843232000</v>
      </c>
      <c r="E221" s="177">
        <v>843232000</v>
      </c>
      <c r="F221" s="177">
        <v>455184000</v>
      </c>
      <c r="G221" s="177">
        <v>455184000</v>
      </c>
      <c r="H221" s="177">
        <v>0</v>
      </c>
    </row>
    <row r="222" spans="1:8" ht="49.9" customHeight="1" x14ac:dyDescent="0.25">
      <c r="A222" s="619"/>
      <c r="B222" s="641" t="s">
        <v>353</v>
      </c>
      <c r="C222" s="221" t="s">
        <v>354</v>
      </c>
      <c r="D222" s="177">
        <v>2180745000</v>
      </c>
      <c r="E222" s="177">
        <v>2180745000</v>
      </c>
      <c r="F222" s="177">
        <v>665963000</v>
      </c>
      <c r="G222" s="177">
        <v>665963000</v>
      </c>
      <c r="H222" s="177">
        <v>0</v>
      </c>
    </row>
    <row r="223" spans="1:8" ht="49.9" customHeight="1" x14ac:dyDescent="0.25">
      <c r="A223" s="620"/>
      <c r="B223" s="642"/>
      <c r="C223" s="221" t="s">
        <v>355</v>
      </c>
      <c r="D223" s="177">
        <v>38864000</v>
      </c>
      <c r="E223" s="177">
        <v>38864000</v>
      </c>
      <c r="F223" s="177">
        <v>0</v>
      </c>
      <c r="G223" s="177">
        <v>0</v>
      </c>
      <c r="H223" s="177">
        <v>0</v>
      </c>
    </row>
    <row r="224" spans="1:8" ht="49.9" customHeight="1" x14ac:dyDescent="0.25">
      <c r="A224" s="618" t="s">
        <v>137</v>
      </c>
      <c r="B224" s="234" t="s">
        <v>344</v>
      </c>
      <c r="C224" s="221" t="s">
        <v>354</v>
      </c>
      <c r="D224" s="177">
        <v>588053000</v>
      </c>
      <c r="E224" s="177">
        <v>588053000</v>
      </c>
      <c r="F224" s="177">
        <v>585413000</v>
      </c>
      <c r="G224" s="177">
        <v>585413000</v>
      </c>
      <c r="H224" s="177">
        <v>57329600</v>
      </c>
    </row>
    <row r="225" spans="1:8" ht="49.9" customHeight="1" x14ac:dyDescent="0.25">
      <c r="A225" s="619"/>
      <c r="B225" s="234" t="s">
        <v>345</v>
      </c>
      <c r="C225" s="221" t="s">
        <v>354</v>
      </c>
      <c r="D225" s="177">
        <v>6219259000</v>
      </c>
      <c r="E225" s="177">
        <v>6219259000</v>
      </c>
      <c r="F225" s="177">
        <v>1835843000</v>
      </c>
      <c r="G225" s="177">
        <v>1835843000</v>
      </c>
      <c r="H225" s="177">
        <v>172264769</v>
      </c>
    </row>
    <row r="226" spans="1:8" ht="49.9" customHeight="1" x14ac:dyDescent="0.25">
      <c r="A226" s="619"/>
      <c r="B226" s="234" t="s">
        <v>349</v>
      </c>
      <c r="C226" s="221" t="s">
        <v>354</v>
      </c>
      <c r="D226" s="177">
        <v>1617058000</v>
      </c>
      <c r="E226" s="177">
        <v>1617058000</v>
      </c>
      <c r="F226" s="177">
        <v>1097940000</v>
      </c>
      <c r="G226" s="177">
        <v>1097940000</v>
      </c>
      <c r="H226" s="177">
        <v>140877801</v>
      </c>
    </row>
    <row r="227" spans="1:8" ht="49.9" customHeight="1" x14ac:dyDescent="0.25">
      <c r="A227" s="619"/>
      <c r="B227" s="644" t="s">
        <v>541</v>
      </c>
      <c r="C227" s="221" t="s">
        <v>354</v>
      </c>
      <c r="D227" s="177">
        <v>154846000</v>
      </c>
      <c r="E227" s="177">
        <v>154846000</v>
      </c>
      <c r="F227" s="177">
        <v>154249000</v>
      </c>
      <c r="G227" s="177">
        <v>154249000</v>
      </c>
      <c r="H227" s="177">
        <v>10089534</v>
      </c>
    </row>
    <row r="228" spans="1:8" ht="49.9" customHeight="1" x14ac:dyDescent="0.25">
      <c r="A228" s="619"/>
      <c r="B228" s="645"/>
      <c r="C228" s="221" t="s">
        <v>355</v>
      </c>
      <c r="D228" s="177">
        <v>117874000</v>
      </c>
      <c r="E228" s="177">
        <v>117874000</v>
      </c>
      <c r="F228" s="177">
        <v>0</v>
      </c>
      <c r="G228" s="177">
        <v>0</v>
      </c>
      <c r="H228" s="177">
        <v>0</v>
      </c>
    </row>
    <row r="229" spans="1:8" ht="49.9" customHeight="1" x14ac:dyDescent="0.25">
      <c r="A229" s="619"/>
      <c r="B229" s="645"/>
      <c r="C229" s="221" t="s">
        <v>356</v>
      </c>
      <c r="D229" s="177">
        <v>1336995000</v>
      </c>
      <c r="E229" s="177">
        <v>1336995000</v>
      </c>
      <c r="F229" s="177">
        <v>1333569000</v>
      </c>
      <c r="G229" s="177">
        <v>1333569000</v>
      </c>
      <c r="H229" s="177">
        <v>124189766</v>
      </c>
    </row>
    <row r="230" spans="1:8" ht="49.9" customHeight="1" x14ac:dyDescent="0.25">
      <c r="A230" s="619"/>
      <c r="B230" s="646"/>
      <c r="C230" s="221" t="s">
        <v>542</v>
      </c>
      <c r="D230" s="177">
        <v>7278000</v>
      </c>
      <c r="E230" s="177">
        <v>7278000</v>
      </c>
      <c r="F230" s="177">
        <v>0</v>
      </c>
      <c r="G230" s="177">
        <v>0</v>
      </c>
      <c r="H230" s="177">
        <v>0</v>
      </c>
    </row>
    <row r="231" spans="1:8" ht="49.9" customHeight="1" x14ac:dyDescent="0.25">
      <c r="A231" s="619"/>
      <c r="B231" s="644" t="s">
        <v>351</v>
      </c>
      <c r="C231" s="221" t="s">
        <v>354</v>
      </c>
      <c r="D231" s="177">
        <v>679700000</v>
      </c>
      <c r="E231" s="177">
        <v>679700000</v>
      </c>
      <c r="F231" s="177">
        <v>672552000</v>
      </c>
      <c r="G231" s="177">
        <v>672552000</v>
      </c>
      <c r="H231" s="177">
        <v>74474333</v>
      </c>
    </row>
    <row r="232" spans="1:8" ht="49.9" customHeight="1" x14ac:dyDescent="0.25">
      <c r="A232" s="619"/>
      <c r="B232" s="645"/>
      <c r="C232" s="221" t="s">
        <v>355</v>
      </c>
      <c r="D232" s="177">
        <v>871058000</v>
      </c>
      <c r="E232" s="177">
        <v>871058000</v>
      </c>
      <c r="F232" s="177">
        <v>446731908</v>
      </c>
      <c r="G232" s="177">
        <v>446731908</v>
      </c>
      <c r="H232" s="177">
        <v>0</v>
      </c>
    </row>
    <row r="233" spans="1:8" ht="49.9" customHeight="1" x14ac:dyDescent="0.25">
      <c r="A233" s="619"/>
      <c r="B233" s="646"/>
      <c r="C233" s="221" t="s">
        <v>356</v>
      </c>
      <c r="D233" s="177">
        <v>1813479000</v>
      </c>
      <c r="E233" s="177">
        <v>1813479000</v>
      </c>
      <c r="F233" s="177">
        <v>1465355000</v>
      </c>
      <c r="G233" s="177">
        <v>1465355000</v>
      </c>
      <c r="H233" s="177">
        <v>146878736</v>
      </c>
    </row>
    <row r="234" spans="1:8" ht="49.9" customHeight="1" x14ac:dyDescent="0.25">
      <c r="A234" s="619"/>
      <c r="B234" s="234" t="s">
        <v>352</v>
      </c>
      <c r="C234" s="221" t="s">
        <v>354</v>
      </c>
      <c r="D234" s="177">
        <v>843232000</v>
      </c>
      <c r="E234" s="177">
        <v>843232000</v>
      </c>
      <c r="F234" s="177">
        <v>455184000</v>
      </c>
      <c r="G234" s="177">
        <v>455184000</v>
      </c>
      <c r="H234" s="177">
        <v>52318753</v>
      </c>
    </row>
    <row r="235" spans="1:8" ht="49.9" customHeight="1" x14ac:dyDescent="0.25">
      <c r="A235" s="619"/>
      <c r="B235" s="644" t="s">
        <v>353</v>
      </c>
      <c r="C235" s="221" t="s">
        <v>354</v>
      </c>
      <c r="D235" s="177">
        <v>2180745000</v>
      </c>
      <c r="E235" s="177">
        <v>2180745000</v>
      </c>
      <c r="F235" s="177">
        <v>665963000</v>
      </c>
      <c r="G235" s="177">
        <v>665963000</v>
      </c>
      <c r="H235" s="177">
        <v>83226899</v>
      </c>
    </row>
    <row r="236" spans="1:8" ht="49.9" customHeight="1" x14ac:dyDescent="0.25">
      <c r="A236" s="619"/>
      <c r="B236" s="646"/>
      <c r="C236" s="221" t="s">
        <v>355</v>
      </c>
      <c r="D236" s="177">
        <v>38864000</v>
      </c>
      <c r="E236" s="177">
        <v>38864000</v>
      </c>
      <c r="F236" s="177">
        <v>0</v>
      </c>
      <c r="G236" s="177">
        <v>0</v>
      </c>
      <c r="H236" s="177">
        <v>0</v>
      </c>
    </row>
    <row r="237" spans="1:8" ht="49.9" customHeight="1" x14ac:dyDescent="0.25">
      <c r="A237" s="618" t="s">
        <v>138</v>
      </c>
      <c r="B237" s="234" t="s">
        <v>344</v>
      </c>
      <c r="C237" s="221" t="s">
        <v>354</v>
      </c>
      <c r="D237" s="177">
        <v>588053000</v>
      </c>
      <c r="E237" s="177">
        <v>588053000</v>
      </c>
      <c r="F237" s="177">
        <v>585413000</v>
      </c>
      <c r="G237" s="177">
        <v>585413000</v>
      </c>
      <c r="H237" s="177">
        <v>132502600</v>
      </c>
    </row>
    <row r="238" spans="1:8" ht="49.9" customHeight="1" x14ac:dyDescent="0.25">
      <c r="A238" s="619"/>
      <c r="B238" s="234" t="s">
        <v>345</v>
      </c>
      <c r="C238" s="221" t="s">
        <v>354</v>
      </c>
      <c r="D238" s="177">
        <v>6219259000</v>
      </c>
      <c r="E238" s="177">
        <v>6219259000</v>
      </c>
      <c r="F238" s="177">
        <v>1835843000</v>
      </c>
      <c r="G238" s="177">
        <v>1835843000</v>
      </c>
      <c r="H238" s="177">
        <v>403253902</v>
      </c>
    </row>
    <row r="239" spans="1:8" ht="49.9" customHeight="1" x14ac:dyDescent="0.25">
      <c r="A239" s="619"/>
      <c r="B239" s="234" t="s">
        <v>349</v>
      </c>
      <c r="C239" s="221" t="s">
        <v>354</v>
      </c>
      <c r="D239" s="177">
        <v>1617058000</v>
      </c>
      <c r="E239" s="177">
        <v>1617058000</v>
      </c>
      <c r="F239" s="177">
        <v>1097940000</v>
      </c>
      <c r="G239" s="177">
        <v>1097940000</v>
      </c>
      <c r="H239" s="177">
        <v>261783801</v>
      </c>
    </row>
    <row r="240" spans="1:8" ht="49.9" customHeight="1" x14ac:dyDescent="0.25">
      <c r="A240" s="619"/>
      <c r="B240" s="644" t="s">
        <v>541</v>
      </c>
      <c r="C240" s="221" t="s">
        <v>354</v>
      </c>
      <c r="D240" s="177">
        <v>154846000</v>
      </c>
      <c r="E240" s="177">
        <v>154846000</v>
      </c>
      <c r="F240" s="177">
        <v>154249000</v>
      </c>
      <c r="G240" s="177">
        <v>154249000</v>
      </c>
      <c r="H240" s="177">
        <v>25611201</v>
      </c>
    </row>
    <row r="241" spans="1:12" ht="49.9" customHeight="1" x14ac:dyDescent="0.25">
      <c r="A241" s="619"/>
      <c r="B241" s="645"/>
      <c r="C241" s="221" t="s">
        <v>355</v>
      </c>
      <c r="D241" s="177">
        <v>117874000</v>
      </c>
      <c r="E241" s="177">
        <v>117874000</v>
      </c>
      <c r="F241" s="177">
        <v>0</v>
      </c>
      <c r="G241" s="177">
        <v>0</v>
      </c>
      <c r="H241" s="177">
        <v>0</v>
      </c>
    </row>
    <row r="242" spans="1:12" ht="49.9" customHeight="1" x14ac:dyDescent="0.25">
      <c r="A242" s="619"/>
      <c r="B242" s="645"/>
      <c r="C242" s="221" t="s">
        <v>356</v>
      </c>
      <c r="D242" s="177">
        <v>1336995000</v>
      </c>
      <c r="E242" s="177">
        <v>1336995000</v>
      </c>
      <c r="F242" s="177">
        <v>1333569000</v>
      </c>
      <c r="G242" s="177">
        <v>1333569000</v>
      </c>
      <c r="H242" s="177">
        <v>247675799</v>
      </c>
    </row>
    <row r="243" spans="1:12" ht="49.9" customHeight="1" x14ac:dyDescent="0.25">
      <c r="A243" s="619"/>
      <c r="B243" s="646"/>
      <c r="C243" s="221" t="s">
        <v>542</v>
      </c>
      <c r="D243" s="177">
        <v>7278000</v>
      </c>
      <c r="E243" s="177">
        <v>7278000</v>
      </c>
      <c r="F243" s="177">
        <v>0</v>
      </c>
      <c r="G243" s="177">
        <v>0</v>
      </c>
      <c r="H243" s="177">
        <v>0</v>
      </c>
    </row>
    <row r="244" spans="1:12" ht="49.9" customHeight="1" x14ac:dyDescent="0.25">
      <c r="A244" s="619"/>
      <c r="B244" s="644" t="s">
        <v>351</v>
      </c>
      <c r="C244" s="221" t="s">
        <v>354</v>
      </c>
      <c r="D244" s="177">
        <v>679700000</v>
      </c>
      <c r="E244" s="177">
        <v>679700000</v>
      </c>
      <c r="F244" s="177">
        <v>672552000</v>
      </c>
      <c r="G244" s="177">
        <v>672552000</v>
      </c>
      <c r="H244" s="177">
        <v>158789933</v>
      </c>
    </row>
    <row r="245" spans="1:12" ht="49.9" customHeight="1" x14ac:dyDescent="0.25">
      <c r="A245" s="619"/>
      <c r="B245" s="645"/>
      <c r="C245" s="221" t="s">
        <v>355</v>
      </c>
      <c r="D245" s="177">
        <v>871058000</v>
      </c>
      <c r="E245" s="177">
        <v>871058000</v>
      </c>
      <c r="F245" s="177">
        <v>446731908</v>
      </c>
      <c r="G245" s="177">
        <v>446731908</v>
      </c>
      <c r="H245" s="177">
        <v>123169561</v>
      </c>
    </row>
    <row r="246" spans="1:12" ht="49.9" customHeight="1" x14ac:dyDescent="0.25">
      <c r="A246" s="619"/>
      <c r="B246" s="646"/>
      <c r="C246" s="221" t="s">
        <v>356</v>
      </c>
      <c r="D246" s="177">
        <v>1813479000</v>
      </c>
      <c r="E246" s="177">
        <v>1813479000</v>
      </c>
      <c r="F246" s="177">
        <v>1465355000</v>
      </c>
      <c r="G246" s="177">
        <v>1465355000</v>
      </c>
      <c r="H246" s="177">
        <v>312673403</v>
      </c>
    </row>
    <row r="247" spans="1:12" ht="49.9" customHeight="1" x14ac:dyDescent="0.25">
      <c r="A247" s="619"/>
      <c r="B247" s="234" t="s">
        <v>352</v>
      </c>
      <c r="C247" s="221" t="s">
        <v>354</v>
      </c>
      <c r="D247" s="177">
        <v>843232000</v>
      </c>
      <c r="E247" s="177">
        <v>843232000</v>
      </c>
      <c r="F247" s="177">
        <v>455184000</v>
      </c>
      <c r="G247" s="177">
        <v>455184000</v>
      </c>
      <c r="H247" s="177">
        <v>103810390</v>
      </c>
    </row>
    <row r="248" spans="1:12" ht="49.9" customHeight="1" x14ac:dyDescent="0.25">
      <c r="A248" s="619"/>
      <c r="B248" s="644" t="s">
        <v>353</v>
      </c>
      <c r="C248" s="221" t="s">
        <v>354</v>
      </c>
      <c r="D248" s="177">
        <v>2180745000</v>
      </c>
      <c r="E248" s="177">
        <v>2180745000</v>
      </c>
      <c r="F248" s="177">
        <v>665963000</v>
      </c>
      <c r="G248" s="177">
        <v>665963000</v>
      </c>
      <c r="H248" s="177">
        <v>162085899</v>
      </c>
    </row>
    <row r="249" spans="1:12" ht="49.9" customHeight="1" x14ac:dyDescent="0.25">
      <c r="A249" s="620"/>
      <c r="B249" s="646"/>
      <c r="C249" s="221" t="s">
        <v>355</v>
      </c>
      <c r="D249" s="177">
        <v>38864000</v>
      </c>
      <c r="E249" s="177">
        <v>38864000</v>
      </c>
      <c r="F249" s="177">
        <v>0</v>
      </c>
      <c r="G249" s="177">
        <v>0</v>
      </c>
      <c r="H249" s="177">
        <v>0</v>
      </c>
    </row>
    <row r="250" spans="1:12" ht="49.9" customHeight="1" x14ac:dyDescent="0.25">
      <c r="A250" s="618" t="s">
        <v>139</v>
      </c>
      <c r="B250" s="234" t="s">
        <v>344</v>
      </c>
      <c r="C250" s="221" t="s">
        <v>354</v>
      </c>
      <c r="D250" s="177">
        <v>725040000</v>
      </c>
      <c r="E250" s="177">
        <v>585413000</v>
      </c>
      <c r="F250" s="177">
        <v>585413000</v>
      </c>
      <c r="G250" s="177">
        <v>200085600</v>
      </c>
      <c r="H250" s="238">
        <f>G250/E250</f>
        <v>0.3417853720364939</v>
      </c>
    </row>
    <row r="251" spans="1:12" ht="49.9" customHeight="1" x14ac:dyDescent="0.25">
      <c r="A251" s="619"/>
      <c r="B251" s="234" t="s">
        <v>345</v>
      </c>
      <c r="C251" s="221" t="s">
        <v>354</v>
      </c>
      <c r="D251" s="177">
        <v>6130432000</v>
      </c>
      <c r="E251" s="177">
        <v>1835843000</v>
      </c>
      <c r="F251" s="177">
        <v>1835843000</v>
      </c>
      <c r="G251" s="177">
        <v>603571835</v>
      </c>
      <c r="H251" s="238">
        <f t="shared" ref="H251:H333" si="1">G251/E251</f>
        <v>0.32877094337587692</v>
      </c>
    </row>
    <row r="252" spans="1:12" ht="49.9" customHeight="1" x14ac:dyDescent="0.25">
      <c r="A252" s="619"/>
      <c r="B252" s="234" t="s">
        <v>349</v>
      </c>
      <c r="C252" s="221" t="s">
        <v>354</v>
      </c>
      <c r="D252" s="177">
        <v>1617058000</v>
      </c>
      <c r="E252" s="177">
        <v>1097940000</v>
      </c>
      <c r="F252" s="177">
        <v>1097940000</v>
      </c>
      <c r="G252" s="177">
        <v>382689801</v>
      </c>
      <c r="H252" s="238">
        <f t="shared" si="1"/>
        <v>0.34855256298158371</v>
      </c>
    </row>
    <row r="253" spans="1:12" ht="49.9" customHeight="1" x14ac:dyDescent="0.25">
      <c r="A253" s="619"/>
      <c r="B253" s="644" t="s">
        <v>541</v>
      </c>
      <c r="C253" s="221" t="s">
        <v>354</v>
      </c>
      <c r="D253" s="177">
        <v>106686000</v>
      </c>
      <c r="E253" s="177">
        <v>154249000</v>
      </c>
      <c r="F253" s="177">
        <v>154249000</v>
      </c>
      <c r="G253" s="177">
        <v>41032534</v>
      </c>
      <c r="H253" s="238">
        <f t="shared" si="1"/>
        <v>0.2660149109556626</v>
      </c>
    </row>
    <row r="254" spans="1:12" ht="49.9" customHeight="1" x14ac:dyDescent="0.25">
      <c r="A254" s="619"/>
      <c r="B254" s="645"/>
      <c r="C254" s="221" t="s">
        <v>355</v>
      </c>
      <c r="D254" s="177">
        <v>117874000</v>
      </c>
      <c r="E254" s="177">
        <v>0</v>
      </c>
      <c r="F254" s="177">
        <v>0</v>
      </c>
      <c r="G254" s="177">
        <v>0</v>
      </c>
      <c r="H254" s="238" t="e">
        <f t="shared" si="1"/>
        <v>#DIV/0!</v>
      </c>
    </row>
    <row r="255" spans="1:12" ht="49.9" customHeight="1" x14ac:dyDescent="0.25">
      <c r="A255" s="619"/>
      <c r="B255" s="645"/>
      <c r="C255" s="221" t="s">
        <v>356</v>
      </c>
      <c r="D255" s="177">
        <v>1336995000</v>
      </c>
      <c r="E255" s="177">
        <v>1333569000</v>
      </c>
      <c r="F255" s="177">
        <v>1333569000</v>
      </c>
      <c r="G255" s="177">
        <v>395210799</v>
      </c>
      <c r="H255" s="238"/>
      <c r="L255" s="429">
        <v>6159</v>
      </c>
    </row>
    <row r="256" spans="1:12" ht="49.9" customHeight="1" x14ac:dyDescent="0.25">
      <c r="A256" s="619"/>
      <c r="B256" s="646"/>
      <c r="C256" s="221" t="s">
        <v>542</v>
      </c>
      <c r="D256" s="177">
        <v>7278000</v>
      </c>
      <c r="E256" s="177">
        <v>0</v>
      </c>
      <c r="F256" s="177">
        <v>0</v>
      </c>
      <c r="G256" s="177">
        <v>0</v>
      </c>
      <c r="H256" s="238"/>
      <c r="L256" s="429">
        <v>2293</v>
      </c>
    </row>
    <row r="257" spans="1:12" ht="49.9" customHeight="1" x14ac:dyDescent="0.25">
      <c r="A257" s="619"/>
      <c r="B257" s="644" t="s">
        <v>351</v>
      </c>
      <c r="C257" s="221" t="s">
        <v>354</v>
      </c>
      <c r="D257" s="177">
        <v>679700000</v>
      </c>
      <c r="E257" s="177">
        <v>672552000</v>
      </c>
      <c r="F257" s="177">
        <v>672552000</v>
      </c>
      <c r="G257" s="177">
        <v>236876433</v>
      </c>
      <c r="H257" s="238">
        <f t="shared" si="1"/>
        <v>0.35220538040181282</v>
      </c>
      <c r="L257" s="429">
        <f>SUM(L255:L256)</f>
        <v>8452</v>
      </c>
    </row>
    <row r="258" spans="1:12" ht="49.9" customHeight="1" x14ac:dyDescent="0.25">
      <c r="A258" s="619"/>
      <c r="B258" s="645"/>
      <c r="C258" s="221" t="s">
        <v>355</v>
      </c>
      <c r="D258" s="177">
        <v>871058000</v>
      </c>
      <c r="E258" s="177">
        <v>609327908</v>
      </c>
      <c r="F258" s="177">
        <v>609327908</v>
      </c>
      <c r="G258" s="177">
        <v>187142289</v>
      </c>
      <c r="H258" s="238">
        <f t="shared" si="1"/>
        <v>0.30712902944862325</v>
      </c>
      <c r="L258" s="429"/>
    </row>
    <row r="259" spans="1:12" ht="49.9" customHeight="1" x14ac:dyDescent="0.25">
      <c r="A259" s="619"/>
      <c r="B259" s="646"/>
      <c r="C259" s="221" t="s">
        <v>356</v>
      </c>
      <c r="D259" s="177">
        <v>1813479000</v>
      </c>
      <c r="E259" s="177">
        <v>1465355000</v>
      </c>
      <c r="F259" s="177">
        <v>1465355000</v>
      </c>
      <c r="G259" s="177">
        <v>469167736</v>
      </c>
      <c r="H259" s="238">
        <f t="shared" si="1"/>
        <v>0.32017342964674089</v>
      </c>
    </row>
    <row r="260" spans="1:12" ht="49.9" customHeight="1" x14ac:dyDescent="0.25">
      <c r="A260" s="619"/>
      <c r="B260" s="234" t="s">
        <v>352</v>
      </c>
      <c r="C260" s="221" t="s">
        <v>354</v>
      </c>
      <c r="D260" s="177">
        <v>843232000</v>
      </c>
      <c r="E260" s="177">
        <v>455184000</v>
      </c>
      <c r="F260" s="177">
        <v>455184000</v>
      </c>
      <c r="G260" s="177">
        <v>154210209</v>
      </c>
      <c r="H260" s="238">
        <f t="shared" si="1"/>
        <v>0.33878653247917323</v>
      </c>
    </row>
    <row r="261" spans="1:12" ht="49.9" customHeight="1" x14ac:dyDescent="0.25">
      <c r="A261" s="619"/>
      <c r="B261" s="644" t="s">
        <v>353</v>
      </c>
      <c r="C261" s="221" t="s">
        <v>354</v>
      </c>
      <c r="D261" s="177">
        <v>2180745000</v>
      </c>
      <c r="E261" s="177">
        <v>777963000</v>
      </c>
      <c r="F261" s="177">
        <v>777963000</v>
      </c>
      <c r="G261" s="177">
        <v>237031899</v>
      </c>
      <c r="H261" s="238">
        <f t="shared" si="1"/>
        <v>0.30468274069589429</v>
      </c>
    </row>
    <row r="262" spans="1:12" ht="49.9" customHeight="1" x14ac:dyDescent="0.25">
      <c r="A262" s="619"/>
      <c r="B262" s="646"/>
      <c r="C262" s="221" t="s">
        <v>355</v>
      </c>
      <c r="D262" s="177">
        <v>38864000</v>
      </c>
      <c r="E262" s="177">
        <v>0</v>
      </c>
      <c r="F262" s="177">
        <v>0</v>
      </c>
      <c r="G262" s="177">
        <v>0</v>
      </c>
      <c r="H262" s="238" t="e">
        <f t="shared" si="1"/>
        <v>#DIV/0!</v>
      </c>
    </row>
    <row r="263" spans="1:12" ht="49.9" customHeight="1" x14ac:dyDescent="0.25">
      <c r="A263" s="618" t="s">
        <v>140</v>
      </c>
      <c r="B263" s="234" t="s">
        <v>344</v>
      </c>
      <c r="C263" s="177">
        <v>725040000</v>
      </c>
      <c r="D263" s="177">
        <v>588053000</v>
      </c>
      <c r="E263" s="177">
        <v>585413000</v>
      </c>
      <c r="F263" s="177">
        <v>585413000</v>
      </c>
      <c r="G263" s="177">
        <v>267668600</v>
      </c>
      <c r="H263" s="238">
        <f>G263/E263</f>
        <v>0.45723036557097296</v>
      </c>
    </row>
    <row r="264" spans="1:12" ht="49.9" customHeight="1" x14ac:dyDescent="0.25">
      <c r="A264" s="619"/>
      <c r="B264" s="234" t="s">
        <v>345</v>
      </c>
      <c r="C264" s="177">
        <v>6130432000</v>
      </c>
      <c r="D264" s="177">
        <v>6219259000</v>
      </c>
      <c r="E264" s="177">
        <v>1925843000</v>
      </c>
      <c r="F264" s="177">
        <v>1925843000</v>
      </c>
      <c r="G264" s="177">
        <v>824517835</v>
      </c>
      <c r="H264" s="238">
        <f>G264/E264</f>
        <v>0.42813346415050446</v>
      </c>
    </row>
    <row r="265" spans="1:12" ht="49.9" customHeight="1" x14ac:dyDescent="0.25">
      <c r="A265" s="619"/>
      <c r="B265" s="234" t="s">
        <v>349</v>
      </c>
      <c r="C265" s="177">
        <v>1617058000</v>
      </c>
      <c r="D265" s="177">
        <v>1617058000</v>
      </c>
      <c r="E265" s="177">
        <v>1097940000</v>
      </c>
      <c r="F265" s="177">
        <v>1097940000</v>
      </c>
      <c r="G265" s="177">
        <v>511732868</v>
      </c>
      <c r="H265" s="238">
        <f t="shared" ref="H265:H269" si="2">G265/E265</f>
        <v>0.46608454742517808</v>
      </c>
    </row>
    <row r="266" spans="1:12" ht="49.9" customHeight="1" x14ac:dyDescent="0.25">
      <c r="A266" s="619"/>
      <c r="B266" s="644" t="s">
        <v>541</v>
      </c>
      <c r="C266" s="177">
        <f>154846000-48160000</f>
        <v>106686000</v>
      </c>
      <c r="D266" s="177">
        <v>161894000</v>
      </c>
      <c r="E266" s="177">
        <v>160269000</v>
      </c>
      <c r="F266" s="177">
        <v>160269000</v>
      </c>
      <c r="G266" s="177">
        <v>61771534</v>
      </c>
      <c r="H266" s="238">
        <f t="shared" si="2"/>
        <v>0.38542409324323479</v>
      </c>
    </row>
    <row r="267" spans="1:12" ht="49.9" customHeight="1" x14ac:dyDescent="0.25">
      <c r="A267" s="619"/>
      <c r="B267" s="645"/>
      <c r="C267" s="177">
        <v>117874000</v>
      </c>
      <c r="D267" s="177">
        <v>117874000</v>
      </c>
      <c r="E267" s="177">
        <v>0</v>
      </c>
      <c r="F267" s="177">
        <v>0</v>
      </c>
      <c r="G267" s="177">
        <v>0</v>
      </c>
      <c r="H267" s="238" t="e">
        <f t="shared" si="2"/>
        <v>#DIV/0!</v>
      </c>
    </row>
    <row r="268" spans="1:12" ht="49.9" customHeight="1" x14ac:dyDescent="0.25">
      <c r="A268" s="619"/>
      <c r="B268" s="645"/>
      <c r="C268" s="177">
        <v>1336995000</v>
      </c>
      <c r="D268" s="177">
        <v>1336995000</v>
      </c>
      <c r="E268" s="177">
        <v>1333569000</v>
      </c>
      <c r="F268" s="177">
        <v>1333569000</v>
      </c>
      <c r="G268" s="177">
        <v>533977699</v>
      </c>
      <c r="H268" s="238">
        <f t="shared" si="2"/>
        <v>0.40041250134038808</v>
      </c>
    </row>
    <row r="269" spans="1:12" ht="49.9" customHeight="1" x14ac:dyDescent="0.25">
      <c r="A269" s="619"/>
      <c r="B269" s="646"/>
      <c r="C269" s="177">
        <v>7278000</v>
      </c>
      <c r="D269" s="177">
        <v>7278000</v>
      </c>
      <c r="E269" s="177">
        <v>0</v>
      </c>
      <c r="F269" s="177">
        <v>0</v>
      </c>
      <c r="G269" s="177">
        <v>0</v>
      </c>
      <c r="H269" s="238" t="e">
        <f t="shared" si="2"/>
        <v>#DIV/0!</v>
      </c>
    </row>
    <row r="270" spans="1:12" ht="49.9" customHeight="1" x14ac:dyDescent="0.25">
      <c r="A270" s="619"/>
      <c r="B270" s="644" t="s">
        <v>351</v>
      </c>
      <c r="C270" s="177">
        <v>679700000</v>
      </c>
      <c r="D270" s="177">
        <v>679700000</v>
      </c>
      <c r="E270" s="177">
        <v>672552000</v>
      </c>
      <c r="F270" s="177">
        <v>672552000</v>
      </c>
      <c r="G270" s="177">
        <v>311290133</v>
      </c>
      <c r="H270" s="238">
        <f>G270/E270</f>
        <v>0.46284916705325385</v>
      </c>
    </row>
    <row r="271" spans="1:12" ht="49.9" customHeight="1" x14ac:dyDescent="0.25">
      <c r="A271" s="619"/>
      <c r="B271" s="645"/>
      <c r="C271" s="177">
        <v>871058000</v>
      </c>
      <c r="D271" s="177">
        <v>871058000</v>
      </c>
      <c r="E271" s="177">
        <v>609327908</v>
      </c>
      <c r="F271" s="177">
        <v>609327908</v>
      </c>
      <c r="G271" s="177">
        <v>225508462</v>
      </c>
      <c r="H271" s="238">
        <f t="shared" ref="H271:H274" si="3">G271/E271</f>
        <v>0.3700937689530544</v>
      </c>
    </row>
    <row r="272" spans="1:12" ht="49.9" customHeight="1" x14ac:dyDescent="0.25">
      <c r="A272" s="619"/>
      <c r="B272" s="646"/>
      <c r="C272" s="177">
        <v>1813479000</v>
      </c>
      <c r="D272" s="177">
        <v>1813479000</v>
      </c>
      <c r="E272" s="177">
        <v>1465355000</v>
      </c>
      <c r="F272" s="177">
        <v>1465355000</v>
      </c>
      <c r="G272" s="177">
        <v>625427069</v>
      </c>
      <c r="H272" s="238">
        <f t="shared" si="3"/>
        <v>0.42680925031818229</v>
      </c>
    </row>
    <row r="273" spans="1:10" ht="49.9" customHeight="1" x14ac:dyDescent="0.25">
      <c r="A273" s="619"/>
      <c r="B273" s="234" t="s">
        <v>352</v>
      </c>
      <c r="C273" s="177">
        <v>843232000</v>
      </c>
      <c r="D273" s="177">
        <v>836184000</v>
      </c>
      <c r="E273" s="177">
        <v>455184000</v>
      </c>
      <c r="F273" s="177">
        <v>455184000</v>
      </c>
      <c r="G273" s="177">
        <v>204357028</v>
      </c>
      <c r="H273" s="238">
        <f>G273/E273</f>
        <v>0.44895476993918942</v>
      </c>
    </row>
    <row r="274" spans="1:10" ht="49.9" customHeight="1" x14ac:dyDescent="0.25">
      <c r="A274" s="619"/>
      <c r="B274" s="644" t="s">
        <v>353</v>
      </c>
      <c r="C274" s="177">
        <v>2180745000</v>
      </c>
      <c r="D274" s="177">
        <v>2180745000</v>
      </c>
      <c r="E274" s="177">
        <v>815963000</v>
      </c>
      <c r="F274" s="177">
        <v>815963000</v>
      </c>
      <c r="G274" s="177">
        <v>311977899</v>
      </c>
      <c r="H274" s="238">
        <f t="shared" si="3"/>
        <v>0.38234319325753741</v>
      </c>
    </row>
    <row r="275" spans="1:10" ht="49.9" customHeight="1" x14ac:dyDescent="0.25">
      <c r="A275" s="619"/>
      <c r="B275" s="646"/>
      <c r="C275" s="177">
        <v>38864000</v>
      </c>
      <c r="D275" s="177">
        <v>38864000</v>
      </c>
      <c r="E275" s="177">
        <v>0</v>
      </c>
      <c r="F275" s="177">
        <v>0</v>
      </c>
      <c r="G275" s="177">
        <v>0</v>
      </c>
      <c r="H275" s="238" t="e">
        <f>G275/E275</f>
        <v>#DIV/0!</v>
      </c>
      <c r="I275" s="430"/>
      <c r="J275" s="431"/>
    </row>
    <row r="276" spans="1:10" ht="49.9" customHeight="1" x14ac:dyDescent="0.25">
      <c r="A276" s="618" t="s">
        <v>128</v>
      </c>
      <c r="B276" s="644" t="s">
        <v>353</v>
      </c>
      <c r="C276" s="221" t="s">
        <v>354</v>
      </c>
      <c r="D276" s="177">
        <v>2180745000</v>
      </c>
      <c r="E276" s="177">
        <v>2180745000</v>
      </c>
      <c r="F276" s="177">
        <v>815963000</v>
      </c>
      <c r="G276" s="177">
        <v>815963000</v>
      </c>
      <c r="H276" s="177">
        <v>311977899</v>
      </c>
      <c r="I276" s="432">
        <f>H276/F276</f>
        <v>0.38234319325753741</v>
      </c>
      <c r="J276" s="431"/>
    </row>
    <row r="277" spans="1:10" ht="49.9" customHeight="1" x14ac:dyDescent="0.25">
      <c r="A277" s="619"/>
      <c r="B277" s="646"/>
      <c r="C277" s="221" t="s">
        <v>355</v>
      </c>
      <c r="D277" s="177">
        <v>38864000</v>
      </c>
      <c r="E277" s="177">
        <v>38864000</v>
      </c>
      <c r="F277" s="177">
        <v>0</v>
      </c>
      <c r="G277" s="177">
        <v>0</v>
      </c>
      <c r="H277" s="177">
        <v>0</v>
      </c>
      <c r="I277" s="432" t="e">
        <f>H277/F277</f>
        <v>#DIV/0!</v>
      </c>
      <c r="J277" s="431"/>
    </row>
    <row r="278" spans="1:10" ht="49.9" customHeight="1" x14ac:dyDescent="0.25">
      <c r="A278" s="619"/>
      <c r="B278" s="234" t="s">
        <v>344</v>
      </c>
      <c r="C278" s="221" t="s">
        <v>354</v>
      </c>
      <c r="D278" s="177">
        <v>725040000</v>
      </c>
      <c r="E278" s="177">
        <v>588053000</v>
      </c>
      <c r="F278" s="177">
        <v>585413000</v>
      </c>
      <c r="G278" s="177">
        <v>585413000</v>
      </c>
      <c r="H278" s="177">
        <v>335251600</v>
      </c>
      <c r="I278" s="432">
        <f t="shared" ref="I278:I288" si="4">H278/F278</f>
        <v>0.57267535910545209</v>
      </c>
      <c r="J278" s="431"/>
    </row>
    <row r="279" spans="1:10" ht="49.9" customHeight="1" x14ac:dyDescent="0.25">
      <c r="A279" s="619"/>
      <c r="B279" s="234" t="s">
        <v>345</v>
      </c>
      <c r="C279" s="221" t="s">
        <v>354</v>
      </c>
      <c r="D279" s="177">
        <v>6130432000</v>
      </c>
      <c r="E279" s="177">
        <v>6219259000</v>
      </c>
      <c r="F279" s="177">
        <v>1879977000</v>
      </c>
      <c r="G279" s="177">
        <v>1879977000</v>
      </c>
      <c r="H279" s="177">
        <v>1020807835</v>
      </c>
      <c r="I279" s="432">
        <f t="shared" si="4"/>
        <v>0.54298953391451066</v>
      </c>
      <c r="J279" s="431"/>
    </row>
    <row r="280" spans="1:10" ht="49.9" customHeight="1" x14ac:dyDescent="0.25">
      <c r="A280" s="619"/>
      <c r="B280" s="234" t="s">
        <v>349</v>
      </c>
      <c r="C280" s="221" t="s">
        <v>354</v>
      </c>
      <c r="D280" s="177">
        <v>1617058000</v>
      </c>
      <c r="E280" s="177">
        <v>1617058000</v>
      </c>
      <c r="F280" s="177">
        <v>1097940000</v>
      </c>
      <c r="G280" s="177">
        <v>1097940000</v>
      </c>
      <c r="H280" s="177">
        <v>632638868</v>
      </c>
      <c r="I280" s="432">
        <f t="shared" si="4"/>
        <v>0.57620531905204286</v>
      </c>
      <c r="J280" s="431"/>
    </row>
    <row r="281" spans="1:10" ht="49.9" customHeight="1" x14ac:dyDescent="0.25">
      <c r="A281" s="619"/>
      <c r="B281" s="644" t="s">
        <v>541</v>
      </c>
      <c r="C281" s="221" t="s">
        <v>354</v>
      </c>
      <c r="D281" s="177">
        <f>154846000-48160000</f>
        <v>106686000</v>
      </c>
      <c r="E281" s="177">
        <v>161894000</v>
      </c>
      <c r="F281" s="177">
        <v>160269000</v>
      </c>
      <c r="G281" s="177">
        <v>160269000</v>
      </c>
      <c r="H281" s="177">
        <v>71373534</v>
      </c>
      <c r="I281" s="432">
        <f t="shared" si="4"/>
        <v>0.44533586657432195</v>
      </c>
      <c r="J281" s="431"/>
    </row>
    <row r="282" spans="1:10" ht="49.9" customHeight="1" x14ac:dyDescent="0.25">
      <c r="A282" s="619"/>
      <c r="B282" s="645"/>
      <c r="C282" s="221" t="s">
        <v>355</v>
      </c>
      <c r="D282" s="177">
        <v>117874000</v>
      </c>
      <c r="E282" s="177">
        <v>117874000</v>
      </c>
      <c r="F282" s="177">
        <v>0</v>
      </c>
      <c r="G282" s="177">
        <v>0</v>
      </c>
      <c r="H282" s="177">
        <v>0</v>
      </c>
      <c r="I282" s="432" t="e">
        <f t="shared" si="4"/>
        <v>#DIV/0!</v>
      </c>
      <c r="J282" s="431"/>
    </row>
    <row r="283" spans="1:10" ht="49.9" customHeight="1" x14ac:dyDescent="0.25">
      <c r="A283" s="619"/>
      <c r="B283" s="645"/>
      <c r="C283" s="221" t="s">
        <v>356</v>
      </c>
      <c r="D283" s="177">
        <v>1336995000</v>
      </c>
      <c r="E283" s="177">
        <v>1336995000</v>
      </c>
      <c r="F283" s="177">
        <v>1333569000</v>
      </c>
      <c r="G283" s="177">
        <v>1333569000</v>
      </c>
      <c r="H283" s="177">
        <v>673619699</v>
      </c>
      <c r="I283" s="432">
        <f t="shared" si="4"/>
        <v>0.50512549331905587</v>
      </c>
      <c r="J283" s="431"/>
    </row>
    <row r="284" spans="1:10" ht="49.9" customHeight="1" x14ac:dyDescent="0.25">
      <c r="A284" s="619"/>
      <c r="B284" s="646"/>
      <c r="C284" s="221" t="s">
        <v>542</v>
      </c>
      <c r="D284" s="177">
        <v>7278000</v>
      </c>
      <c r="E284" s="177">
        <v>7278000</v>
      </c>
      <c r="F284" s="177">
        <v>0</v>
      </c>
      <c r="G284" s="177">
        <v>0</v>
      </c>
      <c r="H284" s="177">
        <v>0</v>
      </c>
      <c r="I284" s="432" t="e">
        <f t="shared" si="4"/>
        <v>#DIV/0!</v>
      </c>
      <c r="J284" s="431"/>
    </row>
    <row r="285" spans="1:10" ht="49.9" customHeight="1" x14ac:dyDescent="0.25">
      <c r="A285" s="619"/>
      <c r="B285" s="644" t="s">
        <v>351</v>
      </c>
      <c r="C285" s="221" t="s">
        <v>354</v>
      </c>
      <c r="D285" s="177">
        <v>679700000</v>
      </c>
      <c r="E285" s="177">
        <v>679700000</v>
      </c>
      <c r="F285" s="177">
        <v>672552000</v>
      </c>
      <c r="G285" s="177">
        <v>672552000</v>
      </c>
      <c r="H285" s="177">
        <v>384191933</v>
      </c>
      <c r="I285" s="432">
        <f t="shared" si="4"/>
        <v>0.57124494908943846</v>
      </c>
      <c r="J285" s="431"/>
    </row>
    <row r="286" spans="1:10" ht="49.9" customHeight="1" x14ac:dyDescent="0.25">
      <c r="A286" s="619"/>
      <c r="B286" s="645"/>
      <c r="C286" s="221" t="s">
        <v>355</v>
      </c>
      <c r="D286" s="177">
        <v>871058000</v>
      </c>
      <c r="E286" s="177">
        <v>871058000</v>
      </c>
      <c r="F286" s="177">
        <v>609327908</v>
      </c>
      <c r="G286" s="177">
        <v>609327908</v>
      </c>
      <c r="H286" s="177">
        <v>225508462</v>
      </c>
      <c r="I286" s="432">
        <f t="shared" si="4"/>
        <v>0.3700937689530544</v>
      </c>
      <c r="J286" s="431"/>
    </row>
    <row r="287" spans="1:10" ht="49.9" customHeight="1" x14ac:dyDescent="0.25">
      <c r="A287" s="619"/>
      <c r="B287" s="646"/>
      <c r="C287" s="221" t="s">
        <v>356</v>
      </c>
      <c r="D287" s="177">
        <v>1813479000</v>
      </c>
      <c r="E287" s="177">
        <v>1813479000</v>
      </c>
      <c r="F287" s="177">
        <v>1465355000</v>
      </c>
      <c r="G287" s="177">
        <v>1465355000</v>
      </c>
      <c r="H287" s="177">
        <v>787285169</v>
      </c>
      <c r="I287" s="432">
        <f t="shared" si="4"/>
        <v>0.53726582909943321</v>
      </c>
      <c r="J287" s="431"/>
    </row>
    <row r="288" spans="1:10" ht="49.9" customHeight="1" x14ac:dyDescent="0.25">
      <c r="A288" s="619"/>
      <c r="B288" s="234" t="s">
        <v>352</v>
      </c>
      <c r="C288" s="221" t="s">
        <v>354</v>
      </c>
      <c r="D288" s="177">
        <v>843232000</v>
      </c>
      <c r="E288" s="177">
        <v>836184000</v>
      </c>
      <c r="F288" s="177">
        <v>455184000</v>
      </c>
      <c r="G288" s="177">
        <v>455184000</v>
      </c>
      <c r="H288" s="177">
        <v>255129574</v>
      </c>
      <c r="I288" s="432">
        <f t="shared" si="4"/>
        <v>0.56049767566522546</v>
      </c>
      <c r="J288" s="431"/>
    </row>
    <row r="289" spans="1:10" ht="49.9" customHeight="1" x14ac:dyDescent="0.25">
      <c r="A289" s="239"/>
      <c r="B289" s="644" t="s">
        <v>353</v>
      </c>
      <c r="C289" s="221" t="s">
        <v>354</v>
      </c>
      <c r="D289" s="177">
        <v>2180745000</v>
      </c>
      <c r="E289" s="177">
        <v>2180745000</v>
      </c>
      <c r="F289" s="177">
        <v>815963000</v>
      </c>
      <c r="G289" s="177">
        <v>815963000</v>
      </c>
      <c r="H289" s="177">
        <v>388415818</v>
      </c>
      <c r="I289" s="432">
        <f>H289/F289</f>
        <v>0.47602136126270433</v>
      </c>
      <c r="J289" s="431"/>
    </row>
    <row r="290" spans="1:10" ht="49.9" customHeight="1" x14ac:dyDescent="0.25">
      <c r="A290" s="239"/>
      <c r="B290" s="646"/>
      <c r="C290" s="221" t="s">
        <v>355</v>
      </c>
      <c r="D290" s="177">
        <v>38864000</v>
      </c>
      <c r="E290" s="177">
        <v>38864000</v>
      </c>
      <c r="F290" s="177">
        <v>0</v>
      </c>
      <c r="G290" s="177">
        <v>0</v>
      </c>
      <c r="H290" s="177">
        <v>0</v>
      </c>
      <c r="I290" s="432" t="e">
        <f>H290/F290</f>
        <v>#DIV/0!</v>
      </c>
      <c r="J290" s="431"/>
    </row>
    <row r="291" spans="1:10" ht="49.9" customHeight="1" x14ac:dyDescent="0.25">
      <c r="A291" s="618" t="s">
        <v>129</v>
      </c>
      <c r="B291" s="234" t="s">
        <v>344</v>
      </c>
      <c r="C291" s="177">
        <v>725040000</v>
      </c>
      <c r="D291" s="177">
        <v>588053000</v>
      </c>
      <c r="E291" s="177">
        <v>585413000</v>
      </c>
      <c r="F291" s="177">
        <v>585413000</v>
      </c>
      <c r="G291" s="177">
        <v>394918600</v>
      </c>
      <c r="H291" s="241">
        <f>G291/E291</f>
        <v>0.67459827506392922</v>
      </c>
      <c r="I291" s="430"/>
      <c r="J291" s="431"/>
    </row>
    <row r="292" spans="1:10" ht="49.9" customHeight="1" x14ac:dyDescent="0.25">
      <c r="A292" s="619"/>
      <c r="B292" s="234" t="s">
        <v>345</v>
      </c>
      <c r="C292" s="177">
        <v>6130432000</v>
      </c>
      <c r="D292" s="177">
        <v>6219259000</v>
      </c>
      <c r="E292" s="177">
        <v>1879977000</v>
      </c>
      <c r="F292" s="177">
        <v>1879977000</v>
      </c>
      <c r="G292" s="177">
        <v>1230598335</v>
      </c>
      <c r="H292" s="241">
        <f t="shared" ref="H292:H301" si="5">G292/E292</f>
        <v>0.65458159062584276</v>
      </c>
      <c r="I292" s="430"/>
      <c r="J292" s="431"/>
    </row>
    <row r="293" spans="1:10" ht="49.9" customHeight="1" x14ac:dyDescent="0.25">
      <c r="A293" s="619"/>
      <c r="B293" s="234" t="s">
        <v>349</v>
      </c>
      <c r="C293" s="177">
        <v>1617058000</v>
      </c>
      <c r="D293" s="177">
        <v>1617058000</v>
      </c>
      <c r="E293" s="177">
        <v>1097940000</v>
      </c>
      <c r="F293" s="177">
        <v>1097940000</v>
      </c>
      <c r="G293" s="177">
        <v>753544868</v>
      </c>
      <c r="H293" s="241">
        <f t="shared" si="5"/>
        <v>0.68632609067890782</v>
      </c>
      <c r="I293" s="430"/>
      <c r="J293" s="431"/>
    </row>
    <row r="294" spans="1:10" ht="49.9" customHeight="1" x14ac:dyDescent="0.25">
      <c r="A294" s="619"/>
      <c r="B294" s="644" t="s">
        <v>541</v>
      </c>
      <c r="C294" s="177">
        <f>154846000-48160000</f>
        <v>106686000</v>
      </c>
      <c r="D294" s="177">
        <v>161894000</v>
      </c>
      <c r="E294" s="177">
        <v>160269000</v>
      </c>
      <c r="F294" s="177">
        <v>160269000</v>
      </c>
      <c r="G294" s="177">
        <v>86995534</v>
      </c>
      <c r="H294" s="241">
        <f t="shared" si="5"/>
        <v>0.54280948904654047</v>
      </c>
      <c r="I294" s="430"/>
      <c r="J294" s="431"/>
    </row>
    <row r="295" spans="1:10" ht="49.9" customHeight="1" x14ac:dyDescent="0.25">
      <c r="A295" s="619"/>
      <c r="B295" s="645"/>
      <c r="C295" s="177">
        <v>117874000</v>
      </c>
      <c r="D295" s="177">
        <v>117874000</v>
      </c>
      <c r="E295" s="177">
        <v>0</v>
      </c>
      <c r="F295" s="177">
        <v>0</v>
      </c>
      <c r="G295" s="177">
        <v>0</v>
      </c>
      <c r="H295" s="241" t="e">
        <f t="shared" si="5"/>
        <v>#DIV/0!</v>
      </c>
      <c r="I295" s="430"/>
      <c r="J295" s="431"/>
    </row>
    <row r="296" spans="1:10" ht="49.9" customHeight="1" x14ac:dyDescent="0.25">
      <c r="A296" s="619"/>
      <c r="B296" s="645"/>
      <c r="C296" s="177">
        <v>1336995000</v>
      </c>
      <c r="D296" s="177">
        <v>1336995000</v>
      </c>
      <c r="E296" s="177">
        <v>1333569000</v>
      </c>
      <c r="F296" s="177">
        <v>1333569000</v>
      </c>
      <c r="G296" s="177">
        <v>794413699</v>
      </c>
      <c r="H296" s="241">
        <f t="shared" si="5"/>
        <v>0.59570498339418509</v>
      </c>
      <c r="I296" s="430"/>
      <c r="J296" s="431"/>
    </row>
    <row r="297" spans="1:10" ht="49.9" customHeight="1" x14ac:dyDescent="0.25">
      <c r="A297" s="619"/>
      <c r="B297" s="646"/>
      <c r="C297" s="177">
        <v>7278000</v>
      </c>
      <c r="D297" s="177">
        <v>7278000</v>
      </c>
      <c r="E297" s="177">
        <v>0</v>
      </c>
      <c r="F297" s="177">
        <v>0</v>
      </c>
      <c r="G297" s="177">
        <v>0</v>
      </c>
      <c r="H297" s="241" t="e">
        <f t="shared" si="5"/>
        <v>#DIV/0!</v>
      </c>
      <c r="I297" s="430"/>
      <c r="J297" s="431"/>
    </row>
    <row r="298" spans="1:10" ht="49.9" customHeight="1" x14ac:dyDescent="0.25">
      <c r="A298" s="619"/>
      <c r="B298" s="644" t="s">
        <v>351</v>
      </c>
      <c r="C298" s="177">
        <v>679700000</v>
      </c>
      <c r="D298" s="177">
        <v>679700000</v>
      </c>
      <c r="E298" s="177">
        <v>672552000</v>
      </c>
      <c r="F298" s="177">
        <v>672552000</v>
      </c>
      <c r="G298" s="177">
        <v>454258933</v>
      </c>
      <c r="H298" s="241">
        <f t="shared" si="5"/>
        <v>0.67542574105794051</v>
      </c>
      <c r="I298" s="430"/>
      <c r="J298" s="431"/>
    </row>
    <row r="299" spans="1:10" ht="49.9" customHeight="1" x14ac:dyDescent="0.25">
      <c r="A299" s="619"/>
      <c r="B299" s="645"/>
      <c r="C299" s="177">
        <v>871058000</v>
      </c>
      <c r="D299" s="177">
        <v>871058000</v>
      </c>
      <c r="E299" s="177">
        <v>609327908</v>
      </c>
      <c r="F299" s="177">
        <v>609327908</v>
      </c>
      <c r="G299" s="177">
        <v>266781190</v>
      </c>
      <c r="H299" s="241">
        <f t="shared" si="5"/>
        <v>0.43782860836894411</v>
      </c>
      <c r="I299" s="430"/>
      <c r="J299" s="431"/>
    </row>
    <row r="300" spans="1:10" ht="49.9" customHeight="1" x14ac:dyDescent="0.25">
      <c r="A300" s="619"/>
      <c r="B300" s="646"/>
      <c r="C300" s="177">
        <v>1813479000</v>
      </c>
      <c r="D300" s="177">
        <v>1813479000</v>
      </c>
      <c r="E300" s="177">
        <v>1479383000</v>
      </c>
      <c r="F300" s="177">
        <v>1479383000</v>
      </c>
      <c r="G300" s="177">
        <v>945966436</v>
      </c>
      <c r="H300" s="241">
        <f t="shared" si="5"/>
        <v>0.63943308527947129</v>
      </c>
      <c r="I300" s="430"/>
      <c r="J300" s="431"/>
    </row>
    <row r="301" spans="1:10" ht="49.9" customHeight="1" x14ac:dyDescent="0.25">
      <c r="A301" s="619"/>
      <c r="B301" s="234" t="s">
        <v>352</v>
      </c>
      <c r="C301" s="177">
        <v>843232000</v>
      </c>
      <c r="D301" s="177">
        <v>836184000</v>
      </c>
      <c r="E301" s="177">
        <v>455184000</v>
      </c>
      <c r="F301" s="177">
        <v>455184000</v>
      </c>
      <c r="G301" s="177">
        <v>304998938</v>
      </c>
      <c r="H301" s="241">
        <f t="shared" si="5"/>
        <v>0.67005636841365246</v>
      </c>
      <c r="I301" s="430"/>
      <c r="J301" s="431"/>
    </row>
    <row r="302" spans="1:10" ht="49.9" customHeight="1" x14ac:dyDescent="0.25">
      <c r="A302" s="619"/>
      <c r="B302" s="644" t="s">
        <v>353</v>
      </c>
      <c r="C302" s="177">
        <v>2180745000</v>
      </c>
      <c r="D302" s="177">
        <v>2180745000</v>
      </c>
      <c r="E302" s="177">
        <v>815963000</v>
      </c>
      <c r="F302" s="177">
        <v>815963000</v>
      </c>
      <c r="G302" s="177">
        <v>463887092</v>
      </c>
      <c r="H302" s="241">
        <f>G302/E302</f>
        <v>0.56851486158073339</v>
      </c>
      <c r="I302" s="430"/>
      <c r="J302" s="431"/>
    </row>
    <row r="303" spans="1:10" ht="49.9" customHeight="1" x14ac:dyDescent="0.25">
      <c r="A303" s="620"/>
      <c r="B303" s="646"/>
      <c r="C303" s="177">
        <v>38864000</v>
      </c>
      <c r="D303" s="177">
        <v>38864000</v>
      </c>
      <c r="E303" s="177">
        <v>0</v>
      </c>
      <c r="F303" s="177">
        <v>0</v>
      </c>
      <c r="G303" s="177">
        <v>0</v>
      </c>
      <c r="H303" s="241" t="e">
        <f>G303/E303</f>
        <v>#DIV/0!</v>
      </c>
      <c r="I303" s="430"/>
      <c r="J303" s="431"/>
    </row>
    <row r="304" spans="1:10" ht="49.9" customHeight="1" x14ac:dyDescent="0.25">
      <c r="A304" s="618" t="s">
        <v>130</v>
      </c>
      <c r="B304" s="234" t="s">
        <v>344</v>
      </c>
      <c r="C304" s="177">
        <v>725040000</v>
      </c>
      <c r="D304" s="177">
        <v>664856767</v>
      </c>
      <c r="E304" s="177">
        <v>597453000</v>
      </c>
      <c r="F304" s="177">
        <v>597453000</v>
      </c>
      <c r="G304" s="177">
        <v>467407600</v>
      </c>
      <c r="H304" s="238">
        <f t="shared" si="1"/>
        <v>0.78233367310901447</v>
      </c>
      <c r="I304" s="430"/>
      <c r="J304" s="431"/>
    </row>
    <row r="305" spans="1:10" ht="49.9" customHeight="1" x14ac:dyDescent="0.25">
      <c r="A305" s="619"/>
      <c r="B305" s="234" t="s">
        <v>345</v>
      </c>
      <c r="C305" s="177">
        <v>6130432000</v>
      </c>
      <c r="D305" s="177">
        <v>5536905968</v>
      </c>
      <c r="E305" s="177">
        <v>2115789834</v>
      </c>
      <c r="F305" s="177">
        <v>2115789834</v>
      </c>
      <c r="G305" s="177">
        <v>1419163968</v>
      </c>
      <c r="H305" s="238">
        <f t="shared" si="1"/>
        <v>0.67074902487691979</v>
      </c>
      <c r="I305" s="430"/>
      <c r="J305" s="431"/>
    </row>
    <row r="306" spans="1:10" ht="49.9" customHeight="1" x14ac:dyDescent="0.25">
      <c r="A306" s="619"/>
      <c r="B306" s="234" t="s">
        <v>349</v>
      </c>
      <c r="C306" s="177">
        <v>1617058000</v>
      </c>
      <c r="D306" s="177">
        <v>1898153100</v>
      </c>
      <c r="E306" s="177">
        <v>1137940000</v>
      </c>
      <c r="F306" s="177">
        <v>1137940000</v>
      </c>
      <c r="G306" s="177">
        <v>874450868</v>
      </c>
      <c r="H306" s="238">
        <f t="shared" si="1"/>
        <v>0.76845076893333564</v>
      </c>
      <c r="I306" s="430"/>
      <c r="J306" s="431"/>
    </row>
    <row r="307" spans="1:10" ht="49.9" customHeight="1" x14ac:dyDescent="0.25">
      <c r="A307" s="619"/>
      <c r="B307" s="644" t="s">
        <v>541</v>
      </c>
      <c r="C307" s="177">
        <f>154846000-48160000</f>
        <v>106686000</v>
      </c>
      <c r="D307" s="177">
        <v>375716900</v>
      </c>
      <c r="E307" s="177">
        <v>208209200</v>
      </c>
      <c r="F307" s="177">
        <v>208209200</v>
      </c>
      <c r="G307" s="177">
        <v>111747867</v>
      </c>
      <c r="H307" s="238">
        <f t="shared" si="1"/>
        <v>0.53670955462102543</v>
      </c>
      <c r="I307" s="430"/>
      <c r="J307" s="431"/>
    </row>
    <row r="308" spans="1:10" ht="49.9" customHeight="1" x14ac:dyDescent="0.25">
      <c r="A308" s="619"/>
      <c r="B308" s="645"/>
      <c r="C308" s="177">
        <v>117874000</v>
      </c>
      <c r="D308" s="177">
        <v>117874000</v>
      </c>
      <c r="E308" s="177">
        <v>0</v>
      </c>
      <c r="F308" s="177">
        <v>0</v>
      </c>
      <c r="G308" s="177">
        <v>0</v>
      </c>
      <c r="H308" s="238" t="e">
        <f t="shared" si="1"/>
        <v>#DIV/0!</v>
      </c>
      <c r="I308" s="430"/>
      <c r="J308" s="431"/>
    </row>
    <row r="309" spans="1:10" ht="49.9" customHeight="1" x14ac:dyDescent="0.25">
      <c r="A309" s="619"/>
      <c r="B309" s="645"/>
      <c r="C309" s="177">
        <v>1336995000</v>
      </c>
      <c r="D309" s="177">
        <v>1336995000</v>
      </c>
      <c r="E309" s="177">
        <v>1333569000</v>
      </c>
      <c r="F309" s="177">
        <v>1333569000</v>
      </c>
      <c r="G309" s="177">
        <v>944156966</v>
      </c>
      <c r="H309" s="238">
        <f t="shared" si="1"/>
        <v>0.70799258681028132</v>
      </c>
      <c r="I309" s="430"/>
      <c r="J309" s="431"/>
    </row>
    <row r="310" spans="1:10" ht="49.9" customHeight="1" x14ac:dyDescent="0.25">
      <c r="A310" s="619"/>
      <c r="B310" s="646"/>
      <c r="C310" s="177">
        <v>7278000</v>
      </c>
      <c r="D310" s="177">
        <v>7278000</v>
      </c>
      <c r="E310" s="177">
        <v>0</v>
      </c>
      <c r="F310" s="177">
        <v>0</v>
      </c>
      <c r="G310" s="177">
        <v>0</v>
      </c>
      <c r="H310" s="238" t="e">
        <f t="shared" si="1"/>
        <v>#DIV/0!</v>
      </c>
      <c r="I310" s="430"/>
      <c r="J310" s="431"/>
    </row>
    <row r="311" spans="1:10" ht="49.9" customHeight="1" x14ac:dyDescent="0.25">
      <c r="A311" s="619"/>
      <c r="B311" s="644" t="s">
        <v>351</v>
      </c>
      <c r="C311" s="177">
        <v>679700000</v>
      </c>
      <c r="D311" s="177">
        <v>833369108</v>
      </c>
      <c r="E311" s="177">
        <v>682060300</v>
      </c>
      <c r="F311" s="177">
        <v>682060300</v>
      </c>
      <c r="G311" s="177">
        <v>527832933</v>
      </c>
      <c r="H311" s="238">
        <f t="shared" si="1"/>
        <v>0.77388015839655233</v>
      </c>
      <c r="I311" s="430"/>
      <c r="J311" s="431"/>
    </row>
    <row r="312" spans="1:10" ht="49.9" customHeight="1" x14ac:dyDescent="0.25">
      <c r="A312" s="619"/>
      <c r="B312" s="645"/>
      <c r="C312" s="177">
        <v>871058000</v>
      </c>
      <c r="D312" s="177">
        <v>871058000</v>
      </c>
      <c r="E312" s="177">
        <v>609327908</v>
      </c>
      <c r="F312" s="177">
        <v>609327908</v>
      </c>
      <c r="G312" s="177">
        <v>312323063</v>
      </c>
      <c r="H312" s="238">
        <f t="shared" si="1"/>
        <v>0.51256976563758505</v>
      </c>
      <c r="I312" s="430"/>
      <c r="J312" s="431"/>
    </row>
    <row r="313" spans="1:10" ht="49.9" customHeight="1" x14ac:dyDescent="0.25">
      <c r="A313" s="619"/>
      <c r="B313" s="646"/>
      <c r="C313" s="177">
        <v>1813479000</v>
      </c>
      <c r="D313" s="177">
        <v>1813479000</v>
      </c>
      <c r="E313" s="177">
        <v>1536739700</v>
      </c>
      <c r="F313" s="177">
        <v>1536739700</v>
      </c>
      <c r="G313" s="177">
        <v>1109558936</v>
      </c>
      <c r="H313" s="238">
        <f t="shared" si="1"/>
        <v>0.72202139113084673</v>
      </c>
      <c r="I313" s="430"/>
      <c r="J313" s="431"/>
    </row>
    <row r="314" spans="1:10" ht="49.9" customHeight="1" x14ac:dyDescent="0.25">
      <c r="A314" s="619"/>
      <c r="B314" s="234" t="s">
        <v>352</v>
      </c>
      <c r="C314" s="177">
        <v>843232000</v>
      </c>
      <c r="D314" s="177">
        <v>953656198</v>
      </c>
      <c r="E314" s="177">
        <v>488561800</v>
      </c>
      <c r="F314" s="177">
        <v>488561800</v>
      </c>
      <c r="G314" s="177">
        <v>354868302</v>
      </c>
      <c r="H314" s="238">
        <f t="shared" si="1"/>
        <v>0.72635294449954946</v>
      </c>
      <c r="I314" s="430"/>
      <c r="J314" s="431"/>
    </row>
    <row r="315" spans="1:10" ht="49.9" customHeight="1" x14ac:dyDescent="0.25">
      <c r="A315" s="619"/>
      <c r="B315" s="644" t="s">
        <v>353</v>
      </c>
      <c r="C315" s="177">
        <v>2180745000</v>
      </c>
      <c r="D315" s="177">
        <v>2020234959</v>
      </c>
      <c r="E315" s="177">
        <v>836275000</v>
      </c>
      <c r="F315" s="177">
        <v>836275000</v>
      </c>
      <c r="G315" s="177">
        <v>650070449</v>
      </c>
      <c r="H315" s="238">
        <f t="shared" si="1"/>
        <v>0.77734052674060561</v>
      </c>
      <c r="I315" s="430"/>
      <c r="J315" s="431"/>
    </row>
    <row r="316" spans="1:10" ht="49.9" customHeight="1" x14ac:dyDescent="0.25">
      <c r="A316" s="620"/>
      <c r="B316" s="646"/>
      <c r="C316" s="177">
        <v>38864000</v>
      </c>
      <c r="D316" s="177">
        <v>38864000</v>
      </c>
      <c r="E316" s="177">
        <v>0</v>
      </c>
      <c r="F316" s="177">
        <v>0</v>
      </c>
      <c r="G316" s="177">
        <v>0</v>
      </c>
      <c r="H316" s="238" t="e">
        <f t="shared" si="1"/>
        <v>#DIV/0!</v>
      </c>
      <c r="I316" s="430"/>
      <c r="J316" s="431"/>
    </row>
    <row r="317" spans="1:10" ht="49.9" customHeight="1" x14ac:dyDescent="0.25">
      <c r="A317" s="618" t="s">
        <v>131</v>
      </c>
      <c r="B317" s="221" t="s">
        <v>344</v>
      </c>
      <c r="C317" s="177">
        <v>725040000</v>
      </c>
      <c r="D317" s="177">
        <v>664063000</v>
      </c>
      <c r="E317" s="177">
        <v>644162200</v>
      </c>
      <c r="F317" s="177">
        <v>644162200</v>
      </c>
      <c r="G317" s="177">
        <v>515166600</v>
      </c>
      <c r="H317" s="238">
        <f>G317/E317</f>
        <v>0.79974670975726303</v>
      </c>
      <c r="I317" s="430"/>
      <c r="J317" s="431"/>
    </row>
    <row r="318" spans="1:10" ht="49.9" customHeight="1" x14ac:dyDescent="0.25">
      <c r="A318" s="619"/>
      <c r="B318" s="641" t="s">
        <v>345</v>
      </c>
      <c r="C318" s="177">
        <v>6130432000</v>
      </c>
      <c r="D318" s="177">
        <v>3432133334</v>
      </c>
      <c r="E318" s="177">
        <v>2336563534</v>
      </c>
      <c r="F318" s="177">
        <v>2336563534</v>
      </c>
      <c r="G318" s="177">
        <v>1615859560</v>
      </c>
      <c r="H318" s="238">
        <f t="shared" si="1"/>
        <v>0.69155387238017219</v>
      </c>
      <c r="I318" s="430"/>
      <c r="J318" s="431"/>
    </row>
    <row r="319" spans="1:10" ht="49.9" customHeight="1" x14ac:dyDescent="0.25">
      <c r="A319" s="619"/>
      <c r="B319" s="657"/>
      <c r="C319" s="177">
        <v>0</v>
      </c>
      <c r="D319" s="177">
        <v>942550113</v>
      </c>
      <c r="E319" s="177">
        <v>0</v>
      </c>
      <c r="F319" s="177">
        <v>0</v>
      </c>
      <c r="G319" s="177">
        <v>0</v>
      </c>
      <c r="H319" s="238" t="e">
        <f t="shared" si="1"/>
        <v>#DIV/0!</v>
      </c>
      <c r="I319" s="430"/>
      <c r="J319" s="431"/>
    </row>
    <row r="320" spans="1:10" ht="49.9" customHeight="1" x14ac:dyDescent="0.25">
      <c r="A320" s="619"/>
      <c r="B320" s="657"/>
      <c r="C320" s="177">
        <v>0</v>
      </c>
      <c r="D320" s="177">
        <v>106931000</v>
      </c>
      <c r="E320" s="177">
        <v>0</v>
      </c>
      <c r="F320" s="177">
        <v>0</v>
      </c>
      <c r="G320" s="177">
        <v>0</v>
      </c>
      <c r="H320" s="238" t="e">
        <f t="shared" si="1"/>
        <v>#DIV/0!</v>
      </c>
      <c r="I320" s="430"/>
      <c r="J320" s="431"/>
    </row>
    <row r="321" spans="1:10" ht="49.9" customHeight="1" x14ac:dyDescent="0.25">
      <c r="A321" s="619"/>
      <c r="B321" s="657"/>
      <c r="C321" s="177">
        <v>0</v>
      </c>
      <c r="D321" s="177">
        <v>1243207000</v>
      </c>
      <c r="E321" s="177">
        <v>0</v>
      </c>
      <c r="F321" s="177">
        <v>0</v>
      </c>
      <c r="G321" s="177">
        <v>0</v>
      </c>
      <c r="H321" s="238" t="e">
        <f t="shared" si="1"/>
        <v>#DIV/0!</v>
      </c>
      <c r="I321" s="430"/>
      <c r="J321" s="431"/>
    </row>
    <row r="322" spans="1:10" ht="49.9" customHeight="1" x14ac:dyDescent="0.25">
      <c r="A322" s="619"/>
      <c r="B322" s="657"/>
      <c r="C322" s="177">
        <v>0</v>
      </c>
      <c r="D322" s="177">
        <v>49887783</v>
      </c>
      <c r="E322" s="177">
        <v>0</v>
      </c>
      <c r="F322" s="177">
        <v>0</v>
      </c>
      <c r="G322" s="177">
        <v>0</v>
      </c>
      <c r="H322" s="238" t="e">
        <f t="shared" si="1"/>
        <v>#DIV/0!</v>
      </c>
      <c r="I322" s="430"/>
      <c r="J322" s="431"/>
    </row>
    <row r="323" spans="1:10" ht="49.9" customHeight="1" x14ac:dyDescent="0.25">
      <c r="A323" s="619"/>
      <c r="B323" s="642"/>
      <c r="C323" s="177">
        <v>0</v>
      </c>
      <c r="D323" s="177">
        <v>461999876</v>
      </c>
      <c r="E323" s="177">
        <v>0</v>
      </c>
      <c r="F323" s="177">
        <v>0</v>
      </c>
      <c r="G323" s="177">
        <v>0</v>
      </c>
      <c r="H323" s="238" t="e">
        <f t="shared" si="1"/>
        <v>#DIV/0!</v>
      </c>
      <c r="I323" s="430"/>
      <c r="J323" s="431"/>
    </row>
    <row r="324" spans="1:10" ht="49.9" customHeight="1" x14ac:dyDescent="0.25">
      <c r="A324" s="619"/>
      <c r="B324" s="221" t="s">
        <v>349</v>
      </c>
      <c r="C324" s="177">
        <v>1617058000</v>
      </c>
      <c r="D324" s="177">
        <v>1951122100</v>
      </c>
      <c r="E324" s="177">
        <v>1685938200</v>
      </c>
      <c r="F324" s="177">
        <v>1685938200</v>
      </c>
      <c r="G324" s="177">
        <v>993332868</v>
      </c>
      <c r="H324" s="238">
        <f t="shared" si="1"/>
        <v>0.58918699866934621</v>
      </c>
      <c r="I324" s="430"/>
      <c r="J324" s="431"/>
    </row>
    <row r="325" spans="1:10" ht="49.9" customHeight="1" x14ac:dyDescent="0.25">
      <c r="A325" s="619"/>
      <c r="B325" s="641" t="s">
        <v>541</v>
      </c>
      <c r="C325" s="177">
        <f>154846000-48160000</f>
        <v>106686000</v>
      </c>
      <c r="D325" s="177">
        <v>523043100</v>
      </c>
      <c r="E325" s="177">
        <v>366388600</v>
      </c>
      <c r="F325" s="177">
        <v>366388600</v>
      </c>
      <c r="G325" s="177">
        <v>125148401</v>
      </c>
      <c r="H325" s="238">
        <f t="shared" si="1"/>
        <v>0.34157285734326887</v>
      </c>
      <c r="I325" s="430"/>
      <c r="J325" s="431"/>
    </row>
    <row r="326" spans="1:10" ht="49.9" customHeight="1" x14ac:dyDescent="0.25">
      <c r="A326" s="619"/>
      <c r="B326" s="657"/>
      <c r="C326" s="177">
        <v>117874000</v>
      </c>
      <c r="D326" s="177">
        <v>75039600</v>
      </c>
      <c r="E326" s="177">
        <v>65708600</v>
      </c>
      <c r="F326" s="177">
        <v>65708600</v>
      </c>
      <c r="G326" s="177">
        <v>0</v>
      </c>
      <c r="H326" s="238">
        <f t="shared" si="1"/>
        <v>0</v>
      </c>
      <c r="I326" s="430"/>
      <c r="J326" s="431"/>
    </row>
    <row r="327" spans="1:10" ht="49.9" customHeight="1" x14ac:dyDescent="0.25">
      <c r="A327" s="619"/>
      <c r="B327" s="657"/>
      <c r="C327" s="177">
        <v>1336995000</v>
      </c>
      <c r="D327" s="177">
        <v>1340583000</v>
      </c>
      <c r="E327" s="177">
        <v>1333569000</v>
      </c>
      <c r="F327" s="177">
        <v>1333569000</v>
      </c>
      <c r="G327" s="177">
        <v>1093410766</v>
      </c>
      <c r="H327" s="238">
        <f t="shared" si="1"/>
        <v>0.81991315484988025</v>
      </c>
      <c r="I327" s="430"/>
      <c r="J327" s="431"/>
    </row>
    <row r="328" spans="1:10" ht="49.9" customHeight="1" x14ac:dyDescent="0.25">
      <c r="A328" s="619"/>
      <c r="B328" s="657"/>
      <c r="C328" s="177">
        <v>0</v>
      </c>
      <c r="D328" s="177">
        <v>7442298</v>
      </c>
      <c r="E328" s="177">
        <v>0</v>
      </c>
      <c r="F328" s="177">
        <v>0</v>
      </c>
      <c r="G328" s="177">
        <v>0</v>
      </c>
      <c r="H328" s="238" t="e">
        <f t="shared" si="1"/>
        <v>#DIV/0!</v>
      </c>
      <c r="I328" s="430"/>
      <c r="J328" s="431"/>
    </row>
    <row r="329" spans="1:10" ht="49.9" customHeight="1" x14ac:dyDescent="0.25">
      <c r="A329" s="619"/>
      <c r="B329" s="642"/>
      <c r="C329" s="177">
        <v>7278000</v>
      </c>
      <c r="D329" s="177">
        <v>7279900</v>
      </c>
      <c r="E329" s="177">
        <v>0</v>
      </c>
      <c r="F329" s="177">
        <v>0</v>
      </c>
      <c r="G329" s="177">
        <v>0</v>
      </c>
      <c r="H329" s="238" t="e">
        <f t="shared" si="1"/>
        <v>#DIV/0!</v>
      </c>
      <c r="I329" s="430"/>
      <c r="J329" s="431"/>
    </row>
    <row r="330" spans="1:10" ht="49.9" customHeight="1" x14ac:dyDescent="0.25">
      <c r="A330" s="619"/>
      <c r="B330" s="641" t="s">
        <v>351</v>
      </c>
      <c r="C330" s="177">
        <v>679700000</v>
      </c>
      <c r="D330" s="177">
        <v>1104438709</v>
      </c>
      <c r="E330" s="177">
        <v>688022200</v>
      </c>
      <c r="F330" s="177">
        <v>688022200</v>
      </c>
      <c r="G330" s="177">
        <v>590640200</v>
      </c>
      <c r="H330" s="238">
        <f t="shared" si="1"/>
        <v>0.85846096245150227</v>
      </c>
      <c r="I330" s="430"/>
      <c r="J330" s="431"/>
    </row>
    <row r="331" spans="1:10" ht="49.9" customHeight="1" x14ac:dyDescent="0.25">
      <c r="A331" s="619"/>
      <c r="B331" s="657"/>
      <c r="C331" s="177">
        <v>871058000</v>
      </c>
      <c r="D331" s="177">
        <v>913892400</v>
      </c>
      <c r="E331" s="177">
        <v>609327908</v>
      </c>
      <c r="F331" s="177">
        <v>609327908</v>
      </c>
      <c r="G331" s="177">
        <v>421334140</v>
      </c>
      <c r="H331" s="238">
        <f t="shared" si="1"/>
        <v>0.69147356368912616</v>
      </c>
      <c r="I331" s="430"/>
      <c r="J331" s="431"/>
    </row>
    <row r="332" spans="1:10" ht="49.9" customHeight="1" x14ac:dyDescent="0.25">
      <c r="A332" s="619"/>
      <c r="B332" s="642"/>
      <c r="C332" s="177">
        <v>1813479000</v>
      </c>
      <c r="D332" s="177">
        <v>1809891000</v>
      </c>
      <c r="E332" s="177">
        <v>1652704700</v>
      </c>
      <c r="F332" s="177">
        <v>1652704700</v>
      </c>
      <c r="G332" s="177">
        <v>1284261969</v>
      </c>
      <c r="H332" s="238">
        <f t="shared" si="1"/>
        <v>0.77706680993888377</v>
      </c>
      <c r="I332" s="430"/>
      <c r="J332" s="431"/>
    </row>
    <row r="333" spans="1:10" ht="49.9" customHeight="1" x14ac:dyDescent="0.25">
      <c r="A333" s="619"/>
      <c r="B333" s="221" t="s">
        <v>352</v>
      </c>
      <c r="C333" s="177">
        <v>843232000</v>
      </c>
      <c r="D333" s="177">
        <v>1087886300</v>
      </c>
      <c r="E333" s="177">
        <v>532681660</v>
      </c>
      <c r="F333" s="177">
        <v>532681660</v>
      </c>
      <c r="G333" s="177">
        <v>405798576</v>
      </c>
      <c r="H333" s="238">
        <f t="shared" si="1"/>
        <v>0.76180316776815626</v>
      </c>
      <c r="I333" s="430"/>
      <c r="J333" s="431"/>
    </row>
    <row r="334" spans="1:10" ht="49.9" customHeight="1" x14ac:dyDescent="0.25">
      <c r="A334" s="619"/>
      <c r="B334" s="641" t="s">
        <v>353</v>
      </c>
      <c r="C334" s="177">
        <v>2180745000</v>
      </c>
      <c r="D334" s="177">
        <v>2085874600</v>
      </c>
      <c r="E334" s="177">
        <v>940253600</v>
      </c>
      <c r="F334" s="177">
        <v>940253600</v>
      </c>
      <c r="G334" s="177">
        <v>727454805</v>
      </c>
      <c r="H334" s="238">
        <f>G334/E334</f>
        <v>0.77367936161052719</v>
      </c>
      <c r="I334" s="430"/>
      <c r="J334" s="431"/>
    </row>
    <row r="335" spans="1:10" ht="49.9" customHeight="1" x14ac:dyDescent="0.25">
      <c r="A335" s="620"/>
      <c r="B335" s="642"/>
      <c r="C335" s="177">
        <v>38864000</v>
      </c>
      <c r="D335" s="177">
        <v>38864000</v>
      </c>
      <c r="E335" s="177">
        <v>0</v>
      </c>
      <c r="F335" s="177">
        <v>0</v>
      </c>
      <c r="G335" s="177">
        <v>0</v>
      </c>
      <c r="H335" s="238" t="e">
        <f>G335/E335</f>
        <v>#DIV/0!</v>
      </c>
      <c r="I335" s="430"/>
      <c r="J335" s="431"/>
    </row>
    <row r="336" spans="1:10" ht="49.9" customHeight="1" x14ac:dyDescent="0.25">
      <c r="A336" s="618" t="s">
        <v>132</v>
      </c>
      <c r="B336" s="221" t="s">
        <v>344</v>
      </c>
      <c r="C336" s="249">
        <v>725040000</v>
      </c>
      <c r="D336" s="249">
        <v>664063000</v>
      </c>
      <c r="E336" s="249">
        <v>664063000</v>
      </c>
      <c r="F336" s="249">
        <v>664063000</v>
      </c>
      <c r="G336" s="249">
        <v>560428600</v>
      </c>
      <c r="H336" s="238">
        <f>G336/E336</f>
        <v>0.84393890338717859</v>
      </c>
      <c r="I336" s="430"/>
      <c r="J336" s="431"/>
    </row>
    <row r="337" spans="1:10" ht="49.9" customHeight="1" x14ac:dyDescent="0.25">
      <c r="A337" s="619"/>
      <c r="B337" s="641" t="s">
        <v>345</v>
      </c>
      <c r="C337" s="249">
        <v>6130432000</v>
      </c>
      <c r="D337" s="249">
        <v>3432133334</v>
      </c>
      <c r="E337" s="249">
        <v>2473286401</v>
      </c>
      <c r="F337" s="249">
        <v>2473286401</v>
      </c>
      <c r="G337" s="249">
        <v>1816913895</v>
      </c>
      <c r="H337" s="238">
        <f t="shared" ref="H337:H373" si="6">G337/E337</f>
        <v>0.73461524482784712</v>
      </c>
      <c r="I337" s="430"/>
      <c r="J337" s="431"/>
    </row>
    <row r="338" spans="1:10" ht="49.9" customHeight="1" x14ac:dyDescent="0.25">
      <c r="A338" s="619"/>
      <c r="B338" s="657"/>
      <c r="C338" s="249">
        <v>0</v>
      </c>
      <c r="D338" s="249">
        <v>942550113</v>
      </c>
      <c r="E338" s="249">
        <v>942550113</v>
      </c>
      <c r="F338" s="249">
        <v>942550113</v>
      </c>
      <c r="G338" s="249">
        <v>942550113</v>
      </c>
      <c r="H338" s="238">
        <f t="shared" si="6"/>
        <v>1</v>
      </c>
      <c r="I338" s="430"/>
      <c r="J338" s="431"/>
    </row>
    <row r="339" spans="1:10" ht="49.9" customHeight="1" x14ac:dyDescent="0.25">
      <c r="A339" s="619"/>
      <c r="B339" s="657"/>
      <c r="C339" s="249">
        <v>0</v>
      </c>
      <c r="D339" s="249">
        <v>211140743</v>
      </c>
      <c r="E339" s="249">
        <v>0</v>
      </c>
      <c r="F339" s="249">
        <v>0</v>
      </c>
      <c r="G339" s="249">
        <v>0</v>
      </c>
      <c r="H339" s="238" t="e">
        <f t="shared" si="6"/>
        <v>#DIV/0!</v>
      </c>
      <c r="I339" s="430"/>
      <c r="J339" s="431"/>
    </row>
    <row r="340" spans="1:10" ht="49.9" customHeight="1" x14ac:dyDescent="0.25">
      <c r="A340" s="619"/>
      <c r="B340" s="657"/>
      <c r="C340" s="249">
        <v>0</v>
      </c>
      <c r="D340" s="249">
        <v>106931000</v>
      </c>
      <c r="E340" s="249">
        <v>106931000</v>
      </c>
      <c r="F340" s="249">
        <v>106931000</v>
      </c>
      <c r="G340" s="249">
        <v>106931000</v>
      </c>
      <c r="H340" s="238">
        <f t="shared" si="6"/>
        <v>1</v>
      </c>
    </row>
    <row r="341" spans="1:10" ht="49.9" customHeight="1" x14ac:dyDescent="0.25">
      <c r="A341" s="619"/>
      <c r="B341" s="657"/>
      <c r="C341" s="249">
        <v>0</v>
      </c>
      <c r="D341" s="249">
        <v>1243207000</v>
      </c>
      <c r="E341" s="249">
        <v>1243207000</v>
      </c>
      <c r="F341" s="249">
        <v>1243207000</v>
      </c>
      <c r="G341" s="249">
        <v>1243207000</v>
      </c>
      <c r="H341" s="238">
        <f t="shared" si="6"/>
        <v>1</v>
      </c>
    </row>
    <row r="342" spans="1:10" ht="49.9" customHeight="1" x14ac:dyDescent="0.25">
      <c r="A342" s="619"/>
      <c r="B342" s="642"/>
      <c r="C342" s="249">
        <v>0</v>
      </c>
      <c r="D342" s="249">
        <v>49887783</v>
      </c>
      <c r="E342" s="249">
        <v>49887783</v>
      </c>
      <c r="F342" s="249">
        <v>49887783</v>
      </c>
      <c r="G342" s="249">
        <v>0</v>
      </c>
      <c r="H342" s="238">
        <f t="shared" si="6"/>
        <v>0</v>
      </c>
    </row>
    <row r="343" spans="1:10" ht="49.9" customHeight="1" x14ac:dyDescent="0.25">
      <c r="A343" s="619"/>
      <c r="B343" s="221" t="s">
        <v>349</v>
      </c>
      <c r="C343" s="249">
        <v>0</v>
      </c>
      <c r="D343" s="249">
        <v>461999876</v>
      </c>
      <c r="E343" s="249">
        <v>461999876</v>
      </c>
      <c r="F343" s="249">
        <v>461999876</v>
      </c>
      <c r="G343" s="249">
        <v>461999876</v>
      </c>
      <c r="H343" s="238">
        <f t="shared" si="6"/>
        <v>1</v>
      </c>
    </row>
    <row r="344" spans="1:10" ht="49.9" customHeight="1" x14ac:dyDescent="0.25">
      <c r="A344" s="619"/>
      <c r="B344" s="641" t="s">
        <v>541</v>
      </c>
      <c r="C344" s="249">
        <v>1617058000</v>
      </c>
      <c r="D344" s="249">
        <v>1951122100</v>
      </c>
      <c r="E344" s="249">
        <v>1772031700</v>
      </c>
      <c r="F344" s="249">
        <v>1772031700</v>
      </c>
      <c r="G344" s="249">
        <v>1097562968</v>
      </c>
      <c r="H344" s="238">
        <f t="shared" si="6"/>
        <v>0.61938111378030092</v>
      </c>
    </row>
    <row r="345" spans="1:10" ht="49.9" customHeight="1" x14ac:dyDescent="0.25">
      <c r="A345" s="619"/>
      <c r="B345" s="657"/>
      <c r="C345" s="249">
        <v>106686000</v>
      </c>
      <c r="D345" s="249">
        <v>523043100</v>
      </c>
      <c r="E345" s="249">
        <v>481750500</v>
      </c>
      <c r="F345" s="249">
        <v>481750500</v>
      </c>
      <c r="G345" s="249">
        <v>164669101</v>
      </c>
      <c r="H345" s="238">
        <f t="shared" si="6"/>
        <v>0.34181407388264257</v>
      </c>
    </row>
    <row r="346" spans="1:10" ht="49.9" customHeight="1" x14ac:dyDescent="0.25">
      <c r="A346" s="619"/>
      <c r="B346" s="657"/>
      <c r="C346" s="249">
        <v>117874000</v>
      </c>
      <c r="D346" s="249">
        <v>75039600</v>
      </c>
      <c r="E346" s="249">
        <v>65708600</v>
      </c>
      <c r="F346" s="249">
        <v>65708600</v>
      </c>
      <c r="G346" s="249">
        <v>5119466</v>
      </c>
      <c r="H346" s="238">
        <f t="shared" si="6"/>
        <v>7.7911658443491419E-2</v>
      </c>
    </row>
    <row r="347" spans="1:10" ht="49.9" customHeight="1" x14ac:dyDescent="0.25">
      <c r="A347" s="619"/>
      <c r="B347" s="657"/>
      <c r="C347" s="249">
        <v>1336995000</v>
      </c>
      <c r="D347" s="249">
        <v>1340583000</v>
      </c>
      <c r="E347" s="249">
        <v>1340583000</v>
      </c>
      <c r="F347" s="249">
        <v>1340583000</v>
      </c>
      <c r="G347" s="249">
        <v>1211544800</v>
      </c>
      <c r="H347" s="238">
        <f t="shared" si="6"/>
        <v>0.90374471405351253</v>
      </c>
    </row>
    <row r="348" spans="1:10" ht="49.9" customHeight="1" x14ac:dyDescent="0.25">
      <c r="A348" s="619"/>
      <c r="B348" s="642"/>
      <c r="C348" s="249">
        <v>0</v>
      </c>
      <c r="D348" s="249">
        <v>7442298</v>
      </c>
      <c r="E348" s="249">
        <v>0</v>
      </c>
      <c r="F348" s="249">
        <v>0</v>
      </c>
      <c r="G348" s="249">
        <v>0</v>
      </c>
      <c r="H348" s="238" t="e">
        <f t="shared" si="6"/>
        <v>#DIV/0!</v>
      </c>
    </row>
    <row r="349" spans="1:10" ht="49.9" customHeight="1" x14ac:dyDescent="0.25">
      <c r="A349" s="619"/>
      <c r="B349" s="641" t="s">
        <v>351</v>
      </c>
      <c r="C349" s="249">
        <v>7278000</v>
      </c>
      <c r="D349" s="249">
        <v>7279900</v>
      </c>
      <c r="E349" s="249">
        <v>0</v>
      </c>
      <c r="F349" s="249">
        <v>0</v>
      </c>
      <c r="G349" s="249">
        <v>0</v>
      </c>
      <c r="H349" s="238" t="e">
        <f t="shared" si="6"/>
        <v>#DIV/0!</v>
      </c>
    </row>
    <row r="350" spans="1:10" ht="49.9" customHeight="1" x14ac:dyDescent="0.25">
      <c r="A350" s="619"/>
      <c r="B350" s="657"/>
      <c r="C350" s="249">
        <v>679700000</v>
      </c>
      <c r="D350" s="249">
        <v>1104438709</v>
      </c>
      <c r="E350" s="249">
        <v>975798100</v>
      </c>
      <c r="F350" s="249">
        <v>975798100</v>
      </c>
      <c r="G350" s="249">
        <v>654657067</v>
      </c>
      <c r="H350" s="238">
        <f t="shared" si="6"/>
        <v>0.67089397591571454</v>
      </c>
    </row>
    <row r="351" spans="1:10" ht="49.9" customHeight="1" x14ac:dyDescent="0.25">
      <c r="A351" s="619"/>
      <c r="B351" s="642"/>
      <c r="C351" s="249">
        <v>871058000</v>
      </c>
      <c r="D351" s="249">
        <v>913892400</v>
      </c>
      <c r="E351" s="249">
        <v>687303908</v>
      </c>
      <c r="F351" s="249">
        <v>687303908</v>
      </c>
      <c r="G351" s="249">
        <v>504555181</v>
      </c>
      <c r="H351" s="238">
        <f t="shared" si="6"/>
        <v>0.73410783079673692</v>
      </c>
    </row>
    <row r="352" spans="1:10" ht="49.9" customHeight="1" x14ac:dyDescent="0.25">
      <c r="A352" s="619"/>
      <c r="B352" s="221" t="s">
        <v>352</v>
      </c>
      <c r="C352" s="249">
        <v>1813479000</v>
      </c>
      <c r="D352" s="249">
        <v>1809891000</v>
      </c>
      <c r="E352" s="249">
        <v>1662860700</v>
      </c>
      <c r="F352" s="249">
        <v>1662860700</v>
      </c>
      <c r="G352" s="249">
        <v>1438188102</v>
      </c>
      <c r="H352" s="238">
        <f t="shared" si="6"/>
        <v>0.86488790191505516</v>
      </c>
    </row>
    <row r="353" spans="1:8" ht="49.9" customHeight="1" x14ac:dyDescent="0.25">
      <c r="A353" s="619"/>
      <c r="B353" s="641" t="s">
        <v>353</v>
      </c>
      <c r="C353" s="249">
        <v>843232000</v>
      </c>
      <c r="D353" s="249">
        <v>1087886300</v>
      </c>
      <c r="E353" s="249">
        <v>640649460</v>
      </c>
      <c r="F353" s="249">
        <v>640649460</v>
      </c>
      <c r="G353" s="249">
        <v>454609783</v>
      </c>
      <c r="H353" s="238">
        <f t="shared" si="6"/>
        <v>0.70960768935948215</v>
      </c>
    </row>
    <row r="354" spans="1:8" ht="49.9" customHeight="1" x14ac:dyDescent="0.25">
      <c r="A354" s="620"/>
      <c r="B354" s="642"/>
      <c r="C354" s="250">
        <v>2180745000</v>
      </c>
      <c r="D354" s="250">
        <v>2085874600</v>
      </c>
      <c r="E354" s="250">
        <v>1062739500</v>
      </c>
      <c r="F354" s="250">
        <v>1062739500</v>
      </c>
      <c r="G354" s="250">
        <v>798374729</v>
      </c>
      <c r="H354" s="238">
        <f t="shared" si="6"/>
        <v>0.751242170823612</v>
      </c>
    </row>
    <row r="355" spans="1:8" ht="51" customHeight="1" x14ac:dyDescent="0.25">
      <c r="A355" s="619" t="s">
        <v>133</v>
      </c>
      <c r="B355" s="221" t="s">
        <v>344</v>
      </c>
      <c r="C355" s="177">
        <v>725040000</v>
      </c>
      <c r="D355" s="177">
        <v>664063000</v>
      </c>
      <c r="E355" s="177">
        <v>664063000</v>
      </c>
      <c r="F355" s="177">
        <v>664063000</v>
      </c>
      <c r="G355" s="177">
        <v>629739500</v>
      </c>
      <c r="H355" s="238">
        <f t="shared" si="6"/>
        <v>0.94831288597618002</v>
      </c>
    </row>
    <row r="356" spans="1:8" ht="51" customHeight="1" x14ac:dyDescent="0.25">
      <c r="A356" s="619"/>
      <c r="B356" s="641" t="s">
        <v>345</v>
      </c>
      <c r="C356" s="177">
        <v>6130432000</v>
      </c>
      <c r="D356" s="177">
        <v>2976133334</v>
      </c>
      <c r="E356" s="177">
        <v>2901320089</v>
      </c>
      <c r="F356" s="177">
        <v>2901320089</v>
      </c>
      <c r="G356" s="177">
        <v>2129197884</v>
      </c>
      <c r="H356" s="238">
        <f t="shared" si="6"/>
        <v>0.73387210603634989</v>
      </c>
    </row>
    <row r="357" spans="1:8" ht="51" customHeight="1" x14ac:dyDescent="0.25">
      <c r="A357" s="619"/>
      <c r="B357" s="657"/>
      <c r="C357" s="177">
        <v>0</v>
      </c>
      <c r="D357" s="177">
        <v>942550113</v>
      </c>
      <c r="E357" s="177">
        <v>942550113</v>
      </c>
      <c r="F357" s="177">
        <v>942550113</v>
      </c>
      <c r="G357" s="177">
        <v>942550113</v>
      </c>
      <c r="H357" s="238">
        <f t="shared" si="6"/>
        <v>1</v>
      </c>
    </row>
    <row r="358" spans="1:8" ht="51" customHeight="1" x14ac:dyDescent="0.25">
      <c r="A358" s="619"/>
      <c r="B358" s="657"/>
      <c r="C358" s="177">
        <v>0</v>
      </c>
      <c r="D358" s="177">
        <v>211140743</v>
      </c>
      <c r="E358" s="177">
        <v>0</v>
      </c>
      <c r="F358" s="177">
        <v>0</v>
      </c>
      <c r="G358" s="177">
        <v>0</v>
      </c>
      <c r="H358" s="238" t="e">
        <f t="shared" si="6"/>
        <v>#DIV/0!</v>
      </c>
    </row>
    <row r="359" spans="1:8" ht="51" customHeight="1" x14ac:dyDescent="0.25">
      <c r="A359" s="619"/>
      <c r="B359" s="657"/>
      <c r="C359" s="177">
        <v>0</v>
      </c>
      <c r="D359" s="177">
        <v>106931000</v>
      </c>
      <c r="E359" s="177">
        <v>106931000</v>
      </c>
      <c r="F359" s="177">
        <v>106931000</v>
      </c>
      <c r="G359" s="177">
        <v>106931000</v>
      </c>
      <c r="H359" s="238">
        <f t="shared" si="6"/>
        <v>1</v>
      </c>
    </row>
    <row r="360" spans="1:8" ht="51" customHeight="1" x14ac:dyDescent="0.25">
      <c r="A360" s="619"/>
      <c r="B360" s="657"/>
      <c r="C360" s="177">
        <v>0</v>
      </c>
      <c r="D360" s="177">
        <v>1243207000</v>
      </c>
      <c r="E360" s="177">
        <v>1243207000</v>
      </c>
      <c r="F360" s="177">
        <v>1243207000</v>
      </c>
      <c r="G360" s="177">
        <v>1243207000</v>
      </c>
      <c r="H360" s="238">
        <f t="shared" si="6"/>
        <v>1</v>
      </c>
    </row>
    <row r="361" spans="1:8" ht="51" customHeight="1" x14ac:dyDescent="0.25">
      <c r="A361" s="619"/>
      <c r="B361" s="642"/>
      <c r="C361" s="177">
        <v>0</v>
      </c>
      <c r="D361" s="177">
        <v>49887783</v>
      </c>
      <c r="E361" s="177">
        <v>49887783</v>
      </c>
      <c r="F361" s="177">
        <v>49887783</v>
      </c>
      <c r="G361" s="177">
        <v>49887783</v>
      </c>
      <c r="H361" s="238">
        <f t="shared" si="6"/>
        <v>1</v>
      </c>
    </row>
    <row r="362" spans="1:8" ht="51" customHeight="1" x14ac:dyDescent="0.25">
      <c r="A362" s="619"/>
      <c r="B362" s="221" t="s">
        <v>349</v>
      </c>
      <c r="C362" s="177">
        <v>0</v>
      </c>
      <c r="D362" s="177">
        <v>461999876</v>
      </c>
      <c r="E362" s="177">
        <v>461999876</v>
      </c>
      <c r="F362" s="177">
        <v>461999876</v>
      </c>
      <c r="G362" s="177">
        <v>461999876</v>
      </c>
      <c r="H362" s="238">
        <f t="shared" si="6"/>
        <v>1</v>
      </c>
    </row>
    <row r="363" spans="1:8" ht="51" customHeight="1" x14ac:dyDescent="0.25">
      <c r="A363" s="619"/>
      <c r="B363" s="641" t="s">
        <v>541</v>
      </c>
      <c r="C363" s="177">
        <v>1617058000</v>
      </c>
      <c r="D363" s="177">
        <v>1908372100</v>
      </c>
      <c r="E363" s="177">
        <v>1857893447.8183219</v>
      </c>
      <c r="F363" s="177">
        <v>1857893447.8183219</v>
      </c>
      <c r="G363" s="177">
        <v>1285077105</v>
      </c>
      <c r="H363" s="238">
        <f t="shared" si="6"/>
        <v>0.69168504066206493</v>
      </c>
    </row>
    <row r="364" spans="1:8" ht="51" customHeight="1" x14ac:dyDescent="0.25">
      <c r="A364" s="619"/>
      <c r="B364" s="657"/>
      <c r="C364" s="177">
        <f>154846000-48160000</f>
        <v>106686000</v>
      </c>
      <c r="D364" s="177">
        <v>607793100</v>
      </c>
      <c r="E364" s="177">
        <v>585867000</v>
      </c>
      <c r="F364" s="177">
        <v>585867000</v>
      </c>
      <c r="G364" s="177">
        <v>326873801</v>
      </c>
      <c r="H364" s="238">
        <f t="shared" si="6"/>
        <v>0.55793175072158019</v>
      </c>
    </row>
    <row r="365" spans="1:8" ht="51" customHeight="1" x14ac:dyDescent="0.25">
      <c r="A365" s="619"/>
      <c r="B365" s="657"/>
      <c r="C365" s="177">
        <v>117874000</v>
      </c>
      <c r="D365" s="177">
        <v>75039600</v>
      </c>
      <c r="E365" s="177">
        <v>74738600</v>
      </c>
      <c r="F365" s="177">
        <v>74738600</v>
      </c>
      <c r="G365" s="177">
        <v>46365466</v>
      </c>
      <c r="H365" s="238">
        <f t="shared" si="6"/>
        <v>0.62036840401077886</v>
      </c>
    </row>
    <row r="366" spans="1:8" ht="51" customHeight="1" x14ac:dyDescent="0.25">
      <c r="A366" s="619"/>
      <c r="B366" s="657"/>
      <c r="C366" s="177">
        <v>1336995000</v>
      </c>
      <c r="D366" s="177">
        <v>1340583000</v>
      </c>
      <c r="E366" s="177">
        <v>1340583000</v>
      </c>
      <c r="F366" s="177">
        <v>1340583000</v>
      </c>
      <c r="G366" s="177">
        <v>1237915300</v>
      </c>
      <c r="H366" s="238">
        <f t="shared" si="6"/>
        <v>0.92341563334758081</v>
      </c>
    </row>
    <row r="367" spans="1:8" ht="51" customHeight="1" x14ac:dyDescent="0.25">
      <c r="A367" s="619"/>
      <c r="B367" s="642"/>
      <c r="C367" s="177">
        <v>0</v>
      </c>
      <c r="D367" s="177">
        <v>7442298</v>
      </c>
      <c r="E367" s="177">
        <v>4305733</v>
      </c>
      <c r="F367" s="177">
        <v>4305733</v>
      </c>
      <c r="G367" s="177">
        <v>4305733</v>
      </c>
      <c r="H367" s="238">
        <f t="shared" si="6"/>
        <v>1</v>
      </c>
    </row>
    <row r="368" spans="1:8" ht="51" customHeight="1" x14ac:dyDescent="0.25">
      <c r="A368" s="619"/>
      <c r="B368" s="641" t="s">
        <v>351</v>
      </c>
      <c r="C368" s="177">
        <v>7278000</v>
      </c>
      <c r="D368" s="177">
        <v>7279900</v>
      </c>
      <c r="E368" s="177">
        <v>7279900</v>
      </c>
      <c r="F368" s="177">
        <v>7279900</v>
      </c>
      <c r="G368" s="177">
        <v>7279900</v>
      </c>
      <c r="H368" s="238">
        <f t="shared" si="6"/>
        <v>1</v>
      </c>
    </row>
    <row r="369" spans="1:8" ht="51" customHeight="1" x14ac:dyDescent="0.25">
      <c r="A369" s="619"/>
      <c r="B369" s="657"/>
      <c r="C369" s="177">
        <v>679700000</v>
      </c>
      <c r="D369" s="177">
        <v>1286438709</v>
      </c>
      <c r="E369" s="177">
        <v>1203589444</v>
      </c>
      <c r="F369" s="177">
        <v>1203589444</v>
      </c>
      <c r="G369" s="177">
        <v>859096735</v>
      </c>
      <c r="H369" s="238">
        <f t="shared" si="6"/>
        <v>0.71377888804415268</v>
      </c>
    </row>
    <row r="370" spans="1:8" ht="51" customHeight="1" x14ac:dyDescent="0.25">
      <c r="A370" s="619"/>
      <c r="B370" s="642"/>
      <c r="C370" s="177">
        <v>871058000</v>
      </c>
      <c r="D370" s="177">
        <v>913892400</v>
      </c>
      <c r="E370" s="177">
        <v>880309908</v>
      </c>
      <c r="F370" s="177">
        <v>880309908</v>
      </c>
      <c r="G370" s="177">
        <v>609070032</v>
      </c>
      <c r="H370" s="238">
        <f t="shared" si="6"/>
        <v>0.69188137775679792</v>
      </c>
    </row>
    <row r="371" spans="1:8" ht="51" customHeight="1" x14ac:dyDescent="0.25">
      <c r="A371" s="619"/>
      <c r="B371" s="221" t="s">
        <v>352</v>
      </c>
      <c r="C371" s="177">
        <v>1813479000</v>
      </c>
      <c r="D371" s="177">
        <v>1809891000</v>
      </c>
      <c r="E371" s="177">
        <v>1727280436</v>
      </c>
      <c r="F371" s="177">
        <v>1727280436</v>
      </c>
      <c r="G371" s="177">
        <v>1577150501</v>
      </c>
      <c r="H371" s="238">
        <f t="shared" si="6"/>
        <v>0.9130830571162678</v>
      </c>
    </row>
    <row r="372" spans="1:8" ht="51" customHeight="1" x14ac:dyDescent="0.25">
      <c r="A372" s="619"/>
      <c r="B372" s="641" t="s">
        <v>353</v>
      </c>
      <c r="C372" s="177">
        <v>843232000</v>
      </c>
      <c r="D372" s="177">
        <v>1053886300</v>
      </c>
      <c r="E372" s="177">
        <v>1023760508</v>
      </c>
      <c r="F372" s="177">
        <v>1023760508</v>
      </c>
      <c r="G372" s="177">
        <v>599508847</v>
      </c>
      <c r="H372" s="238">
        <f t="shared" si="6"/>
        <v>0.58559481667366675</v>
      </c>
    </row>
    <row r="373" spans="1:8" ht="51" customHeight="1" x14ac:dyDescent="0.25">
      <c r="A373" s="620"/>
      <c r="B373" s="642"/>
      <c r="C373" s="177">
        <v>2180745000</v>
      </c>
      <c r="D373" s="177">
        <v>2101874600</v>
      </c>
      <c r="E373" s="177">
        <v>1875387950.1816781</v>
      </c>
      <c r="F373" s="177">
        <v>1875387950.1816781</v>
      </c>
      <c r="G373" s="177">
        <v>926164380</v>
      </c>
      <c r="H373" s="238">
        <f t="shared" si="6"/>
        <v>0.49385215464900362</v>
      </c>
    </row>
    <row r="374" spans="1:8" ht="16.5" customHeight="1" x14ac:dyDescent="0.25">
      <c r="C374" s="177">
        <v>38864000</v>
      </c>
      <c r="D374" s="177">
        <v>38864000</v>
      </c>
      <c r="E374" s="177">
        <v>38864000</v>
      </c>
      <c r="F374" s="177">
        <v>38864000</v>
      </c>
      <c r="G374" s="177">
        <v>0</v>
      </c>
    </row>
    <row r="375" spans="1:8" ht="27.75" hidden="1" customHeight="1" x14ac:dyDescent="0.25">
      <c r="A375" s="643" t="s">
        <v>142</v>
      </c>
      <c r="B375" s="643"/>
      <c r="C375" s="643"/>
      <c r="D375" s="643"/>
      <c r="E375" s="643"/>
      <c r="F375" s="643"/>
      <c r="G375" s="643"/>
      <c r="H375" s="643"/>
    </row>
    <row r="376" spans="1:8" ht="25.5" hidden="1" customHeight="1" x14ac:dyDescent="0.25">
      <c r="A376" s="150" t="s">
        <v>62</v>
      </c>
      <c r="B376" s="39" t="s">
        <v>121</v>
      </c>
      <c r="C376" s="39" t="s">
        <v>122</v>
      </c>
      <c r="D376" s="39" t="s">
        <v>123</v>
      </c>
      <c r="E376" s="39" t="s">
        <v>124</v>
      </c>
      <c r="F376" s="39" t="s">
        <v>125</v>
      </c>
      <c r="G376" s="39" t="s">
        <v>126</v>
      </c>
      <c r="H376" s="39" t="s">
        <v>127</v>
      </c>
    </row>
    <row r="377" spans="1:8" ht="16.5" hidden="1" customHeight="1" x14ac:dyDescent="0.25">
      <c r="A377" s="40" t="s">
        <v>135</v>
      </c>
      <c r="B377" s="40"/>
      <c r="C377" s="40"/>
      <c r="D377" s="40"/>
      <c r="E377" s="40"/>
      <c r="F377" s="40"/>
      <c r="G377" s="40"/>
      <c r="H377" s="40" t="e">
        <f>G377/E377</f>
        <v>#DIV/0!</v>
      </c>
    </row>
    <row r="378" spans="1:8" ht="16.5" hidden="1" customHeight="1" x14ac:dyDescent="0.25">
      <c r="A378" s="40" t="s">
        <v>136</v>
      </c>
      <c r="B378" s="40"/>
      <c r="C378" s="40"/>
      <c r="D378" s="40"/>
      <c r="E378" s="40"/>
      <c r="F378" s="40"/>
      <c r="G378" s="40"/>
      <c r="H378" s="40" t="e">
        <f t="shared" ref="H378:H388" si="7">G378/E378</f>
        <v>#DIV/0!</v>
      </c>
    </row>
    <row r="379" spans="1:8" ht="16.5" hidden="1" customHeight="1" x14ac:dyDescent="0.25">
      <c r="A379" s="40" t="s">
        <v>137</v>
      </c>
      <c r="B379" s="40"/>
      <c r="C379" s="40"/>
      <c r="D379" s="40"/>
      <c r="E379" s="40"/>
      <c r="F379" s="40"/>
      <c r="G379" s="40"/>
      <c r="H379" s="40" t="e">
        <f t="shared" si="7"/>
        <v>#DIV/0!</v>
      </c>
    </row>
    <row r="380" spans="1:8" ht="16.5" hidden="1" customHeight="1" x14ac:dyDescent="0.25">
      <c r="A380" s="40" t="s">
        <v>138</v>
      </c>
      <c r="B380" s="40"/>
      <c r="C380" s="40"/>
      <c r="D380" s="40"/>
      <c r="E380" s="40"/>
      <c r="F380" s="40"/>
      <c r="G380" s="40"/>
      <c r="H380" s="40" t="e">
        <f t="shared" si="7"/>
        <v>#DIV/0!</v>
      </c>
    </row>
    <row r="381" spans="1:8" ht="16.5" hidden="1" customHeight="1" x14ac:dyDescent="0.25">
      <c r="A381" s="40" t="s">
        <v>139</v>
      </c>
      <c r="B381" s="40"/>
      <c r="C381" s="40"/>
      <c r="D381" s="40"/>
      <c r="E381" s="40"/>
      <c r="F381" s="40"/>
      <c r="G381" s="40"/>
      <c r="H381" s="40" t="e">
        <f t="shared" si="7"/>
        <v>#DIV/0!</v>
      </c>
    </row>
    <row r="382" spans="1:8" ht="16.5" hidden="1" customHeight="1" x14ac:dyDescent="0.25">
      <c r="A382" s="40" t="s">
        <v>140</v>
      </c>
      <c r="B382" s="40"/>
      <c r="C382" s="40"/>
      <c r="D382" s="40"/>
      <c r="E382" s="40"/>
      <c r="F382" s="40"/>
      <c r="G382" s="40"/>
      <c r="H382" s="40" t="e">
        <f t="shared" si="7"/>
        <v>#DIV/0!</v>
      </c>
    </row>
    <row r="383" spans="1:8" ht="16.5" hidden="1" customHeight="1" x14ac:dyDescent="0.25">
      <c r="A383" s="40" t="s">
        <v>128</v>
      </c>
      <c r="B383" s="40"/>
      <c r="C383" s="40"/>
      <c r="D383" s="40"/>
      <c r="E383" s="40"/>
      <c r="F383" s="40"/>
      <c r="G383" s="40"/>
      <c r="H383" s="40" t="e">
        <f t="shared" si="7"/>
        <v>#DIV/0!</v>
      </c>
    </row>
    <row r="384" spans="1:8" ht="16.5" hidden="1" customHeight="1" x14ac:dyDescent="0.25">
      <c r="A384" s="40" t="s">
        <v>129</v>
      </c>
      <c r="B384" s="40"/>
      <c r="C384" s="40"/>
      <c r="D384" s="40"/>
      <c r="E384" s="40"/>
      <c r="F384" s="40"/>
      <c r="G384" s="40"/>
      <c r="H384" s="40" t="e">
        <f t="shared" si="7"/>
        <v>#DIV/0!</v>
      </c>
    </row>
    <row r="385" spans="1:8" ht="16.5" hidden="1" customHeight="1" x14ac:dyDescent="0.25">
      <c r="A385" s="40" t="s">
        <v>130</v>
      </c>
      <c r="B385" s="40"/>
      <c r="C385" s="40"/>
      <c r="D385" s="40"/>
      <c r="E385" s="40"/>
      <c r="F385" s="40"/>
      <c r="G385" s="40"/>
      <c r="H385" s="40" t="e">
        <f t="shared" si="7"/>
        <v>#DIV/0!</v>
      </c>
    </row>
    <row r="386" spans="1:8" ht="16.5" hidden="1" customHeight="1" x14ac:dyDescent="0.25">
      <c r="A386" s="40" t="s">
        <v>131</v>
      </c>
      <c r="B386" s="40"/>
      <c r="C386" s="40"/>
      <c r="D386" s="40"/>
      <c r="E386" s="40"/>
      <c r="F386" s="40"/>
      <c r="G386" s="40"/>
      <c r="H386" s="40" t="e">
        <f t="shared" si="7"/>
        <v>#DIV/0!</v>
      </c>
    </row>
    <row r="387" spans="1:8" ht="16.5" hidden="1" customHeight="1" x14ac:dyDescent="0.25">
      <c r="A387" s="40" t="s">
        <v>132</v>
      </c>
      <c r="B387" s="40"/>
      <c r="C387" s="40"/>
      <c r="D387" s="40"/>
      <c r="E387" s="40"/>
      <c r="F387" s="40"/>
      <c r="G387" s="40"/>
      <c r="H387" s="40" t="e">
        <f t="shared" si="7"/>
        <v>#DIV/0!</v>
      </c>
    </row>
    <row r="388" spans="1:8" ht="16.5" hidden="1" customHeight="1" x14ac:dyDescent="0.25">
      <c r="A388" s="40" t="s">
        <v>133</v>
      </c>
      <c r="B388" s="40"/>
      <c r="C388" s="40"/>
      <c r="D388" s="40"/>
      <c r="E388" s="40"/>
      <c r="F388" s="40"/>
      <c r="G388" s="40"/>
      <c r="H388" s="40" t="e">
        <f t="shared" si="7"/>
        <v>#DIV/0!</v>
      </c>
    </row>
    <row r="389" spans="1:8" ht="16.5" hidden="1" customHeight="1" x14ac:dyDescent="0.25"/>
    <row r="390" spans="1:8" ht="23.25" hidden="1" customHeight="1" x14ac:dyDescent="0.25">
      <c r="A390" s="643" t="s">
        <v>143</v>
      </c>
      <c r="B390" s="643"/>
      <c r="C390" s="643"/>
      <c r="D390" s="643"/>
      <c r="E390" s="643"/>
      <c r="F390" s="643"/>
      <c r="G390" s="643"/>
      <c r="H390" s="643"/>
    </row>
    <row r="391" spans="1:8" ht="25.5" hidden="1" customHeight="1" x14ac:dyDescent="0.25">
      <c r="A391" s="150" t="s">
        <v>63</v>
      </c>
      <c r="B391" s="39" t="s">
        <v>121</v>
      </c>
      <c r="C391" s="39" t="s">
        <v>122</v>
      </c>
      <c r="D391" s="39" t="s">
        <v>123</v>
      </c>
      <c r="E391" s="39" t="s">
        <v>124</v>
      </c>
      <c r="F391" s="39" t="s">
        <v>125</v>
      </c>
      <c r="G391" s="39" t="s">
        <v>126</v>
      </c>
      <c r="H391" s="39" t="s">
        <v>127</v>
      </c>
    </row>
    <row r="392" spans="1:8" ht="16.5" hidden="1" customHeight="1" x14ac:dyDescent="0.25">
      <c r="A392" s="40" t="s">
        <v>135</v>
      </c>
      <c r="B392" s="40"/>
      <c r="C392" s="40"/>
      <c r="D392" s="40"/>
      <c r="E392" s="40"/>
      <c r="F392" s="40"/>
      <c r="G392" s="40"/>
      <c r="H392" s="40" t="e">
        <f>G392/E392</f>
        <v>#DIV/0!</v>
      </c>
    </row>
    <row r="393" spans="1:8" ht="16.5" hidden="1" customHeight="1" x14ac:dyDescent="0.25">
      <c r="A393" s="40" t="s">
        <v>136</v>
      </c>
      <c r="B393" s="40"/>
      <c r="C393" s="40"/>
      <c r="D393" s="40"/>
      <c r="E393" s="40"/>
      <c r="F393" s="40"/>
      <c r="G393" s="40"/>
      <c r="H393" s="40" t="e">
        <f t="shared" ref="H393:H403" si="8">G393/E393</f>
        <v>#DIV/0!</v>
      </c>
    </row>
    <row r="394" spans="1:8" ht="16.5" hidden="1" customHeight="1" x14ac:dyDescent="0.25">
      <c r="A394" s="40" t="s">
        <v>137</v>
      </c>
      <c r="B394" s="40"/>
      <c r="C394" s="40"/>
      <c r="D394" s="40"/>
      <c r="E394" s="40"/>
      <c r="F394" s="40"/>
      <c r="G394" s="40"/>
      <c r="H394" s="40" t="e">
        <f t="shared" si="8"/>
        <v>#DIV/0!</v>
      </c>
    </row>
    <row r="395" spans="1:8" ht="16.5" hidden="1" customHeight="1" x14ac:dyDescent="0.25">
      <c r="A395" s="40" t="s">
        <v>138</v>
      </c>
      <c r="B395" s="40"/>
      <c r="C395" s="40"/>
      <c r="D395" s="40"/>
      <c r="E395" s="40"/>
      <c r="F395" s="40"/>
      <c r="G395" s="40"/>
      <c r="H395" s="40" t="e">
        <f t="shared" si="8"/>
        <v>#DIV/0!</v>
      </c>
    </row>
    <row r="396" spans="1:8" ht="16.5" hidden="1" customHeight="1" x14ac:dyDescent="0.25">
      <c r="A396" s="40" t="s">
        <v>139</v>
      </c>
      <c r="B396" s="40"/>
      <c r="C396" s="40"/>
      <c r="D396" s="40"/>
      <c r="E396" s="40"/>
      <c r="F396" s="40"/>
      <c r="G396" s="40"/>
      <c r="H396" s="40" t="e">
        <f t="shared" si="8"/>
        <v>#DIV/0!</v>
      </c>
    </row>
    <row r="397" spans="1:8" ht="16.5" hidden="1" customHeight="1" x14ac:dyDescent="0.25">
      <c r="A397" s="40" t="s">
        <v>140</v>
      </c>
      <c r="B397" s="40"/>
      <c r="C397" s="40"/>
      <c r="D397" s="40"/>
      <c r="E397" s="40"/>
      <c r="F397" s="40"/>
      <c r="G397" s="40"/>
      <c r="H397" s="40" t="e">
        <f t="shared" si="8"/>
        <v>#DIV/0!</v>
      </c>
    </row>
    <row r="398" spans="1:8" ht="16.5" hidden="1" customHeight="1" x14ac:dyDescent="0.25">
      <c r="A398" s="40" t="s">
        <v>128</v>
      </c>
      <c r="B398" s="40"/>
      <c r="C398" s="40"/>
      <c r="D398" s="40"/>
      <c r="E398" s="40"/>
      <c r="F398" s="40"/>
      <c r="G398" s="40"/>
      <c r="H398" s="40" t="e">
        <f t="shared" si="8"/>
        <v>#DIV/0!</v>
      </c>
    </row>
    <row r="399" spans="1:8" ht="16.5" hidden="1" customHeight="1" x14ac:dyDescent="0.25">
      <c r="A399" s="40" t="s">
        <v>129</v>
      </c>
      <c r="B399" s="40"/>
      <c r="C399" s="40"/>
      <c r="D399" s="40"/>
      <c r="E399" s="40"/>
      <c r="F399" s="40"/>
      <c r="G399" s="40"/>
      <c r="H399" s="40" t="e">
        <f t="shared" si="8"/>
        <v>#DIV/0!</v>
      </c>
    </row>
    <row r="400" spans="1:8" ht="16.5" hidden="1" customHeight="1" x14ac:dyDescent="0.25">
      <c r="A400" s="40" t="s">
        <v>130</v>
      </c>
      <c r="B400" s="40"/>
      <c r="C400" s="40"/>
      <c r="D400" s="40"/>
      <c r="E400" s="40"/>
      <c r="F400" s="40"/>
      <c r="G400" s="40"/>
      <c r="H400" s="40" t="e">
        <f t="shared" si="8"/>
        <v>#DIV/0!</v>
      </c>
    </row>
    <row r="401" spans="1:12" ht="16.5" hidden="1" customHeight="1" x14ac:dyDescent="0.25">
      <c r="A401" s="40" t="s">
        <v>131</v>
      </c>
      <c r="B401" s="40"/>
      <c r="C401" s="40"/>
      <c r="D401" s="40"/>
      <c r="E401" s="40"/>
      <c r="F401" s="40"/>
      <c r="G401" s="40"/>
      <c r="H401" s="40" t="e">
        <f t="shared" si="8"/>
        <v>#DIV/0!</v>
      </c>
    </row>
    <row r="402" spans="1:12" ht="16.5" hidden="1" customHeight="1" x14ac:dyDescent="0.25">
      <c r="A402" s="40" t="s">
        <v>132</v>
      </c>
      <c r="B402" s="40"/>
      <c r="C402" s="40"/>
      <c r="D402" s="40"/>
      <c r="E402" s="40"/>
      <c r="F402" s="40"/>
      <c r="G402" s="40"/>
      <c r="H402" s="40" t="e">
        <f t="shared" si="8"/>
        <v>#DIV/0!</v>
      </c>
    </row>
    <row r="403" spans="1:12" ht="16.5" hidden="1" customHeight="1" x14ac:dyDescent="0.25">
      <c r="A403" s="40" t="s">
        <v>133</v>
      </c>
      <c r="B403" s="40"/>
      <c r="C403" s="40"/>
      <c r="D403" s="40"/>
      <c r="E403" s="40"/>
      <c r="F403" s="40"/>
      <c r="G403" s="40"/>
      <c r="H403" s="40" t="e">
        <f t="shared" si="8"/>
        <v>#DIV/0!</v>
      </c>
    </row>
    <row r="404" spans="1:12" ht="16.5" customHeight="1" x14ac:dyDescent="0.25"/>
    <row r="405" spans="1:12" s="3" customFormat="1" ht="31.15" customHeight="1" x14ac:dyDescent="0.25">
      <c r="A405" s="637" t="s">
        <v>144</v>
      </c>
      <c r="B405" s="638"/>
      <c r="C405" s="638"/>
      <c r="D405" s="638"/>
      <c r="E405" s="638"/>
      <c r="F405" s="638"/>
      <c r="G405" s="638"/>
      <c r="H405" s="638"/>
      <c r="I405" s="638"/>
      <c r="J405" s="638"/>
      <c r="K405" s="638"/>
      <c r="L405" s="639"/>
    </row>
    <row r="406" spans="1:12" s="3" customFormat="1" ht="44.25" customHeight="1" x14ac:dyDescent="0.25">
      <c r="A406" s="150" t="s">
        <v>48</v>
      </c>
      <c r="B406" s="39" t="s">
        <v>145</v>
      </c>
      <c r="C406" s="39" t="s">
        <v>146</v>
      </c>
      <c r="D406" s="39" t="s">
        <v>147</v>
      </c>
      <c r="E406" s="39" t="s">
        <v>148</v>
      </c>
      <c r="F406" s="39" t="s">
        <v>149</v>
      </c>
      <c r="G406" s="39" t="s">
        <v>150</v>
      </c>
      <c r="H406" s="39" t="s">
        <v>151</v>
      </c>
      <c r="I406" s="195" t="s">
        <v>152</v>
      </c>
      <c r="J406" s="39" t="s">
        <v>153</v>
      </c>
      <c r="K406" s="39" t="s">
        <v>154</v>
      </c>
      <c r="L406" s="39" t="s">
        <v>155</v>
      </c>
    </row>
    <row r="407" spans="1:12" s="161" customFormat="1" ht="49.9" hidden="1" customHeight="1" outlineLevel="1" x14ac:dyDescent="0.25">
      <c r="A407" s="617" t="s">
        <v>128</v>
      </c>
      <c r="B407" s="617" t="s">
        <v>357</v>
      </c>
      <c r="C407" s="617" t="s">
        <v>358</v>
      </c>
      <c r="D407" s="617" t="s">
        <v>359</v>
      </c>
      <c r="E407" s="617" t="s">
        <v>360</v>
      </c>
      <c r="F407" s="634">
        <v>0.45</v>
      </c>
      <c r="G407" s="152" t="s">
        <v>317</v>
      </c>
      <c r="H407" s="160">
        <v>1</v>
      </c>
      <c r="I407" s="196">
        <v>0</v>
      </c>
      <c r="J407" s="152">
        <v>0</v>
      </c>
      <c r="K407" s="152" t="e">
        <f>J407/I407</f>
        <v>#DIV/0!</v>
      </c>
      <c r="L407" s="152" t="s">
        <v>361</v>
      </c>
    </row>
    <row r="408" spans="1:12" s="161" customFormat="1" ht="49.9" hidden="1" customHeight="1" outlineLevel="1" x14ac:dyDescent="0.25">
      <c r="A408" s="617"/>
      <c r="B408" s="617"/>
      <c r="C408" s="617"/>
      <c r="D408" s="617"/>
      <c r="E408" s="617"/>
      <c r="F408" s="634"/>
      <c r="G408" s="152" t="s">
        <v>327</v>
      </c>
      <c r="H408" s="162">
        <v>4</v>
      </c>
      <c r="I408" s="196">
        <v>0</v>
      </c>
      <c r="J408" s="152">
        <v>0</v>
      </c>
      <c r="K408" s="152" t="e">
        <f>J408/I408</f>
        <v>#DIV/0!</v>
      </c>
      <c r="L408" s="152" t="s">
        <v>362</v>
      </c>
    </row>
    <row r="409" spans="1:12" s="161" customFormat="1" ht="49.9" hidden="1" customHeight="1" outlineLevel="1" x14ac:dyDescent="0.25">
      <c r="A409" s="617"/>
      <c r="B409" s="617"/>
      <c r="C409" s="617"/>
      <c r="D409" s="617"/>
      <c r="E409" s="617"/>
      <c r="F409" s="634"/>
      <c r="G409" s="152" t="s">
        <v>328</v>
      </c>
      <c r="H409" s="162">
        <v>1</v>
      </c>
      <c r="I409" s="196">
        <v>0</v>
      </c>
      <c r="J409" s="152">
        <v>0</v>
      </c>
      <c r="K409" s="152" t="e">
        <f>J409/I409</f>
        <v>#DIV/0!</v>
      </c>
      <c r="L409" s="152" t="s">
        <v>363</v>
      </c>
    </row>
    <row r="410" spans="1:12" s="161" customFormat="1" ht="49.9" hidden="1" customHeight="1" outlineLevel="1" x14ac:dyDescent="0.25">
      <c r="A410" s="617"/>
      <c r="B410" s="152" t="s">
        <v>364</v>
      </c>
      <c r="C410" s="152" t="s">
        <v>365</v>
      </c>
      <c r="D410" s="152" t="s">
        <v>366</v>
      </c>
      <c r="E410" s="152" t="s">
        <v>265</v>
      </c>
      <c r="F410" s="160">
        <v>0.15</v>
      </c>
      <c r="G410" s="152" t="s">
        <v>267</v>
      </c>
      <c r="H410" s="163">
        <v>426</v>
      </c>
      <c r="I410" s="196">
        <v>0</v>
      </c>
      <c r="J410" s="152">
        <v>0</v>
      </c>
      <c r="K410" s="152" t="e">
        <f t="shared" ref="K410:K440" si="9">J410/I410</f>
        <v>#DIV/0!</v>
      </c>
      <c r="L410" s="152" t="s">
        <v>367</v>
      </c>
    </row>
    <row r="411" spans="1:12" s="161" customFormat="1" ht="49.9" hidden="1" customHeight="1" outlineLevel="1" x14ac:dyDescent="0.25">
      <c r="A411" s="617"/>
      <c r="B411" s="152" t="s">
        <v>368</v>
      </c>
      <c r="C411" s="152" t="s">
        <v>369</v>
      </c>
      <c r="D411" s="152" t="s">
        <v>370</v>
      </c>
      <c r="E411" s="152" t="s">
        <v>265</v>
      </c>
      <c r="F411" s="160">
        <v>0.15</v>
      </c>
      <c r="G411" s="152" t="s">
        <v>268</v>
      </c>
      <c r="H411" s="160">
        <v>1</v>
      </c>
      <c r="I411" s="196">
        <v>0</v>
      </c>
      <c r="J411" s="152">
        <v>0</v>
      </c>
      <c r="K411" s="152" t="e">
        <f t="shared" si="9"/>
        <v>#DIV/0!</v>
      </c>
      <c r="L411" s="152" t="s">
        <v>371</v>
      </c>
    </row>
    <row r="412" spans="1:12" s="161" customFormat="1" ht="49.9" hidden="1" customHeight="1" outlineLevel="1" x14ac:dyDescent="0.25">
      <c r="A412" s="617"/>
      <c r="B412" s="617" t="s">
        <v>372</v>
      </c>
      <c r="C412" s="617" t="s">
        <v>373</v>
      </c>
      <c r="D412" s="617" t="s">
        <v>374</v>
      </c>
      <c r="E412" s="617" t="s">
        <v>360</v>
      </c>
      <c r="F412" s="634">
        <v>0.25</v>
      </c>
      <c r="G412" s="152" t="s">
        <v>263</v>
      </c>
      <c r="H412" s="163">
        <v>234</v>
      </c>
      <c r="I412" s="196">
        <v>0</v>
      </c>
      <c r="J412" s="152">
        <v>0</v>
      </c>
      <c r="K412" s="152" t="e">
        <f>J412/I412</f>
        <v>#DIV/0!</v>
      </c>
      <c r="L412" s="152" t="s">
        <v>375</v>
      </c>
    </row>
    <row r="413" spans="1:12" s="161" customFormat="1" ht="49.9" hidden="1" customHeight="1" outlineLevel="1" x14ac:dyDescent="0.25">
      <c r="A413" s="617"/>
      <c r="B413" s="617"/>
      <c r="C413" s="617"/>
      <c r="D413" s="617"/>
      <c r="E413" s="617"/>
      <c r="F413" s="634"/>
      <c r="G413" s="152" t="s">
        <v>323</v>
      </c>
      <c r="H413" s="160">
        <v>1</v>
      </c>
      <c r="I413" s="196">
        <v>0</v>
      </c>
      <c r="J413" s="152">
        <v>0</v>
      </c>
      <c r="K413" s="152" t="e">
        <f>J413/I413</f>
        <v>#DIV/0!</v>
      </c>
      <c r="L413" s="152" t="s">
        <v>376</v>
      </c>
    </row>
    <row r="414" spans="1:12" s="165" customFormat="1" ht="49.9" hidden="1" customHeight="1" outlineLevel="1" x14ac:dyDescent="0.2">
      <c r="A414" s="585" t="s">
        <v>129</v>
      </c>
      <c r="B414" s="617" t="s">
        <v>357</v>
      </c>
      <c r="C414" s="617" t="s">
        <v>358</v>
      </c>
      <c r="D414" s="617" t="s">
        <v>359</v>
      </c>
      <c r="E414" s="617" t="s">
        <v>360</v>
      </c>
      <c r="F414" s="634">
        <v>0.45</v>
      </c>
      <c r="G414" s="152" t="s">
        <v>317</v>
      </c>
      <c r="H414" s="160">
        <v>1</v>
      </c>
      <c r="I414" s="197">
        <v>0</v>
      </c>
      <c r="J414" s="149">
        <v>0</v>
      </c>
      <c r="K414" s="152" t="e">
        <f>J414/I414</f>
        <v>#DIV/0!</v>
      </c>
      <c r="L414" s="164" t="s">
        <v>377</v>
      </c>
    </row>
    <row r="415" spans="1:12" s="165" customFormat="1" ht="49.9" hidden="1" customHeight="1" outlineLevel="1" x14ac:dyDescent="0.2">
      <c r="A415" s="585"/>
      <c r="B415" s="617"/>
      <c r="C415" s="617"/>
      <c r="D415" s="617"/>
      <c r="E415" s="617"/>
      <c r="F415" s="634"/>
      <c r="G415" s="152" t="s">
        <v>327</v>
      </c>
      <c r="H415" s="162">
        <v>4</v>
      </c>
      <c r="I415" s="197">
        <v>0</v>
      </c>
      <c r="J415" s="149">
        <v>0</v>
      </c>
      <c r="K415" s="152" t="e">
        <f>J415/I415</f>
        <v>#DIV/0!</v>
      </c>
      <c r="L415" s="164" t="s">
        <v>378</v>
      </c>
    </row>
    <row r="416" spans="1:12" s="165" customFormat="1" ht="49.9" hidden="1" customHeight="1" outlineLevel="1" x14ac:dyDescent="0.2">
      <c r="A416" s="585"/>
      <c r="B416" s="617"/>
      <c r="C416" s="617"/>
      <c r="D416" s="617"/>
      <c r="E416" s="617"/>
      <c r="F416" s="634"/>
      <c r="G416" s="152" t="s">
        <v>328</v>
      </c>
      <c r="H416" s="162">
        <v>1</v>
      </c>
      <c r="I416" s="197">
        <v>0</v>
      </c>
      <c r="J416" s="149">
        <v>0</v>
      </c>
      <c r="K416" s="152" t="e">
        <f>J416/I416</f>
        <v>#DIV/0!</v>
      </c>
      <c r="L416" s="164" t="s">
        <v>379</v>
      </c>
    </row>
    <row r="417" spans="1:12" s="165" customFormat="1" ht="49.9" hidden="1" customHeight="1" outlineLevel="1" x14ac:dyDescent="0.2">
      <c r="A417" s="585"/>
      <c r="B417" s="152" t="s">
        <v>364</v>
      </c>
      <c r="C417" s="152" t="s">
        <v>365</v>
      </c>
      <c r="D417" s="152" t="s">
        <v>366</v>
      </c>
      <c r="E417" s="152" t="s">
        <v>265</v>
      </c>
      <c r="F417" s="160">
        <v>0.15</v>
      </c>
      <c r="G417" s="152" t="s">
        <v>267</v>
      </c>
      <c r="H417" s="163">
        <v>426</v>
      </c>
      <c r="I417" s="197">
        <v>0</v>
      </c>
      <c r="J417" s="149">
        <v>0</v>
      </c>
      <c r="K417" s="152" t="e">
        <f t="shared" si="9"/>
        <v>#DIV/0!</v>
      </c>
      <c r="L417" s="164" t="s">
        <v>380</v>
      </c>
    </row>
    <row r="418" spans="1:12" s="165" customFormat="1" ht="49.9" hidden="1" customHeight="1" outlineLevel="1" x14ac:dyDescent="0.2">
      <c r="A418" s="585"/>
      <c r="B418" s="152" t="s">
        <v>368</v>
      </c>
      <c r="C418" s="152" t="s">
        <v>369</v>
      </c>
      <c r="D418" s="152" t="s">
        <v>370</v>
      </c>
      <c r="E418" s="152" t="s">
        <v>265</v>
      </c>
      <c r="F418" s="160">
        <v>0.15</v>
      </c>
      <c r="G418" s="152" t="s">
        <v>268</v>
      </c>
      <c r="H418" s="160">
        <v>1</v>
      </c>
      <c r="I418" s="197">
        <v>0</v>
      </c>
      <c r="J418" s="149">
        <v>0</v>
      </c>
      <c r="K418" s="152" t="e">
        <f t="shared" si="9"/>
        <v>#DIV/0!</v>
      </c>
      <c r="L418" s="164" t="s">
        <v>381</v>
      </c>
    </row>
    <row r="419" spans="1:12" s="165" customFormat="1" ht="49.9" hidden="1" customHeight="1" outlineLevel="1" x14ac:dyDescent="0.2">
      <c r="A419" s="585"/>
      <c r="B419" s="617" t="s">
        <v>372</v>
      </c>
      <c r="C419" s="617" t="s">
        <v>373</v>
      </c>
      <c r="D419" s="617" t="s">
        <v>374</v>
      </c>
      <c r="E419" s="617" t="s">
        <v>360</v>
      </c>
      <c r="F419" s="634">
        <v>0.25</v>
      </c>
      <c r="G419" s="152" t="s">
        <v>263</v>
      </c>
      <c r="H419" s="163">
        <v>234</v>
      </c>
      <c r="I419" s="197">
        <v>0</v>
      </c>
      <c r="J419" s="149">
        <v>0</v>
      </c>
      <c r="K419" s="152" t="e">
        <f>J419/I419</f>
        <v>#DIV/0!</v>
      </c>
      <c r="L419" s="164" t="s">
        <v>382</v>
      </c>
    </row>
    <row r="420" spans="1:12" s="165" customFormat="1" ht="49.9" hidden="1" customHeight="1" outlineLevel="1" x14ac:dyDescent="0.2">
      <c r="A420" s="585"/>
      <c r="B420" s="617"/>
      <c r="C420" s="617"/>
      <c r="D420" s="617"/>
      <c r="E420" s="617"/>
      <c r="F420" s="634"/>
      <c r="G420" s="152" t="s">
        <v>323</v>
      </c>
      <c r="H420" s="160">
        <v>1</v>
      </c>
      <c r="I420" s="197">
        <v>0</v>
      </c>
      <c r="J420" s="149">
        <v>0</v>
      </c>
      <c r="K420" s="152" t="e">
        <f>J420/I420</f>
        <v>#DIV/0!</v>
      </c>
      <c r="L420" s="164" t="s">
        <v>383</v>
      </c>
    </row>
    <row r="421" spans="1:12" s="165" customFormat="1" ht="49.9" hidden="1" customHeight="1" outlineLevel="1" x14ac:dyDescent="0.2">
      <c r="A421" s="585" t="s">
        <v>130</v>
      </c>
      <c r="B421" s="617" t="s">
        <v>357</v>
      </c>
      <c r="C421" s="617" t="s">
        <v>358</v>
      </c>
      <c r="D421" s="617" t="s">
        <v>359</v>
      </c>
      <c r="E421" s="617" t="s">
        <v>360</v>
      </c>
      <c r="F421" s="634">
        <v>0.45</v>
      </c>
      <c r="G421" s="152" t="s">
        <v>317</v>
      </c>
      <c r="H421" s="160">
        <v>1</v>
      </c>
      <c r="I421" s="197">
        <v>0</v>
      </c>
      <c r="J421" s="149">
        <v>0</v>
      </c>
      <c r="K421" s="152" t="e">
        <f>J421/I421</f>
        <v>#DIV/0!</v>
      </c>
      <c r="L421" s="164" t="s">
        <v>384</v>
      </c>
    </row>
    <row r="422" spans="1:12" s="165" customFormat="1" ht="49.9" hidden="1" customHeight="1" outlineLevel="1" x14ac:dyDescent="0.2">
      <c r="A422" s="585"/>
      <c r="B422" s="617"/>
      <c r="C422" s="617"/>
      <c r="D422" s="617"/>
      <c r="E422" s="617"/>
      <c r="F422" s="634"/>
      <c r="G422" s="152" t="s">
        <v>327</v>
      </c>
      <c r="H422" s="162">
        <v>4</v>
      </c>
      <c r="I422" s="197">
        <v>0</v>
      </c>
      <c r="J422" s="149">
        <v>0</v>
      </c>
      <c r="K422" s="152" t="e">
        <f>J422/I422</f>
        <v>#DIV/0!</v>
      </c>
      <c r="L422" s="164" t="s">
        <v>385</v>
      </c>
    </row>
    <row r="423" spans="1:12" s="165" customFormat="1" ht="49.9" hidden="1" customHeight="1" outlineLevel="1" x14ac:dyDescent="0.2">
      <c r="A423" s="585"/>
      <c r="B423" s="617"/>
      <c r="C423" s="617"/>
      <c r="D423" s="617"/>
      <c r="E423" s="617"/>
      <c r="F423" s="634"/>
      <c r="G423" s="152" t="s">
        <v>328</v>
      </c>
      <c r="H423" s="162">
        <v>1</v>
      </c>
      <c r="I423" s="197">
        <v>0</v>
      </c>
      <c r="J423" s="149">
        <v>0</v>
      </c>
      <c r="K423" s="152" t="e">
        <f>J423/I423</f>
        <v>#DIV/0!</v>
      </c>
      <c r="L423" s="164" t="s">
        <v>386</v>
      </c>
    </row>
    <row r="424" spans="1:12" s="165" customFormat="1" ht="49.9" hidden="1" customHeight="1" outlineLevel="1" x14ac:dyDescent="0.2">
      <c r="A424" s="585"/>
      <c r="B424" s="152" t="s">
        <v>364</v>
      </c>
      <c r="C424" s="152" t="s">
        <v>365</v>
      </c>
      <c r="D424" s="152" t="s">
        <v>366</v>
      </c>
      <c r="E424" s="152" t="s">
        <v>265</v>
      </c>
      <c r="F424" s="160">
        <v>0.15</v>
      </c>
      <c r="G424" s="152" t="s">
        <v>267</v>
      </c>
      <c r="H424" s="163">
        <v>426</v>
      </c>
      <c r="I424" s="197">
        <v>0</v>
      </c>
      <c r="J424" s="149">
        <v>0</v>
      </c>
      <c r="K424" s="152" t="e">
        <f t="shared" si="9"/>
        <v>#DIV/0!</v>
      </c>
      <c r="L424" s="164" t="s">
        <v>387</v>
      </c>
    </row>
    <row r="425" spans="1:12" s="165" customFormat="1" ht="49.9" hidden="1" customHeight="1" outlineLevel="1" x14ac:dyDescent="0.2">
      <c r="A425" s="585"/>
      <c r="B425" s="152" t="s">
        <v>368</v>
      </c>
      <c r="C425" s="152" t="s">
        <v>369</v>
      </c>
      <c r="D425" s="152" t="s">
        <v>370</v>
      </c>
      <c r="E425" s="152" t="s">
        <v>265</v>
      </c>
      <c r="F425" s="160">
        <v>0.15</v>
      </c>
      <c r="G425" s="152" t="s">
        <v>268</v>
      </c>
      <c r="H425" s="160">
        <v>1</v>
      </c>
      <c r="I425" s="197">
        <v>0</v>
      </c>
      <c r="J425" s="149">
        <v>0</v>
      </c>
      <c r="K425" s="152" t="e">
        <f t="shared" si="9"/>
        <v>#DIV/0!</v>
      </c>
      <c r="L425" s="164" t="s">
        <v>388</v>
      </c>
    </row>
    <row r="426" spans="1:12" s="165" customFormat="1" ht="49.9" hidden="1" customHeight="1" outlineLevel="1" x14ac:dyDescent="0.2">
      <c r="A426" s="585"/>
      <c r="B426" s="617" t="s">
        <v>372</v>
      </c>
      <c r="C426" s="617" t="s">
        <v>373</v>
      </c>
      <c r="D426" s="617" t="s">
        <v>374</v>
      </c>
      <c r="E426" s="617" t="s">
        <v>360</v>
      </c>
      <c r="F426" s="634">
        <v>0.25</v>
      </c>
      <c r="G426" s="152" t="s">
        <v>263</v>
      </c>
      <c r="H426" s="163">
        <v>234</v>
      </c>
      <c r="I426" s="197">
        <v>0</v>
      </c>
      <c r="J426" s="149">
        <v>0</v>
      </c>
      <c r="K426" s="152" t="e">
        <f>J426/I426</f>
        <v>#DIV/0!</v>
      </c>
      <c r="L426" s="164" t="s">
        <v>389</v>
      </c>
    </row>
    <row r="427" spans="1:12" s="165" customFormat="1" ht="49.9" hidden="1" customHeight="1" outlineLevel="1" x14ac:dyDescent="0.2">
      <c r="A427" s="585"/>
      <c r="B427" s="617"/>
      <c r="C427" s="617"/>
      <c r="D427" s="617"/>
      <c r="E427" s="617"/>
      <c r="F427" s="634"/>
      <c r="G427" s="152" t="s">
        <v>323</v>
      </c>
      <c r="H427" s="160">
        <v>1</v>
      </c>
      <c r="I427" s="197">
        <v>0</v>
      </c>
      <c r="J427" s="149">
        <v>0</v>
      </c>
      <c r="K427" s="152" t="e">
        <f>J427/I427</f>
        <v>#DIV/0!</v>
      </c>
      <c r="L427" s="164" t="s">
        <v>390</v>
      </c>
    </row>
    <row r="428" spans="1:12" s="165" customFormat="1" ht="49.9" hidden="1" customHeight="1" outlineLevel="1" x14ac:dyDescent="0.2">
      <c r="A428" s="585" t="s">
        <v>131</v>
      </c>
      <c r="B428" s="617" t="s">
        <v>357</v>
      </c>
      <c r="C428" s="617" t="s">
        <v>358</v>
      </c>
      <c r="D428" s="617" t="s">
        <v>359</v>
      </c>
      <c r="E428" s="617" t="s">
        <v>360</v>
      </c>
      <c r="F428" s="634">
        <v>0.45</v>
      </c>
      <c r="G428" s="152" t="s">
        <v>317</v>
      </c>
      <c r="H428" s="160">
        <v>1</v>
      </c>
      <c r="I428" s="197">
        <v>0</v>
      </c>
      <c r="J428" s="149">
        <v>0</v>
      </c>
      <c r="K428" s="152" t="e">
        <f>J428/I428</f>
        <v>#DIV/0!</v>
      </c>
      <c r="L428" s="164" t="s">
        <v>419</v>
      </c>
    </row>
    <row r="429" spans="1:12" s="165" customFormat="1" ht="49.9" hidden="1" customHeight="1" outlineLevel="1" x14ac:dyDescent="0.2">
      <c r="A429" s="585"/>
      <c r="B429" s="617"/>
      <c r="C429" s="617"/>
      <c r="D429" s="617"/>
      <c r="E429" s="617"/>
      <c r="F429" s="634"/>
      <c r="G429" s="152" t="s">
        <v>327</v>
      </c>
      <c r="H429" s="162">
        <v>4</v>
      </c>
      <c r="I429" s="197">
        <v>0</v>
      </c>
      <c r="J429" s="149">
        <v>0</v>
      </c>
      <c r="K429" s="152" t="e">
        <f>J429/I429</f>
        <v>#DIV/0!</v>
      </c>
      <c r="L429" s="164" t="s">
        <v>420</v>
      </c>
    </row>
    <row r="430" spans="1:12" s="165" customFormat="1" ht="49.9" hidden="1" customHeight="1" outlineLevel="1" x14ac:dyDescent="0.2">
      <c r="A430" s="585"/>
      <c r="B430" s="617"/>
      <c r="C430" s="617"/>
      <c r="D430" s="617"/>
      <c r="E430" s="617"/>
      <c r="F430" s="634"/>
      <c r="G430" s="152" t="s">
        <v>328</v>
      </c>
      <c r="H430" s="162">
        <v>1</v>
      </c>
      <c r="I430" s="197">
        <v>0</v>
      </c>
      <c r="J430" s="149">
        <v>0</v>
      </c>
      <c r="K430" s="152" t="e">
        <f>J430/I430</f>
        <v>#DIV/0!</v>
      </c>
      <c r="L430" s="164" t="s">
        <v>421</v>
      </c>
    </row>
    <row r="431" spans="1:12" s="165" customFormat="1" ht="49.9" hidden="1" customHeight="1" outlineLevel="1" x14ac:dyDescent="0.2">
      <c r="A431" s="585"/>
      <c r="B431" s="152" t="s">
        <v>364</v>
      </c>
      <c r="C431" s="152" t="s">
        <v>365</v>
      </c>
      <c r="D431" s="152" t="s">
        <v>366</v>
      </c>
      <c r="E431" s="152" t="s">
        <v>265</v>
      </c>
      <c r="F431" s="160">
        <v>0.15</v>
      </c>
      <c r="G431" s="152" t="s">
        <v>267</v>
      </c>
      <c r="H431" s="163">
        <v>426</v>
      </c>
      <c r="I431" s="197">
        <v>0</v>
      </c>
      <c r="J431" s="149">
        <v>0</v>
      </c>
      <c r="K431" s="152" t="e">
        <f t="shared" si="9"/>
        <v>#DIV/0!</v>
      </c>
      <c r="L431" s="164" t="s">
        <v>422</v>
      </c>
    </row>
    <row r="432" spans="1:12" s="165" customFormat="1" ht="49.9" hidden="1" customHeight="1" outlineLevel="1" x14ac:dyDescent="0.2">
      <c r="A432" s="585"/>
      <c r="B432" s="152" t="s">
        <v>368</v>
      </c>
      <c r="C432" s="152" t="s">
        <v>369</v>
      </c>
      <c r="D432" s="152" t="s">
        <v>370</v>
      </c>
      <c r="E432" s="152" t="s">
        <v>265</v>
      </c>
      <c r="F432" s="160">
        <v>0.15</v>
      </c>
      <c r="G432" s="152" t="s">
        <v>268</v>
      </c>
      <c r="H432" s="160">
        <v>1</v>
      </c>
      <c r="I432" s="197">
        <v>0</v>
      </c>
      <c r="J432" s="149">
        <v>0</v>
      </c>
      <c r="K432" s="152" t="e">
        <f t="shared" si="9"/>
        <v>#DIV/0!</v>
      </c>
      <c r="L432" s="164" t="s">
        <v>423</v>
      </c>
    </row>
    <row r="433" spans="1:12" s="165" customFormat="1" ht="49.9" hidden="1" customHeight="1" outlineLevel="1" x14ac:dyDescent="0.2">
      <c r="A433" s="585"/>
      <c r="B433" s="617" t="s">
        <v>372</v>
      </c>
      <c r="C433" s="617" t="s">
        <v>373</v>
      </c>
      <c r="D433" s="617" t="s">
        <v>374</v>
      </c>
      <c r="E433" s="617" t="s">
        <v>360</v>
      </c>
      <c r="F433" s="634">
        <v>0.25</v>
      </c>
      <c r="G433" s="152" t="s">
        <v>263</v>
      </c>
      <c r="H433" s="163">
        <v>234</v>
      </c>
      <c r="I433" s="197">
        <v>0</v>
      </c>
      <c r="J433" s="149">
        <v>0</v>
      </c>
      <c r="K433" s="152" t="e">
        <f t="shared" si="9"/>
        <v>#DIV/0!</v>
      </c>
      <c r="L433" s="164" t="s">
        <v>424</v>
      </c>
    </row>
    <row r="434" spans="1:12" s="165" customFormat="1" ht="49.9" hidden="1" customHeight="1" outlineLevel="1" x14ac:dyDescent="0.2">
      <c r="A434" s="585"/>
      <c r="B434" s="617"/>
      <c r="C434" s="617"/>
      <c r="D434" s="617"/>
      <c r="E434" s="617"/>
      <c r="F434" s="634"/>
      <c r="G434" s="152" t="s">
        <v>323</v>
      </c>
      <c r="H434" s="160">
        <v>1</v>
      </c>
      <c r="I434" s="197">
        <v>0</v>
      </c>
      <c r="J434" s="149">
        <v>0</v>
      </c>
      <c r="K434" s="152" t="e">
        <f t="shared" si="9"/>
        <v>#DIV/0!</v>
      </c>
      <c r="L434" s="164" t="s">
        <v>425</v>
      </c>
    </row>
    <row r="435" spans="1:12" s="165" customFormat="1" ht="49.9" hidden="1" customHeight="1" outlineLevel="1" x14ac:dyDescent="0.2">
      <c r="A435" s="585" t="s">
        <v>132</v>
      </c>
      <c r="B435" s="617" t="s">
        <v>357</v>
      </c>
      <c r="C435" s="617" t="s">
        <v>358</v>
      </c>
      <c r="D435" s="617" t="s">
        <v>359</v>
      </c>
      <c r="E435" s="617" t="s">
        <v>360</v>
      </c>
      <c r="F435" s="634">
        <v>0.45</v>
      </c>
      <c r="G435" s="152" t="s">
        <v>317</v>
      </c>
      <c r="H435" s="160">
        <v>1</v>
      </c>
      <c r="I435" s="197">
        <v>0</v>
      </c>
      <c r="J435" s="149">
        <v>0</v>
      </c>
      <c r="K435" s="152" t="e">
        <f t="shared" si="9"/>
        <v>#DIV/0!</v>
      </c>
      <c r="L435" s="164" t="s">
        <v>391</v>
      </c>
    </row>
    <row r="436" spans="1:12" s="165" customFormat="1" ht="49.9" hidden="1" customHeight="1" outlineLevel="1" x14ac:dyDescent="0.2">
      <c r="A436" s="585"/>
      <c r="B436" s="617"/>
      <c r="C436" s="617"/>
      <c r="D436" s="617"/>
      <c r="E436" s="617"/>
      <c r="F436" s="634"/>
      <c r="G436" s="152" t="s">
        <v>327</v>
      </c>
      <c r="H436" s="166">
        <v>4</v>
      </c>
      <c r="I436" s="197">
        <v>0</v>
      </c>
      <c r="J436" s="149">
        <v>0</v>
      </c>
      <c r="K436" s="152" t="e">
        <f t="shared" si="9"/>
        <v>#DIV/0!</v>
      </c>
      <c r="L436" s="164" t="s">
        <v>392</v>
      </c>
    </row>
    <row r="437" spans="1:12" s="165" customFormat="1" ht="49.9" hidden="1" customHeight="1" outlineLevel="1" x14ac:dyDescent="0.2">
      <c r="A437" s="585"/>
      <c r="B437" s="617"/>
      <c r="C437" s="617"/>
      <c r="D437" s="617"/>
      <c r="E437" s="617"/>
      <c r="F437" s="634"/>
      <c r="G437" s="152" t="s">
        <v>328</v>
      </c>
      <c r="H437" s="160">
        <v>1</v>
      </c>
      <c r="I437" s="197">
        <v>0</v>
      </c>
      <c r="J437" s="149">
        <v>0</v>
      </c>
      <c r="K437" s="152" t="e">
        <f t="shared" si="9"/>
        <v>#DIV/0!</v>
      </c>
      <c r="L437" s="164" t="s">
        <v>393</v>
      </c>
    </row>
    <row r="438" spans="1:12" s="165" customFormat="1" ht="49.9" hidden="1" customHeight="1" outlineLevel="1" x14ac:dyDescent="0.2">
      <c r="A438" s="585"/>
      <c r="B438" s="152" t="s">
        <v>364</v>
      </c>
      <c r="C438" s="152" t="s">
        <v>365</v>
      </c>
      <c r="D438" s="152" t="s">
        <v>366</v>
      </c>
      <c r="E438" s="152" t="s">
        <v>265</v>
      </c>
      <c r="F438" s="160">
        <v>0.15</v>
      </c>
      <c r="G438" s="152" t="s">
        <v>267</v>
      </c>
      <c r="H438" s="166">
        <v>426</v>
      </c>
      <c r="I438" s="197">
        <v>0</v>
      </c>
      <c r="J438" s="149">
        <v>0</v>
      </c>
      <c r="K438" s="152" t="e">
        <f t="shared" si="9"/>
        <v>#DIV/0!</v>
      </c>
      <c r="L438" s="164" t="s">
        <v>394</v>
      </c>
    </row>
    <row r="439" spans="1:12" s="165" customFormat="1" ht="49.9" hidden="1" customHeight="1" outlineLevel="1" x14ac:dyDescent="0.2">
      <c r="A439" s="585"/>
      <c r="B439" s="152" t="s">
        <v>368</v>
      </c>
      <c r="C439" s="152" t="s">
        <v>369</v>
      </c>
      <c r="D439" s="152" t="s">
        <v>370</v>
      </c>
      <c r="E439" s="152" t="s">
        <v>265</v>
      </c>
      <c r="F439" s="160">
        <v>0.15</v>
      </c>
      <c r="G439" s="152" t="s">
        <v>268</v>
      </c>
      <c r="H439" s="160">
        <v>1</v>
      </c>
      <c r="I439" s="197">
        <v>0</v>
      </c>
      <c r="J439" s="149">
        <v>0</v>
      </c>
      <c r="K439" s="152" t="e">
        <f t="shared" si="9"/>
        <v>#DIV/0!</v>
      </c>
      <c r="L439" s="164" t="s">
        <v>395</v>
      </c>
    </row>
    <row r="440" spans="1:12" s="165" customFormat="1" ht="49.9" hidden="1" customHeight="1" outlineLevel="1" x14ac:dyDescent="0.2">
      <c r="A440" s="585"/>
      <c r="B440" s="617" t="s">
        <v>372</v>
      </c>
      <c r="C440" s="617" t="s">
        <v>373</v>
      </c>
      <c r="D440" s="617" t="s">
        <v>374</v>
      </c>
      <c r="E440" s="617" t="s">
        <v>360</v>
      </c>
      <c r="F440" s="634">
        <v>0.25</v>
      </c>
      <c r="G440" s="152" t="s">
        <v>263</v>
      </c>
      <c r="H440" s="166">
        <v>234</v>
      </c>
      <c r="I440" s="197">
        <v>0</v>
      </c>
      <c r="J440" s="149">
        <v>0</v>
      </c>
      <c r="K440" s="152" t="e">
        <f t="shared" si="9"/>
        <v>#DIV/0!</v>
      </c>
      <c r="L440" s="164" t="s">
        <v>396</v>
      </c>
    </row>
    <row r="441" spans="1:12" s="165" customFormat="1" ht="49.9" hidden="1" customHeight="1" outlineLevel="1" x14ac:dyDescent="0.2">
      <c r="A441" s="585"/>
      <c r="B441" s="617"/>
      <c r="C441" s="617"/>
      <c r="D441" s="617"/>
      <c r="E441" s="617"/>
      <c r="F441" s="634"/>
      <c r="G441" s="152" t="s">
        <v>323</v>
      </c>
      <c r="H441" s="160">
        <v>1</v>
      </c>
      <c r="I441" s="197">
        <v>0</v>
      </c>
      <c r="J441" s="149">
        <v>0</v>
      </c>
      <c r="K441" s="152" t="e">
        <f>J441/I441</f>
        <v>#DIV/0!</v>
      </c>
      <c r="L441" s="164" t="s">
        <v>397</v>
      </c>
    </row>
    <row r="442" spans="1:12" s="165" customFormat="1" ht="55.15" hidden="1" customHeight="1" outlineLevel="1" x14ac:dyDescent="0.2">
      <c r="A442" s="633" t="s">
        <v>133</v>
      </c>
      <c r="B442" s="617" t="s">
        <v>357</v>
      </c>
      <c r="C442" s="617" t="s">
        <v>358</v>
      </c>
      <c r="D442" s="617" t="s">
        <v>359</v>
      </c>
      <c r="E442" s="617" t="s">
        <v>360</v>
      </c>
      <c r="F442" s="634">
        <v>0.45</v>
      </c>
      <c r="G442" s="152" t="s">
        <v>317</v>
      </c>
      <c r="H442" s="160">
        <v>1</v>
      </c>
      <c r="I442" s="197">
        <v>0</v>
      </c>
      <c r="J442" s="149">
        <v>0</v>
      </c>
      <c r="K442" s="152" t="e">
        <f t="shared" ref="K442:K447" si="10">J442/I442</f>
        <v>#DIV/0!</v>
      </c>
      <c r="L442" s="164" t="s">
        <v>398</v>
      </c>
    </row>
    <row r="443" spans="1:12" s="165" customFormat="1" ht="55.15" hidden="1" customHeight="1" outlineLevel="1" x14ac:dyDescent="0.2">
      <c r="A443" s="632"/>
      <c r="B443" s="617"/>
      <c r="C443" s="617"/>
      <c r="D443" s="617"/>
      <c r="E443" s="617"/>
      <c r="F443" s="634"/>
      <c r="G443" s="152" t="s">
        <v>327</v>
      </c>
      <c r="H443" s="166">
        <v>4</v>
      </c>
      <c r="I443" s="197">
        <v>0</v>
      </c>
      <c r="J443" s="149">
        <v>0</v>
      </c>
      <c r="K443" s="152" t="e">
        <f t="shared" si="10"/>
        <v>#DIV/0!</v>
      </c>
      <c r="L443" s="164" t="s">
        <v>399</v>
      </c>
    </row>
    <row r="444" spans="1:12" s="165" customFormat="1" ht="55.15" hidden="1" customHeight="1" outlineLevel="1" x14ac:dyDescent="0.2">
      <c r="A444" s="632"/>
      <c r="B444" s="617"/>
      <c r="C444" s="617"/>
      <c r="D444" s="617"/>
      <c r="E444" s="617"/>
      <c r="F444" s="634"/>
      <c r="G444" s="152" t="s">
        <v>328</v>
      </c>
      <c r="H444" s="160">
        <v>1</v>
      </c>
      <c r="I444" s="197">
        <v>0</v>
      </c>
      <c r="J444" s="149">
        <v>0</v>
      </c>
      <c r="K444" s="152" t="e">
        <f t="shared" si="10"/>
        <v>#DIV/0!</v>
      </c>
      <c r="L444" s="164" t="s">
        <v>400</v>
      </c>
    </row>
    <row r="445" spans="1:12" s="165" customFormat="1" ht="55.15" hidden="1" customHeight="1" outlineLevel="1" x14ac:dyDescent="0.2">
      <c r="A445" s="632"/>
      <c r="B445" s="152" t="s">
        <v>364</v>
      </c>
      <c r="C445" s="152" t="s">
        <v>365</v>
      </c>
      <c r="D445" s="152" t="s">
        <v>366</v>
      </c>
      <c r="E445" s="152" t="s">
        <v>265</v>
      </c>
      <c r="F445" s="160">
        <v>0.15</v>
      </c>
      <c r="G445" s="152" t="s">
        <v>267</v>
      </c>
      <c r="H445" s="166">
        <v>491</v>
      </c>
      <c r="I445" s="197">
        <v>0</v>
      </c>
      <c r="J445" s="149">
        <v>0</v>
      </c>
      <c r="K445" s="152" t="e">
        <f t="shared" si="10"/>
        <v>#DIV/0!</v>
      </c>
      <c r="L445" s="164" t="s">
        <v>401</v>
      </c>
    </row>
    <row r="446" spans="1:12" s="165" customFormat="1" ht="55.15" hidden="1" customHeight="1" outlineLevel="1" x14ac:dyDescent="0.2">
      <c r="A446" s="632"/>
      <c r="B446" s="152" t="s">
        <v>368</v>
      </c>
      <c r="C446" s="152" t="s">
        <v>369</v>
      </c>
      <c r="D446" s="152" t="s">
        <v>370</v>
      </c>
      <c r="E446" s="152" t="s">
        <v>265</v>
      </c>
      <c r="F446" s="160">
        <v>0.15</v>
      </c>
      <c r="G446" s="152" t="s">
        <v>268</v>
      </c>
      <c r="H446" s="160">
        <v>1</v>
      </c>
      <c r="I446" s="197">
        <v>0</v>
      </c>
      <c r="J446" s="149">
        <v>0</v>
      </c>
      <c r="K446" s="152" t="e">
        <f t="shared" si="10"/>
        <v>#DIV/0!</v>
      </c>
      <c r="L446" s="164" t="s">
        <v>402</v>
      </c>
    </row>
    <row r="447" spans="1:12" s="165" customFormat="1" ht="55.15" hidden="1" customHeight="1" outlineLevel="1" x14ac:dyDescent="0.2">
      <c r="A447" s="632"/>
      <c r="B447" s="617" t="s">
        <v>372</v>
      </c>
      <c r="C447" s="617" t="s">
        <v>373</v>
      </c>
      <c r="D447" s="617" t="s">
        <v>374</v>
      </c>
      <c r="E447" s="617" t="s">
        <v>360</v>
      </c>
      <c r="F447" s="634">
        <v>0.25</v>
      </c>
      <c r="G447" s="152" t="s">
        <v>263</v>
      </c>
      <c r="H447" s="166">
        <v>1292</v>
      </c>
      <c r="I447" s="197">
        <v>0</v>
      </c>
      <c r="J447" s="149">
        <v>0</v>
      </c>
      <c r="K447" s="152" t="e">
        <f t="shared" si="10"/>
        <v>#DIV/0!</v>
      </c>
      <c r="L447" s="164" t="s">
        <v>403</v>
      </c>
    </row>
    <row r="448" spans="1:12" s="165" customFormat="1" ht="55.15" hidden="1" customHeight="1" outlineLevel="1" x14ac:dyDescent="0.2">
      <c r="A448" s="597"/>
      <c r="B448" s="617"/>
      <c r="C448" s="617"/>
      <c r="D448" s="617"/>
      <c r="E448" s="617"/>
      <c r="F448" s="634"/>
      <c r="G448" s="152" t="s">
        <v>323</v>
      </c>
      <c r="H448" s="160">
        <v>1</v>
      </c>
      <c r="I448" s="197">
        <v>0</v>
      </c>
      <c r="J448" s="149">
        <v>0</v>
      </c>
      <c r="K448" s="152" t="e">
        <f>J448/I448</f>
        <v>#DIV/0!</v>
      </c>
      <c r="L448" s="164" t="s">
        <v>404</v>
      </c>
    </row>
    <row r="449" spans="1:13" collapsed="1" x14ac:dyDescent="0.25"/>
    <row r="450" spans="1:13" ht="19.899999999999999" customHeight="1" x14ac:dyDescent="0.25">
      <c r="A450" s="637" t="s">
        <v>200</v>
      </c>
      <c r="B450" s="638"/>
      <c r="C450" s="638"/>
      <c r="D450" s="638"/>
      <c r="E450" s="638"/>
      <c r="F450" s="638"/>
      <c r="G450" s="638"/>
      <c r="H450" s="638"/>
      <c r="I450" s="638"/>
      <c r="J450" s="638"/>
      <c r="K450" s="638"/>
      <c r="L450" s="639"/>
    </row>
    <row r="451" spans="1:13" ht="44.25" customHeight="1" x14ac:dyDescent="0.25">
      <c r="A451" s="150" t="s">
        <v>49</v>
      </c>
      <c r="B451" s="39" t="s">
        <v>145</v>
      </c>
      <c r="C451" s="39" t="s">
        <v>146</v>
      </c>
      <c r="D451" s="39" t="s">
        <v>147</v>
      </c>
      <c r="E451" s="39" t="s">
        <v>148</v>
      </c>
      <c r="F451" s="39" t="s">
        <v>156</v>
      </c>
      <c r="G451" s="39" t="s">
        <v>150</v>
      </c>
      <c r="H451" s="39" t="s">
        <v>157</v>
      </c>
      <c r="I451" s="195" t="s">
        <v>152</v>
      </c>
      <c r="J451" s="39" t="s">
        <v>153</v>
      </c>
      <c r="K451" s="39" t="s">
        <v>154</v>
      </c>
      <c r="L451" s="39" t="s">
        <v>155</v>
      </c>
    </row>
    <row r="452" spans="1:13" ht="49.9" hidden="1" customHeight="1" outlineLevel="1" x14ac:dyDescent="0.25">
      <c r="A452" s="618" t="s">
        <v>135</v>
      </c>
      <c r="B452" s="617" t="s">
        <v>357</v>
      </c>
      <c r="C452" s="617" t="s">
        <v>358</v>
      </c>
      <c r="D452" s="617" t="s">
        <v>359</v>
      </c>
      <c r="E452" s="617" t="s">
        <v>360</v>
      </c>
      <c r="F452" s="634">
        <v>0.45</v>
      </c>
      <c r="G452" s="152" t="s">
        <v>317</v>
      </c>
      <c r="H452" s="160">
        <v>1</v>
      </c>
      <c r="I452" s="197">
        <v>0</v>
      </c>
      <c r="J452" s="149">
        <v>0</v>
      </c>
      <c r="K452" s="152" t="e">
        <f t="shared" ref="K452:K479" si="11">J452/I452</f>
        <v>#DIV/0!</v>
      </c>
      <c r="L452" s="167" t="s">
        <v>398</v>
      </c>
      <c r="M452" s="168"/>
    </row>
    <row r="453" spans="1:13" ht="49.9" hidden="1" customHeight="1" outlineLevel="1" x14ac:dyDescent="0.25">
      <c r="A453" s="619"/>
      <c r="B453" s="617"/>
      <c r="C453" s="617"/>
      <c r="D453" s="617"/>
      <c r="E453" s="617"/>
      <c r="F453" s="634"/>
      <c r="G453" s="152" t="s">
        <v>327</v>
      </c>
      <c r="H453" s="166">
        <v>8</v>
      </c>
      <c r="I453" s="197">
        <v>0</v>
      </c>
      <c r="J453" s="149">
        <v>0</v>
      </c>
      <c r="K453" s="152" t="e">
        <f t="shared" si="11"/>
        <v>#DIV/0!</v>
      </c>
      <c r="L453" s="167" t="s">
        <v>399</v>
      </c>
      <c r="M453" s="168"/>
    </row>
    <row r="454" spans="1:13" ht="49.9" hidden="1" customHeight="1" outlineLevel="1" x14ac:dyDescent="0.25">
      <c r="A454" s="619"/>
      <c r="B454" s="617"/>
      <c r="C454" s="617"/>
      <c r="D454" s="617"/>
      <c r="E454" s="617"/>
      <c r="F454" s="634"/>
      <c r="G454" s="152" t="s">
        <v>328</v>
      </c>
      <c r="H454" s="166">
        <v>2</v>
      </c>
      <c r="I454" s="197">
        <v>0</v>
      </c>
      <c r="J454" s="149">
        <v>0</v>
      </c>
      <c r="K454" s="152" t="e">
        <f t="shared" si="11"/>
        <v>#DIV/0!</v>
      </c>
      <c r="L454" s="167" t="s">
        <v>400</v>
      </c>
      <c r="M454" s="168"/>
    </row>
    <row r="455" spans="1:13" ht="49.9" hidden="1" customHeight="1" outlineLevel="1" x14ac:dyDescent="0.25">
      <c r="A455" s="619"/>
      <c r="B455" s="152" t="s">
        <v>364</v>
      </c>
      <c r="C455" s="152" t="s">
        <v>365</v>
      </c>
      <c r="D455" s="152" t="s">
        <v>366</v>
      </c>
      <c r="E455" s="152" t="s">
        <v>265</v>
      </c>
      <c r="F455" s="160">
        <v>0.15</v>
      </c>
      <c r="G455" s="152" t="s">
        <v>267</v>
      </c>
      <c r="H455" s="166">
        <v>893</v>
      </c>
      <c r="I455" s="197">
        <v>0</v>
      </c>
      <c r="J455" s="149">
        <v>0</v>
      </c>
      <c r="K455" s="152" t="e">
        <f t="shared" si="11"/>
        <v>#DIV/0!</v>
      </c>
      <c r="L455" s="167" t="s">
        <v>401</v>
      </c>
      <c r="M455" s="168"/>
    </row>
    <row r="456" spans="1:13" ht="49.9" hidden="1" customHeight="1" outlineLevel="1" x14ac:dyDescent="0.25">
      <c r="A456" s="619"/>
      <c r="B456" s="152" t="s">
        <v>368</v>
      </c>
      <c r="C456" s="152" t="s">
        <v>369</v>
      </c>
      <c r="D456" s="152" t="s">
        <v>370</v>
      </c>
      <c r="E456" s="152" t="s">
        <v>265</v>
      </c>
      <c r="F456" s="160">
        <v>0.15</v>
      </c>
      <c r="G456" s="152" t="s">
        <v>268</v>
      </c>
      <c r="H456" s="160">
        <v>1</v>
      </c>
      <c r="I456" s="197">
        <v>0</v>
      </c>
      <c r="J456" s="149">
        <v>0</v>
      </c>
      <c r="K456" s="152" t="e">
        <f t="shared" si="11"/>
        <v>#DIV/0!</v>
      </c>
      <c r="L456" s="167" t="s">
        <v>402</v>
      </c>
      <c r="M456" s="168"/>
    </row>
    <row r="457" spans="1:13" ht="49.9" hidden="1" customHeight="1" outlineLevel="1" x14ac:dyDescent="0.25">
      <c r="A457" s="619"/>
      <c r="B457" s="617" t="s">
        <v>372</v>
      </c>
      <c r="C457" s="617" t="s">
        <v>373</v>
      </c>
      <c r="D457" s="617" t="s">
        <v>374</v>
      </c>
      <c r="E457" s="617" t="s">
        <v>360</v>
      </c>
      <c r="F457" s="634">
        <v>0.25</v>
      </c>
      <c r="G457" s="152" t="s">
        <v>263</v>
      </c>
      <c r="H457" s="166">
        <v>759</v>
      </c>
      <c r="I457" s="197">
        <v>0</v>
      </c>
      <c r="J457" s="149">
        <v>0</v>
      </c>
      <c r="K457" s="152" t="e">
        <f t="shared" si="11"/>
        <v>#DIV/0!</v>
      </c>
      <c r="L457" s="167" t="s">
        <v>403</v>
      </c>
      <c r="M457" s="168"/>
    </row>
    <row r="458" spans="1:13" ht="49.9" hidden="1" customHeight="1" outlineLevel="1" x14ac:dyDescent="0.25">
      <c r="A458" s="620"/>
      <c r="B458" s="617"/>
      <c r="C458" s="617"/>
      <c r="D458" s="617"/>
      <c r="E458" s="617"/>
      <c r="F458" s="634"/>
      <c r="G458" s="152" t="s">
        <v>323</v>
      </c>
      <c r="H458" s="160">
        <v>1</v>
      </c>
      <c r="I458" s="197">
        <v>0</v>
      </c>
      <c r="J458" s="149">
        <v>0</v>
      </c>
      <c r="K458" s="152" t="e">
        <f t="shared" si="11"/>
        <v>#DIV/0!</v>
      </c>
      <c r="L458" s="167" t="s">
        <v>404</v>
      </c>
      <c r="M458" s="168"/>
    </row>
    <row r="459" spans="1:13" ht="49.9" hidden="1" customHeight="1" outlineLevel="1" x14ac:dyDescent="0.25">
      <c r="A459" s="618" t="s">
        <v>136</v>
      </c>
      <c r="B459" s="617" t="s">
        <v>357</v>
      </c>
      <c r="C459" s="617" t="s">
        <v>358</v>
      </c>
      <c r="D459" s="617" t="s">
        <v>359</v>
      </c>
      <c r="E459" s="617" t="s">
        <v>360</v>
      </c>
      <c r="F459" s="634">
        <v>0.45</v>
      </c>
      <c r="G459" s="152" t="s">
        <v>317</v>
      </c>
      <c r="H459" s="160">
        <v>1</v>
      </c>
      <c r="I459" s="197">
        <v>0</v>
      </c>
      <c r="J459" s="149">
        <v>0</v>
      </c>
      <c r="K459" s="152" t="e">
        <f t="shared" si="11"/>
        <v>#DIV/0!</v>
      </c>
      <c r="L459" s="169" t="s">
        <v>405</v>
      </c>
    </row>
    <row r="460" spans="1:13" ht="49.9" hidden="1" customHeight="1" outlineLevel="1" x14ac:dyDescent="0.25">
      <c r="A460" s="619"/>
      <c r="B460" s="617"/>
      <c r="C460" s="617"/>
      <c r="D460" s="617"/>
      <c r="E460" s="617"/>
      <c r="F460" s="634"/>
      <c r="G460" s="152" t="s">
        <v>327</v>
      </c>
      <c r="H460" s="166">
        <v>8</v>
      </c>
      <c r="I460" s="197">
        <v>0</v>
      </c>
      <c r="J460" s="149">
        <v>0</v>
      </c>
      <c r="K460" s="152" t="e">
        <f t="shared" si="11"/>
        <v>#DIV/0!</v>
      </c>
      <c r="L460" s="169" t="s">
        <v>406</v>
      </c>
    </row>
    <row r="461" spans="1:13" ht="49.9" hidden="1" customHeight="1" outlineLevel="1" x14ac:dyDescent="0.25">
      <c r="A461" s="619"/>
      <c r="B461" s="617"/>
      <c r="C461" s="617"/>
      <c r="D461" s="617"/>
      <c r="E461" s="617"/>
      <c r="F461" s="634"/>
      <c r="G461" s="152" t="s">
        <v>328</v>
      </c>
      <c r="H461" s="166">
        <v>2</v>
      </c>
      <c r="I461" s="197">
        <v>0</v>
      </c>
      <c r="J461" s="149">
        <v>0</v>
      </c>
      <c r="K461" s="152" t="e">
        <f t="shared" si="11"/>
        <v>#DIV/0!</v>
      </c>
      <c r="L461" s="169" t="s">
        <v>407</v>
      </c>
    </row>
    <row r="462" spans="1:13" ht="49.9" hidden="1" customHeight="1" outlineLevel="1" x14ac:dyDescent="0.25">
      <c r="A462" s="619"/>
      <c r="B462" s="152" t="s">
        <v>364</v>
      </c>
      <c r="C462" s="152" t="s">
        <v>365</v>
      </c>
      <c r="D462" s="152" t="s">
        <v>366</v>
      </c>
      <c r="E462" s="152" t="s">
        <v>265</v>
      </c>
      <c r="F462" s="160">
        <v>0.15</v>
      </c>
      <c r="G462" s="152" t="s">
        <v>267</v>
      </c>
      <c r="H462" s="166">
        <v>893</v>
      </c>
      <c r="I462" s="197">
        <v>0</v>
      </c>
      <c r="J462" s="149">
        <v>0</v>
      </c>
      <c r="K462" s="152" t="e">
        <f t="shared" si="11"/>
        <v>#DIV/0!</v>
      </c>
      <c r="L462" s="169" t="s">
        <v>408</v>
      </c>
    </row>
    <row r="463" spans="1:13" ht="49.9" hidden="1" customHeight="1" outlineLevel="1" x14ac:dyDescent="0.25">
      <c r="A463" s="619"/>
      <c r="B463" s="152" t="s">
        <v>368</v>
      </c>
      <c r="C463" s="152" t="s">
        <v>369</v>
      </c>
      <c r="D463" s="152" t="s">
        <v>370</v>
      </c>
      <c r="E463" s="152" t="s">
        <v>265</v>
      </c>
      <c r="F463" s="160">
        <v>0.15</v>
      </c>
      <c r="G463" s="152" t="s">
        <v>268</v>
      </c>
      <c r="H463" s="160">
        <v>1</v>
      </c>
      <c r="I463" s="197">
        <v>0</v>
      </c>
      <c r="J463" s="149">
        <v>0</v>
      </c>
      <c r="K463" s="152" t="e">
        <f t="shared" si="11"/>
        <v>#DIV/0!</v>
      </c>
      <c r="L463" s="169" t="s">
        <v>409</v>
      </c>
    </row>
    <row r="464" spans="1:13" ht="49.9" hidden="1" customHeight="1" outlineLevel="1" x14ac:dyDescent="0.25">
      <c r="A464" s="619"/>
      <c r="B464" s="617" t="s">
        <v>372</v>
      </c>
      <c r="C464" s="617" t="s">
        <v>373</v>
      </c>
      <c r="D464" s="617" t="s">
        <v>374</v>
      </c>
      <c r="E464" s="617" t="s">
        <v>360</v>
      </c>
      <c r="F464" s="634">
        <v>0.25</v>
      </c>
      <c r="G464" s="152" t="s">
        <v>263</v>
      </c>
      <c r="H464" s="166">
        <v>759</v>
      </c>
      <c r="I464" s="197">
        <v>0</v>
      </c>
      <c r="J464" s="149">
        <v>0</v>
      </c>
      <c r="K464" s="152" t="e">
        <f t="shared" si="11"/>
        <v>#DIV/0!</v>
      </c>
      <c r="L464" s="169" t="s">
        <v>410</v>
      </c>
    </row>
    <row r="465" spans="1:12" ht="49.9" hidden="1" customHeight="1" outlineLevel="1" x14ac:dyDescent="0.25">
      <c r="A465" s="620"/>
      <c r="B465" s="617"/>
      <c r="C465" s="617"/>
      <c r="D465" s="617"/>
      <c r="E465" s="617"/>
      <c r="F465" s="634"/>
      <c r="G465" s="152" t="s">
        <v>323</v>
      </c>
      <c r="H465" s="160">
        <v>1</v>
      </c>
      <c r="I465" s="197">
        <v>0</v>
      </c>
      <c r="J465" s="149">
        <v>0</v>
      </c>
      <c r="K465" s="152" t="e">
        <f t="shared" si="11"/>
        <v>#DIV/0!</v>
      </c>
      <c r="L465" s="169" t="s">
        <v>411</v>
      </c>
    </row>
    <row r="466" spans="1:12" ht="49.9" hidden="1" customHeight="1" outlineLevel="1" x14ac:dyDescent="0.25">
      <c r="A466" s="618" t="s">
        <v>137</v>
      </c>
      <c r="B466" s="617" t="s">
        <v>357</v>
      </c>
      <c r="C466" s="617" t="s">
        <v>358</v>
      </c>
      <c r="D466" s="617" t="s">
        <v>359</v>
      </c>
      <c r="E466" s="617" t="s">
        <v>360</v>
      </c>
      <c r="F466" s="634">
        <v>0.45</v>
      </c>
      <c r="G466" s="152" t="s">
        <v>317</v>
      </c>
      <c r="H466" s="160">
        <v>1</v>
      </c>
      <c r="I466" s="197">
        <v>0</v>
      </c>
      <c r="J466" s="149">
        <v>0</v>
      </c>
      <c r="K466" s="152" t="e">
        <f t="shared" si="11"/>
        <v>#DIV/0!</v>
      </c>
      <c r="L466" s="169" t="s">
        <v>412</v>
      </c>
    </row>
    <row r="467" spans="1:12" ht="49.9" hidden="1" customHeight="1" outlineLevel="1" x14ac:dyDescent="0.25">
      <c r="A467" s="619"/>
      <c r="B467" s="617"/>
      <c r="C467" s="617"/>
      <c r="D467" s="617"/>
      <c r="E467" s="617"/>
      <c r="F467" s="634"/>
      <c r="G467" s="152" t="s">
        <v>327</v>
      </c>
      <c r="H467" s="166">
        <v>8</v>
      </c>
      <c r="I467" s="197">
        <v>0</v>
      </c>
      <c r="J467" s="149">
        <v>0</v>
      </c>
      <c r="K467" s="152" t="e">
        <f t="shared" si="11"/>
        <v>#DIV/0!</v>
      </c>
      <c r="L467" s="169" t="s">
        <v>413</v>
      </c>
    </row>
    <row r="468" spans="1:12" ht="49.9" hidden="1" customHeight="1" outlineLevel="1" x14ac:dyDescent="0.25">
      <c r="A468" s="619"/>
      <c r="B468" s="617"/>
      <c r="C468" s="617"/>
      <c r="D468" s="617"/>
      <c r="E468" s="617"/>
      <c r="F468" s="634"/>
      <c r="G468" s="152" t="s">
        <v>328</v>
      </c>
      <c r="H468" s="166">
        <v>2</v>
      </c>
      <c r="I468" s="197">
        <v>0</v>
      </c>
      <c r="J468" s="149">
        <v>0</v>
      </c>
      <c r="K468" s="152" t="e">
        <f t="shared" si="11"/>
        <v>#DIV/0!</v>
      </c>
      <c r="L468" s="169" t="s">
        <v>414</v>
      </c>
    </row>
    <row r="469" spans="1:12" ht="49.9" hidden="1" customHeight="1" outlineLevel="1" x14ac:dyDescent="0.25">
      <c r="A469" s="619"/>
      <c r="B469" s="152" t="s">
        <v>364</v>
      </c>
      <c r="C469" s="152" t="s">
        <v>365</v>
      </c>
      <c r="D469" s="152" t="s">
        <v>366</v>
      </c>
      <c r="E469" s="152" t="s">
        <v>265</v>
      </c>
      <c r="F469" s="160">
        <v>0.15</v>
      </c>
      <c r="G469" s="152" t="s">
        <v>267</v>
      </c>
      <c r="H469" s="166">
        <v>893</v>
      </c>
      <c r="I469" s="197">
        <v>0</v>
      </c>
      <c r="J469" s="149">
        <v>0</v>
      </c>
      <c r="K469" s="152" t="e">
        <f t="shared" si="11"/>
        <v>#DIV/0!</v>
      </c>
      <c r="L469" s="169" t="s">
        <v>415</v>
      </c>
    </row>
    <row r="470" spans="1:12" ht="49.9" hidden="1" customHeight="1" outlineLevel="1" x14ac:dyDescent="0.25">
      <c r="A470" s="619"/>
      <c r="B470" s="152" t="s">
        <v>368</v>
      </c>
      <c r="C470" s="152" t="s">
        <v>369</v>
      </c>
      <c r="D470" s="152" t="s">
        <v>370</v>
      </c>
      <c r="E470" s="152" t="s">
        <v>265</v>
      </c>
      <c r="F470" s="160">
        <v>0.15</v>
      </c>
      <c r="G470" s="152" t="s">
        <v>268</v>
      </c>
      <c r="H470" s="160">
        <v>1</v>
      </c>
      <c r="I470" s="197">
        <v>0</v>
      </c>
      <c r="J470" s="149">
        <v>0</v>
      </c>
      <c r="K470" s="152" t="e">
        <f t="shared" si="11"/>
        <v>#DIV/0!</v>
      </c>
      <c r="L470" s="169" t="s">
        <v>416</v>
      </c>
    </row>
    <row r="471" spans="1:12" ht="49.9" hidden="1" customHeight="1" outlineLevel="1" x14ac:dyDescent="0.25">
      <c r="A471" s="619"/>
      <c r="B471" s="617" t="s">
        <v>372</v>
      </c>
      <c r="C471" s="617" t="s">
        <v>373</v>
      </c>
      <c r="D471" s="617" t="s">
        <v>374</v>
      </c>
      <c r="E471" s="617" t="s">
        <v>360</v>
      </c>
      <c r="F471" s="634">
        <v>0.25</v>
      </c>
      <c r="G471" s="152" t="s">
        <v>263</v>
      </c>
      <c r="H471" s="166">
        <v>4707</v>
      </c>
      <c r="I471" s="197">
        <v>0</v>
      </c>
      <c r="J471" s="149">
        <v>0</v>
      </c>
      <c r="K471" s="152" t="e">
        <f t="shared" si="11"/>
        <v>#DIV/0!</v>
      </c>
      <c r="L471" s="169" t="s">
        <v>417</v>
      </c>
    </row>
    <row r="472" spans="1:12" ht="49.9" hidden="1" customHeight="1" outlineLevel="1" x14ac:dyDescent="0.25">
      <c r="A472" s="620"/>
      <c r="B472" s="617"/>
      <c r="C472" s="617"/>
      <c r="D472" s="617"/>
      <c r="E472" s="617"/>
      <c r="F472" s="634"/>
      <c r="G472" s="152" t="s">
        <v>323</v>
      </c>
      <c r="H472" s="160">
        <v>1</v>
      </c>
      <c r="I472" s="197">
        <v>0</v>
      </c>
      <c r="J472" s="149">
        <v>0</v>
      </c>
      <c r="K472" s="152" t="e">
        <f t="shared" si="11"/>
        <v>#DIV/0!</v>
      </c>
      <c r="L472" s="169" t="s">
        <v>418</v>
      </c>
    </row>
    <row r="473" spans="1:12" ht="49.9" hidden="1" customHeight="1" outlineLevel="1" x14ac:dyDescent="0.25">
      <c r="A473" s="618" t="s">
        <v>138</v>
      </c>
      <c r="B473" s="617" t="s">
        <v>357</v>
      </c>
      <c r="C473" s="617" t="s">
        <v>358</v>
      </c>
      <c r="D473" s="617" t="s">
        <v>359</v>
      </c>
      <c r="E473" s="617" t="s">
        <v>360</v>
      </c>
      <c r="F473" s="634">
        <v>0.45</v>
      </c>
      <c r="G473" s="152" t="s">
        <v>317</v>
      </c>
      <c r="H473" s="160">
        <v>1</v>
      </c>
      <c r="I473" s="197">
        <v>0</v>
      </c>
      <c r="J473" s="149">
        <v>0</v>
      </c>
      <c r="K473" s="152" t="e">
        <f t="shared" si="11"/>
        <v>#DIV/0!</v>
      </c>
      <c r="L473" s="170" t="s">
        <v>419</v>
      </c>
    </row>
    <row r="474" spans="1:12" ht="49.9" hidden="1" customHeight="1" outlineLevel="1" x14ac:dyDescent="0.25">
      <c r="A474" s="619"/>
      <c r="B474" s="617"/>
      <c r="C474" s="617"/>
      <c r="D474" s="617"/>
      <c r="E474" s="617"/>
      <c r="F474" s="634"/>
      <c r="G474" s="152" t="s">
        <v>327</v>
      </c>
      <c r="H474" s="166">
        <v>6</v>
      </c>
      <c r="I474" s="197">
        <v>0</v>
      </c>
      <c r="J474" s="149">
        <v>0</v>
      </c>
      <c r="K474" s="152" t="e">
        <f t="shared" si="11"/>
        <v>#DIV/0!</v>
      </c>
      <c r="L474" s="170" t="s">
        <v>420</v>
      </c>
    </row>
    <row r="475" spans="1:12" ht="49.9" hidden="1" customHeight="1" outlineLevel="1" x14ac:dyDescent="0.25">
      <c r="A475" s="619"/>
      <c r="B475" s="617"/>
      <c r="C475" s="617"/>
      <c r="D475" s="617"/>
      <c r="E475" s="617"/>
      <c r="F475" s="634"/>
      <c r="G475" s="152" t="s">
        <v>328</v>
      </c>
      <c r="H475" s="166">
        <v>1</v>
      </c>
      <c r="I475" s="197">
        <v>0</v>
      </c>
      <c r="J475" s="149">
        <v>0</v>
      </c>
      <c r="K475" s="152" t="e">
        <f t="shared" si="11"/>
        <v>#DIV/0!</v>
      </c>
      <c r="L475" s="170" t="s">
        <v>421</v>
      </c>
    </row>
    <row r="476" spans="1:12" ht="49.9" hidden="1" customHeight="1" outlineLevel="1" x14ac:dyDescent="0.25">
      <c r="A476" s="619"/>
      <c r="B476" s="152" t="s">
        <v>364</v>
      </c>
      <c r="C476" s="152" t="s">
        <v>365</v>
      </c>
      <c r="D476" s="152" t="s">
        <v>366</v>
      </c>
      <c r="E476" s="152" t="s">
        <v>265</v>
      </c>
      <c r="F476" s="160">
        <v>0.15</v>
      </c>
      <c r="G476" s="152" t="s">
        <v>267</v>
      </c>
      <c r="H476" s="166">
        <v>705</v>
      </c>
      <c r="I476" s="197">
        <v>0</v>
      </c>
      <c r="J476" s="149">
        <v>0</v>
      </c>
      <c r="K476" s="152" t="e">
        <f t="shared" si="11"/>
        <v>#DIV/0!</v>
      </c>
      <c r="L476" s="170" t="s">
        <v>422</v>
      </c>
    </row>
    <row r="477" spans="1:12" ht="49.9" hidden="1" customHeight="1" outlineLevel="1" x14ac:dyDescent="0.25">
      <c r="A477" s="619"/>
      <c r="B477" s="152" t="s">
        <v>368</v>
      </c>
      <c r="C477" s="152" t="s">
        <v>369</v>
      </c>
      <c r="D477" s="152" t="s">
        <v>370</v>
      </c>
      <c r="E477" s="152" t="s">
        <v>265</v>
      </c>
      <c r="F477" s="160">
        <v>0.15</v>
      </c>
      <c r="G477" s="152" t="s">
        <v>268</v>
      </c>
      <c r="H477" s="160">
        <v>1</v>
      </c>
      <c r="I477" s="197">
        <v>0</v>
      </c>
      <c r="J477" s="149">
        <v>0</v>
      </c>
      <c r="K477" s="152" t="e">
        <f t="shared" si="11"/>
        <v>#DIV/0!</v>
      </c>
      <c r="L477" s="170" t="s">
        <v>423</v>
      </c>
    </row>
    <row r="478" spans="1:12" ht="49.9" hidden="1" customHeight="1" outlineLevel="1" x14ac:dyDescent="0.25">
      <c r="A478" s="619"/>
      <c r="B478" s="617" t="s">
        <v>372</v>
      </c>
      <c r="C478" s="617" t="s">
        <v>373</v>
      </c>
      <c r="D478" s="617" t="s">
        <v>374</v>
      </c>
      <c r="E478" s="617" t="s">
        <v>360</v>
      </c>
      <c r="F478" s="634">
        <v>0.25</v>
      </c>
      <c r="G478" s="152" t="s">
        <v>263</v>
      </c>
      <c r="H478" s="166">
        <v>4707</v>
      </c>
      <c r="I478" s="197">
        <v>0</v>
      </c>
      <c r="J478" s="149">
        <v>0</v>
      </c>
      <c r="K478" s="152" t="e">
        <f t="shared" si="11"/>
        <v>#DIV/0!</v>
      </c>
      <c r="L478" s="170" t="s">
        <v>424</v>
      </c>
    </row>
    <row r="479" spans="1:12" ht="49.9" hidden="1" customHeight="1" outlineLevel="1" x14ac:dyDescent="0.25">
      <c r="A479" s="620"/>
      <c r="B479" s="617"/>
      <c r="C479" s="617"/>
      <c r="D479" s="617"/>
      <c r="E479" s="617"/>
      <c r="F479" s="634"/>
      <c r="G479" s="152" t="s">
        <v>323</v>
      </c>
      <c r="H479" s="160">
        <v>1</v>
      </c>
      <c r="I479" s="197">
        <v>0</v>
      </c>
      <c r="J479" s="149">
        <v>0</v>
      </c>
      <c r="K479" s="152" t="e">
        <f t="shared" si="11"/>
        <v>#DIV/0!</v>
      </c>
      <c r="L479" s="170" t="s">
        <v>425</v>
      </c>
    </row>
    <row r="480" spans="1:12" ht="49.9" hidden="1" customHeight="1" outlineLevel="1" x14ac:dyDescent="0.25">
      <c r="A480" s="618" t="s">
        <v>139</v>
      </c>
      <c r="B480" s="617" t="s">
        <v>357</v>
      </c>
      <c r="C480" s="617" t="s">
        <v>358</v>
      </c>
      <c r="D480" s="617" t="s">
        <v>359</v>
      </c>
      <c r="E480" s="617" t="s">
        <v>360</v>
      </c>
      <c r="F480" s="634">
        <v>0.45</v>
      </c>
      <c r="G480" s="152" t="s">
        <v>317</v>
      </c>
      <c r="H480" s="160">
        <f>+INVERSIÓN!BD10</f>
        <v>1</v>
      </c>
      <c r="I480" s="197">
        <v>0</v>
      </c>
      <c r="J480" s="149">
        <v>0</v>
      </c>
      <c r="K480" s="40" t="e">
        <f t="shared" ref="K480:K493" si="12">J480/I480</f>
        <v>#DIV/0!</v>
      </c>
      <c r="L480" s="170" t="s">
        <v>448</v>
      </c>
    </row>
    <row r="481" spans="1:14" ht="49.9" hidden="1" customHeight="1" outlineLevel="1" x14ac:dyDescent="0.25">
      <c r="A481" s="619"/>
      <c r="B481" s="617"/>
      <c r="C481" s="617"/>
      <c r="D481" s="617"/>
      <c r="E481" s="617"/>
      <c r="F481" s="634"/>
      <c r="G481" s="152" t="s">
        <v>327</v>
      </c>
      <c r="H481" s="166">
        <f>+INVERSIÓN!BD17</f>
        <v>7.9999999999999991</v>
      </c>
      <c r="I481" s="197">
        <v>0</v>
      </c>
      <c r="J481" s="149">
        <v>0</v>
      </c>
      <c r="K481" s="40" t="e">
        <f t="shared" si="12"/>
        <v>#DIV/0!</v>
      </c>
      <c r="L481" s="170" t="s">
        <v>449</v>
      </c>
    </row>
    <row r="482" spans="1:14" ht="49.9" hidden="1" customHeight="1" outlineLevel="1" x14ac:dyDescent="0.25">
      <c r="A482" s="619"/>
      <c r="B482" s="617"/>
      <c r="C482" s="617"/>
      <c r="D482" s="617"/>
      <c r="E482" s="617"/>
      <c r="F482" s="634"/>
      <c r="G482" s="152" t="s">
        <v>328</v>
      </c>
      <c r="H482" s="166">
        <f>+INVERSIÓN!BD24</f>
        <v>1.9999999999999998</v>
      </c>
      <c r="I482" s="197">
        <v>0</v>
      </c>
      <c r="J482" s="149">
        <v>0</v>
      </c>
      <c r="K482" s="40" t="e">
        <f t="shared" si="12"/>
        <v>#DIV/0!</v>
      </c>
      <c r="L482" s="170" t="s">
        <v>450</v>
      </c>
    </row>
    <row r="483" spans="1:14" ht="49.9" hidden="1" customHeight="1" outlineLevel="1" x14ac:dyDescent="0.25">
      <c r="A483" s="619"/>
      <c r="B483" s="152" t="s">
        <v>364</v>
      </c>
      <c r="C483" s="152" t="s">
        <v>365</v>
      </c>
      <c r="D483" s="152" t="s">
        <v>366</v>
      </c>
      <c r="E483" s="152" t="s">
        <v>265</v>
      </c>
      <c r="F483" s="160">
        <v>0.15</v>
      </c>
      <c r="G483" s="152" t="s">
        <v>267</v>
      </c>
      <c r="H483" s="166">
        <f>+INVERSIÓN!BD31</f>
        <v>897</v>
      </c>
      <c r="I483" s="197">
        <v>0</v>
      </c>
      <c r="J483" s="149">
        <v>0</v>
      </c>
      <c r="K483" s="40" t="e">
        <f t="shared" si="12"/>
        <v>#DIV/0!</v>
      </c>
      <c r="L483" s="170" t="s">
        <v>451</v>
      </c>
    </row>
    <row r="484" spans="1:14" ht="49.9" hidden="1" customHeight="1" outlineLevel="1" x14ac:dyDescent="0.25">
      <c r="A484" s="619"/>
      <c r="B484" s="152" t="s">
        <v>368</v>
      </c>
      <c r="C484" s="152" t="s">
        <v>369</v>
      </c>
      <c r="D484" s="152" t="s">
        <v>370</v>
      </c>
      <c r="E484" s="152" t="s">
        <v>265</v>
      </c>
      <c r="F484" s="160">
        <v>0.15</v>
      </c>
      <c r="G484" s="152" t="s">
        <v>268</v>
      </c>
      <c r="H484" s="160">
        <f>+INVERSIÓN!BD38</f>
        <v>1</v>
      </c>
      <c r="I484" s="197">
        <v>0</v>
      </c>
      <c r="J484" s="149">
        <v>0</v>
      </c>
      <c r="K484" s="40" t="e">
        <f t="shared" si="12"/>
        <v>#DIV/0!</v>
      </c>
      <c r="L484" s="170" t="s">
        <v>452</v>
      </c>
    </row>
    <row r="485" spans="1:14" ht="49.9" hidden="1" customHeight="1" outlineLevel="1" x14ac:dyDescent="0.25">
      <c r="A485" s="619"/>
      <c r="B485" s="617" t="s">
        <v>372</v>
      </c>
      <c r="C485" s="617" t="s">
        <v>373</v>
      </c>
      <c r="D485" s="617" t="s">
        <v>374</v>
      </c>
      <c r="E485" s="617" t="s">
        <v>360</v>
      </c>
      <c r="F485" s="634">
        <v>0.25</v>
      </c>
      <c r="G485" s="152" t="s">
        <v>263</v>
      </c>
      <c r="H485" s="166">
        <f>+INVERSIÓN!BD45</f>
        <v>4950</v>
      </c>
      <c r="I485" s="197">
        <v>0</v>
      </c>
      <c r="J485" s="149">
        <v>0</v>
      </c>
      <c r="K485" s="40" t="e">
        <f t="shared" si="12"/>
        <v>#DIV/0!</v>
      </c>
      <c r="L485" s="170" t="s">
        <v>453</v>
      </c>
    </row>
    <row r="486" spans="1:14" ht="49.9" hidden="1" customHeight="1" outlineLevel="1" x14ac:dyDescent="0.25">
      <c r="A486" s="620"/>
      <c r="B486" s="617"/>
      <c r="C486" s="617"/>
      <c r="D486" s="617"/>
      <c r="E486" s="617"/>
      <c r="F486" s="634"/>
      <c r="G486" s="152" t="s">
        <v>323</v>
      </c>
      <c r="H486" s="160">
        <f>+INVERSIÓN!BD52</f>
        <v>1</v>
      </c>
      <c r="I486" s="197">
        <v>0</v>
      </c>
      <c r="J486" s="149">
        <v>0</v>
      </c>
      <c r="K486" s="40" t="e">
        <f t="shared" si="12"/>
        <v>#DIV/0!</v>
      </c>
      <c r="L486" s="170" t="s">
        <v>454</v>
      </c>
    </row>
    <row r="487" spans="1:14" ht="49.9" hidden="1" customHeight="1" outlineLevel="1" x14ac:dyDescent="0.25">
      <c r="A487" s="618" t="s">
        <v>140</v>
      </c>
      <c r="B487" s="617" t="s">
        <v>357</v>
      </c>
      <c r="C487" s="617" t="s">
        <v>358</v>
      </c>
      <c r="D487" s="617" t="s">
        <v>359</v>
      </c>
      <c r="E487" s="617" t="s">
        <v>360</v>
      </c>
      <c r="F487" s="634">
        <v>0.45</v>
      </c>
      <c r="G487" s="152" t="s">
        <v>317</v>
      </c>
      <c r="H487" s="160">
        <f>+INVERSIÓN!BD10</f>
        <v>1</v>
      </c>
      <c r="I487" s="197">
        <v>0</v>
      </c>
      <c r="J487" s="149">
        <v>0</v>
      </c>
      <c r="K487" s="40" t="e">
        <f t="shared" si="12"/>
        <v>#DIV/0!</v>
      </c>
      <c r="L487" s="170" t="s">
        <v>461</v>
      </c>
    </row>
    <row r="488" spans="1:14" ht="49.9" hidden="1" customHeight="1" outlineLevel="1" x14ac:dyDescent="0.25">
      <c r="A488" s="619"/>
      <c r="B488" s="617"/>
      <c r="C488" s="617"/>
      <c r="D488" s="617"/>
      <c r="E488" s="617"/>
      <c r="F488" s="634"/>
      <c r="G488" s="152" t="s">
        <v>327</v>
      </c>
      <c r="H488" s="166">
        <f>+INVERSIÓN!BD17</f>
        <v>7.9999999999999991</v>
      </c>
      <c r="I488" s="197">
        <v>0</v>
      </c>
      <c r="J488" s="149">
        <v>0</v>
      </c>
      <c r="K488" s="40" t="e">
        <f t="shared" si="12"/>
        <v>#DIV/0!</v>
      </c>
      <c r="L488" s="170" t="s">
        <v>340</v>
      </c>
    </row>
    <row r="489" spans="1:14" ht="49.9" hidden="1" customHeight="1" outlineLevel="1" x14ac:dyDescent="0.25">
      <c r="A489" s="619"/>
      <c r="B489" s="617"/>
      <c r="C489" s="617"/>
      <c r="D489" s="617"/>
      <c r="E489" s="617"/>
      <c r="F489" s="634"/>
      <c r="G489" s="152" t="s">
        <v>328</v>
      </c>
      <c r="H489" s="166">
        <f>+INVERSIÓN!BD24</f>
        <v>1.9999999999999998</v>
      </c>
      <c r="I489" s="197">
        <v>0</v>
      </c>
      <c r="J489" s="149">
        <v>0</v>
      </c>
      <c r="K489" s="40" t="e">
        <f t="shared" si="12"/>
        <v>#DIV/0!</v>
      </c>
      <c r="L489" s="170" t="s">
        <v>462</v>
      </c>
    </row>
    <row r="490" spans="1:14" ht="49.9" hidden="1" customHeight="1" outlineLevel="1" x14ac:dyDescent="0.25">
      <c r="A490" s="619"/>
      <c r="B490" s="152" t="s">
        <v>364</v>
      </c>
      <c r="C490" s="152" t="s">
        <v>365</v>
      </c>
      <c r="D490" s="152" t="s">
        <v>366</v>
      </c>
      <c r="E490" s="152" t="s">
        <v>265</v>
      </c>
      <c r="F490" s="160">
        <v>0.15</v>
      </c>
      <c r="G490" s="152" t="s">
        <v>267</v>
      </c>
      <c r="H490" s="166">
        <f>+INVERSIÓN!BD31</f>
        <v>897</v>
      </c>
      <c r="I490" s="197">
        <v>0</v>
      </c>
      <c r="J490" s="149">
        <v>0</v>
      </c>
      <c r="K490" s="40" t="e">
        <f t="shared" si="12"/>
        <v>#DIV/0!</v>
      </c>
      <c r="L490" s="170" t="s">
        <v>463</v>
      </c>
    </row>
    <row r="491" spans="1:14" ht="49.9" hidden="1" customHeight="1" outlineLevel="1" x14ac:dyDescent="0.25">
      <c r="A491" s="619"/>
      <c r="B491" s="152" t="s">
        <v>368</v>
      </c>
      <c r="C491" s="152" t="s">
        <v>369</v>
      </c>
      <c r="D491" s="152" t="s">
        <v>370</v>
      </c>
      <c r="E491" s="152" t="s">
        <v>265</v>
      </c>
      <c r="F491" s="160">
        <v>0.15</v>
      </c>
      <c r="G491" s="152" t="s">
        <v>268</v>
      </c>
      <c r="H491" s="160">
        <f>+INVERSIÓN!BD38</f>
        <v>1</v>
      </c>
      <c r="I491" s="197">
        <v>0</v>
      </c>
      <c r="J491" s="149">
        <v>0</v>
      </c>
      <c r="K491" s="40" t="e">
        <f t="shared" si="12"/>
        <v>#DIV/0!</v>
      </c>
      <c r="L491" s="170" t="s">
        <v>464</v>
      </c>
    </row>
    <row r="492" spans="1:14" ht="49.9" hidden="1" customHeight="1" outlineLevel="1" x14ac:dyDescent="0.25">
      <c r="A492" s="619"/>
      <c r="B492" s="617" t="s">
        <v>372</v>
      </c>
      <c r="C492" s="617" t="s">
        <v>373</v>
      </c>
      <c r="D492" s="617" t="s">
        <v>374</v>
      </c>
      <c r="E492" s="617" t="s">
        <v>360</v>
      </c>
      <c r="F492" s="634">
        <v>0.25</v>
      </c>
      <c r="G492" s="152" t="s">
        <v>263</v>
      </c>
      <c r="H492" s="166">
        <f>+INVERSIÓN!BD45</f>
        <v>4950</v>
      </c>
      <c r="I492" s="197">
        <v>0</v>
      </c>
      <c r="J492" s="149">
        <v>0</v>
      </c>
      <c r="K492" s="40" t="e">
        <f t="shared" si="12"/>
        <v>#DIV/0!</v>
      </c>
      <c r="L492" s="170" t="s">
        <v>465</v>
      </c>
    </row>
    <row r="493" spans="1:14" ht="49.9" hidden="1" customHeight="1" outlineLevel="1" x14ac:dyDescent="0.25">
      <c r="A493" s="620"/>
      <c r="B493" s="617"/>
      <c r="C493" s="617"/>
      <c r="D493" s="617"/>
      <c r="E493" s="617"/>
      <c r="F493" s="634"/>
      <c r="G493" s="152" t="s">
        <v>323</v>
      </c>
      <c r="H493" s="160">
        <f>+INVERSIÓN!BD52</f>
        <v>1</v>
      </c>
      <c r="I493" s="197">
        <v>0</v>
      </c>
      <c r="J493" s="149">
        <v>0</v>
      </c>
      <c r="K493" s="40" t="e">
        <f t="shared" si="12"/>
        <v>#DIV/0!</v>
      </c>
      <c r="L493" s="170" t="s">
        <v>466</v>
      </c>
    </row>
    <row r="494" spans="1:14" ht="49.9" hidden="1" customHeight="1" outlineLevel="1" x14ac:dyDescent="0.25">
      <c r="A494" s="656" t="s">
        <v>128</v>
      </c>
      <c r="B494" s="617" t="s">
        <v>357</v>
      </c>
      <c r="C494" s="617" t="s">
        <v>358</v>
      </c>
      <c r="D494" s="617" t="s">
        <v>359</v>
      </c>
      <c r="E494" s="617" t="s">
        <v>360</v>
      </c>
      <c r="F494" s="634">
        <v>0.45</v>
      </c>
      <c r="G494" s="152" t="s">
        <v>317</v>
      </c>
      <c r="H494" s="160">
        <f>+INVERSIÓN!BD10</f>
        <v>1</v>
      </c>
      <c r="I494" s="197">
        <v>0</v>
      </c>
      <c r="J494" s="149">
        <v>0</v>
      </c>
      <c r="K494" s="40" t="e">
        <f t="shared" ref="K494:K500" si="13">J494/I494</f>
        <v>#DIV/0!</v>
      </c>
      <c r="L494" s="181" t="s">
        <v>472</v>
      </c>
      <c r="N494" s="180"/>
    </row>
    <row r="495" spans="1:14" ht="49.9" hidden="1" customHeight="1" outlineLevel="1" x14ac:dyDescent="0.25">
      <c r="A495" s="656"/>
      <c r="B495" s="617"/>
      <c r="C495" s="617"/>
      <c r="D495" s="617"/>
      <c r="E495" s="617"/>
      <c r="F495" s="634"/>
      <c r="G495" s="152" t="s">
        <v>327</v>
      </c>
      <c r="H495" s="166">
        <f>+INVERSIÓN!BD17</f>
        <v>7.9999999999999991</v>
      </c>
      <c r="I495" s="197">
        <v>0</v>
      </c>
      <c r="J495" s="149">
        <v>0</v>
      </c>
      <c r="K495" s="40" t="e">
        <f t="shared" si="13"/>
        <v>#DIV/0!</v>
      </c>
      <c r="L495" s="181" t="s">
        <v>473</v>
      </c>
      <c r="N495" s="180"/>
    </row>
    <row r="496" spans="1:14" ht="49.9" hidden="1" customHeight="1" outlineLevel="1" x14ac:dyDescent="0.25">
      <c r="A496" s="656"/>
      <c r="B496" s="617"/>
      <c r="C496" s="617"/>
      <c r="D496" s="617"/>
      <c r="E496" s="617"/>
      <c r="F496" s="634"/>
      <c r="G496" s="152" t="s">
        <v>328</v>
      </c>
      <c r="H496" s="166">
        <f>+INVERSIÓN!BD24</f>
        <v>1.9999999999999998</v>
      </c>
      <c r="I496" s="197">
        <v>0</v>
      </c>
      <c r="J496" s="149">
        <v>0</v>
      </c>
      <c r="K496" s="40" t="e">
        <f t="shared" si="13"/>
        <v>#DIV/0!</v>
      </c>
      <c r="L496" s="181" t="s">
        <v>474</v>
      </c>
      <c r="N496" s="180"/>
    </row>
    <row r="497" spans="1:14" ht="49.9" hidden="1" customHeight="1" outlineLevel="1" x14ac:dyDescent="0.25">
      <c r="A497" s="656"/>
      <c r="B497" s="152" t="s">
        <v>364</v>
      </c>
      <c r="C497" s="152" t="s">
        <v>365</v>
      </c>
      <c r="D497" s="152" t="s">
        <v>366</v>
      </c>
      <c r="E497" s="152" t="s">
        <v>265</v>
      </c>
      <c r="F497" s="160">
        <v>0.15</v>
      </c>
      <c r="G497" s="152" t="s">
        <v>267</v>
      </c>
      <c r="H497" s="166">
        <f>+INVERSIÓN!BD31</f>
        <v>897</v>
      </c>
      <c r="I497" s="197">
        <v>0</v>
      </c>
      <c r="J497" s="149">
        <v>0</v>
      </c>
      <c r="K497" s="40" t="e">
        <f t="shared" si="13"/>
        <v>#DIV/0!</v>
      </c>
      <c r="L497" s="181" t="s">
        <v>478</v>
      </c>
      <c r="N497" s="180"/>
    </row>
    <row r="498" spans="1:14" ht="49.9" hidden="1" customHeight="1" outlineLevel="1" x14ac:dyDescent="0.25">
      <c r="A498" s="656"/>
      <c r="B498" s="152" t="s">
        <v>368</v>
      </c>
      <c r="C498" s="152" t="s">
        <v>369</v>
      </c>
      <c r="D498" s="152" t="s">
        <v>370</v>
      </c>
      <c r="E498" s="152" t="s">
        <v>265</v>
      </c>
      <c r="F498" s="160">
        <v>0.15</v>
      </c>
      <c r="G498" s="152" t="s">
        <v>268</v>
      </c>
      <c r="H498" s="160">
        <f>+INVERSIÓN!BD38</f>
        <v>1</v>
      </c>
      <c r="I498" s="197">
        <v>0</v>
      </c>
      <c r="J498" s="149">
        <v>0</v>
      </c>
      <c r="K498" s="40" t="e">
        <f t="shared" si="13"/>
        <v>#DIV/0!</v>
      </c>
      <c r="L498" s="181" t="s">
        <v>475</v>
      </c>
      <c r="N498" s="180"/>
    </row>
    <row r="499" spans="1:14" ht="49.9" hidden="1" customHeight="1" outlineLevel="1" x14ac:dyDescent="0.25">
      <c r="A499" s="656"/>
      <c r="B499" s="617" t="s">
        <v>372</v>
      </c>
      <c r="C499" s="617" t="s">
        <v>373</v>
      </c>
      <c r="D499" s="617" t="s">
        <v>374</v>
      </c>
      <c r="E499" s="617" t="s">
        <v>360</v>
      </c>
      <c r="F499" s="634">
        <v>0.25</v>
      </c>
      <c r="G499" s="152" t="s">
        <v>263</v>
      </c>
      <c r="H499" s="166">
        <f>+INVERSIÓN!BD45</f>
        <v>4950</v>
      </c>
      <c r="I499" s="197">
        <v>0</v>
      </c>
      <c r="J499" s="149">
        <v>0</v>
      </c>
      <c r="K499" s="40" t="e">
        <f t="shared" si="13"/>
        <v>#DIV/0!</v>
      </c>
      <c r="L499" s="181" t="s">
        <v>476</v>
      </c>
      <c r="N499" s="180"/>
    </row>
    <row r="500" spans="1:14" ht="49.9" hidden="1" customHeight="1" outlineLevel="1" x14ac:dyDescent="0.25">
      <c r="A500" s="656"/>
      <c r="B500" s="617"/>
      <c r="C500" s="617"/>
      <c r="D500" s="617"/>
      <c r="E500" s="617"/>
      <c r="F500" s="634"/>
      <c r="G500" s="152" t="s">
        <v>323</v>
      </c>
      <c r="H500" s="160">
        <f>+INVERSIÓN!BD52</f>
        <v>1</v>
      </c>
      <c r="I500" s="197">
        <v>0</v>
      </c>
      <c r="J500" s="149">
        <v>0</v>
      </c>
      <c r="K500" s="40" t="e">
        <f t="shared" si="13"/>
        <v>#DIV/0!</v>
      </c>
      <c r="L500" s="181" t="s">
        <v>477</v>
      </c>
      <c r="N500" s="180"/>
    </row>
    <row r="501" spans="1:14" ht="49.9" hidden="1" customHeight="1" outlineLevel="1" x14ac:dyDescent="0.25">
      <c r="A501" s="618" t="s">
        <v>129</v>
      </c>
      <c r="B501" s="617" t="s">
        <v>357</v>
      </c>
      <c r="C501" s="617" t="s">
        <v>358</v>
      </c>
      <c r="D501" s="617" t="s">
        <v>359</v>
      </c>
      <c r="E501" s="617" t="s">
        <v>360</v>
      </c>
      <c r="F501" s="634">
        <v>0.45</v>
      </c>
      <c r="G501" s="152" t="s">
        <v>317</v>
      </c>
      <c r="H501" s="160">
        <f>+INVERSIÓN!BD10</f>
        <v>1</v>
      </c>
      <c r="I501" s="197">
        <v>0</v>
      </c>
      <c r="J501" s="149">
        <v>0</v>
      </c>
      <c r="K501" s="40" t="e">
        <f t="shared" ref="K501:K507" si="14">J501/I501</f>
        <v>#DIV/0!</v>
      </c>
      <c r="L501" s="170" t="s">
        <v>484</v>
      </c>
    </row>
    <row r="502" spans="1:14" ht="49.9" hidden="1" customHeight="1" outlineLevel="1" x14ac:dyDescent="0.25">
      <c r="A502" s="619"/>
      <c r="B502" s="617"/>
      <c r="C502" s="617"/>
      <c r="D502" s="617"/>
      <c r="E502" s="617"/>
      <c r="F502" s="634"/>
      <c r="G502" s="152" t="s">
        <v>327</v>
      </c>
      <c r="H502" s="166">
        <f>+INVERSIÓN!BD17</f>
        <v>7.9999999999999991</v>
      </c>
      <c r="I502" s="197">
        <v>0</v>
      </c>
      <c r="J502" s="149">
        <v>0</v>
      </c>
      <c r="K502" s="40" t="e">
        <f t="shared" si="14"/>
        <v>#DIV/0!</v>
      </c>
      <c r="L502" s="170" t="s">
        <v>483</v>
      </c>
    </row>
    <row r="503" spans="1:14" ht="49.9" hidden="1" customHeight="1" outlineLevel="1" x14ac:dyDescent="0.25">
      <c r="A503" s="619"/>
      <c r="B503" s="617"/>
      <c r="C503" s="617"/>
      <c r="D503" s="617"/>
      <c r="E503" s="617"/>
      <c r="F503" s="634"/>
      <c r="G503" s="152" t="s">
        <v>328</v>
      </c>
      <c r="H503" s="166">
        <f>+INVERSIÓN!BD24</f>
        <v>1.9999999999999998</v>
      </c>
      <c r="I503" s="197">
        <v>0</v>
      </c>
      <c r="J503" s="149">
        <v>0</v>
      </c>
      <c r="K503" s="40" t="e">
        <f t="shared" si="14"/>
        <v>#DIV/0!</v>
      </c>
      <c r="L503" s="170" t="s">
        <v>485</v>
      </c>
    </row>
    <row r="504" spans="1:14" ht="49.9" hidden="1" customHeight="1" outlineLevel="1" x14ac:dyDescent="0.25">
      <c r="A504" s="619"/>
      <c r="B504" s="152" t="s">
        <v>364</v>
      </c>
      <c r="C504" s="152" t="s">
        <v>365</v>
      </c>
      <c r="D504" s="152" t="s">
        <v>366</v>
      </c>
      <c r="E504" s="152" t="s">
        <v>265</v>
      </c>
      <c r="F504" s="160">
        <v>0.15</v>
      </c>
      <c r="G504" s="152" t="s">
        <v>267</v>
      </c>
      <c r="H504" s="166">
        <f>+INVERSIÓN!BD31</f>
        <v>897</v>
      </c>
      <c r="I504" s="197">
        <v>0</v>
      </c>
      <c r="J504" s="149">
        <v>0</v>
      </c>
      <c r="K504" s="40" t="e">
        <f t="shared" si="14"/>
        <v>#DIV/0!</v>
      </c>
      <c r="L504" s="170" t="s">
        <v>481</v>
      </c>
    </row>
    <row r="505" spans="1:14" ht="49.9" hidden="1" customHeight="1" outlineLevel="1" x14ac:dyDescent="0.25">
      <c r="A505" s="619"/>
      <c r="B505" s="152" t="s">
        <v>368</v>
      </c>
      <c r="C505" s="152" t="s">
        <v>369</v>
      </c>
      <c r="D505" s="152" t="s">
        <v>370</v>
      </c>
      <c r="E505" s="152" t="s">
        <v>265</v>
      </c>
      <c r="F505" s="160">
        <v>0.15</v>
      </c>
      <c r="G505" s="152" t="s">
        <v>268</v>
      </c>
      <c r="H505" s="160">
        <f>+INVERSIÓN!BD38</f>
        <v>1</v>
      </c>
      <c r="I505" s="197">
        <v>0</v>
      </c>
      <c r="J505" s="149">
        <v>0</v>
      </c>
      <c r="K505" s="40" t="e">
        <f t="shared" si="14"/>
        <v>#DIV/0!</v>
      </c>
      <c r="L505" s="170" t="s">
        <v>482</v>
      </c>
    </row>
    <row r="506" spans="1:14" ht="49.9" hidden="1" customHeight="1" outlineLevel="1" x14ac:dyDescent="0.25">
      <c r="A506" s="619"/>
      <c r="B506" s="617" t="s">
        <v>372</v>
      </c>
      <c r="C506" s="617" t="s">
        <v>373</v>
      </c>
      <c r="D506" s="617" t="s">
        <v>374</v>
      </c>
      <c r="E506" s="617" t="s">
        <v>360</v>
      </c>
      <c r="F506" s="634">
        <v>0.25</v>
      </c>
      <c r="G506" s="152" t="s">
        <v>263</v>
      </c>
      <c r="H506" s="166">
        <f>+INVERSIÓN!BD45</f>
        <v>4950</v>
      </c>
      <c r="I506" s="197">
        <v>0</v>
      </c>
      <c r="J506" s="149">
        <v>0</v>
      </c>
      <c r="K506" s="40" t="e">
        <f t="shared" si="14"/>
        <v>#DIV/0!</v>
      </c>
      <c r="L506" s="170" t="s">
        <v>480</v>
      </c>
    </row>
    <row r="507" spans="1:14" ht="49.9" hidden="1" customHeight="1" outlineLevel="1" x14ac:dyDescent="0.25">
      <c r="A507" s="620"/>
      <c r="B507" s="617"/>
      <c r="C507" s="617"/>
      <c r="D507" s="617"/>
      <c r="E507" s="617"/>
      <c r="F507" s="634"/>
      <c r="G507" s="152" t="s">
        <v>323</v>
      </c>
      <c r="H507" s="160">
        <f>+INVERSIÓN!BD52</f>
        <v>1</v>
      </c>
      <c r="I507" s="197">
        <v>0</v>
      </c>
      <c r="J507" s="149">
        <v>0</v>
      </c>
      <c r="K507" s="40" t="e">
        <f t="shared" si="14"/>
        <v>#DIV/0!</v>
      </c>
      <c r="L507" s="170" t="s">
        <v>486</v>
      </c>
    </row>
    <row r="508" spans="1:14" ht="49.9" hidden="1" customHeight="1" outlineLevel="1" x14ac:dyDescent="0.25">
      <c r="A508" s="618" t="s">
        <v>130</v>
      </c>
      <c r="B508" s="617" t="s">
        <v>357</v>
      </c>
      <c r="C508" s="617" t="s">
        <v>358</v>
      </c>
      <c r="D508" s="617" t="s">
        <v>359</v>
      </c>
      <c r="E508" s="617" t="s">
        <v>360</v>
      </c>
      <c r="F508" s="634">
        <v>0.45</v>
      </c>
      <c r="G508" s="152" t="s">
        <v>317</v>
      </c>
      <c r="H508" s="160">
        <f>+INVERSIÓN!BD10</f>
        <v>1</v>
      </c>
      <c r="I508" s="198">
        <v>0</v>
      </c>
      <c r="J508" s="40">
        <v>0</v>
      </c>
      <c r="K508" s="40" t="e">
        <f t="shared" ref="K508:K514" si="15">J508/I508</f>
        <v>#DIV/0!</v>
      </c>
      <c r="L508" s="201" t="s">
        <v>492</v>
      </c>
      <c r="N508" s="200"/>
    </row>
    <row r="509" spans="1:14" ht="49.9" hidden="1" customHeight="1" outlineLevel="1" x14ac:dyDescent="0.25">
      <c r="A509" s="619"/>
      <c r="B509" s="617"/>
      <c r="C509" s="617"/>
      <c r="D509" s="617"/>
      <c r="E509" s="617"/>
      <c r="F509" s="634"/>
      <c r="G509" s="152" t="s">
        <v>327</v>
      </c>
      <c r="H509" s="166">
        <f>+INVERSIÓN!BD17</f>
        <v>7.9999999999999991</v>
      </c>
      <c r="I509" s="198">
        <v>0</v>
      </c>
      <c r="J509" s="40">
        <v>0</v>
      </c>
      <c r="K509" s="40" t="e">
        <f t="shared" si="15"/>
        <v>#DIV/0!</v>
      </c>
      <c r="L509" s="201" t="s">
        <v>490</v>
      </c>
      <c r="N509" s="200"/>
    </row>
    <row r="510" spans="1:14" ht="49.9" hidden="1" customHeight="1" outlineLevel="1" x14ac:dyDescent="0.25">
      <c r="A510" s="619"/>
      <c r="B510" s="617"/>
      <c r="C510" s="617"/>
      <c r="D510" s="617"/>
      <c r="E510" s="617"/>
      <c r="F510" s="634"/>
      <c r="G510" s="152" t="s">
        <v>328</v>
      </c>
      <c r="H510" s="166">
        <f>+INVERSIÓN!BD24</f>
        <v>1.9999999999999998</v>
      </c>
      <c r="I510" s="198">
        <v>0</v>
      </c>
      <c r="J510" s="40">
        <v>0</v>
      </c>
      <c r="K510" s="40" t="e">
        <f t="shared" si="15"/>
        <v>#DIV/0!</v>
      </c>
      <c r="L510" s="201" t="s">
        <v>491</v>
      </c>
      <c r="N510" s="200"/>
    </row>
    <row r="511" spans="1:14" ht="49.9" hidden="1" customHeight="1" outlineLevel="1" x14ac:dyDescent="0.25">
      <c r="A511" s="619"/>
      <c r="B511" s="152" t="s">
        <v>364</v>
      </c>
      <c r="C511" s="152" t="s">
        <v>365</v>
      </c>
      <c r="D511" s="152" t="s">
        <v>366</v>
      </c>
      <c r="E511" s="152" t="s">
        <v>265</v>
      </c>
      <c r="F511" s="160">
        <v>0.15</v>
      </c>
      <c r="G511" s="152" t="s">
        <v>267</v>
      </c>
      <c r="H511" s="166">
        <f>+INVERSIÓN!BD31</f>
        <v>897</v>
      </c>
      <c r="I511" s="198">
        <v>0</v>
      </c>
      <c r="J511" s="40">
        <v>0</v>
      </c>
      <c r="K511" s="40" t="e">
        <f t="shared" si="15"/>
        <v>#DIV/0!</v>
      </c>
      <c r="L511" s="201" t="s">
        <v>488</v>
      </c>
      <c r="N511" s="200"/>
    </row>
    <row r="512" spans="1:14" ht="49.9" hidden="1" customHeight="1" outlineLevel="1" x14ac:dyDescent="0.25">
      <c r="A512" s="619"/>
      <c r="B512" s="152" t="s">
        <v>368</v>
      </c>
      <c r="C512" s="152" t="s">
        <v>369</v>
      </c>
      <c r="D512" s="152" t="s">
        <v>370</v>
      </c>
      <c r="E512" s="152" t="s">
        <v>265</v>
      </c>
      <c r="F512" s="160">
        <v>0.15</v>
      </c>
      <c r="G512" s="152" t="s">
        <v>268</v>
      </c>
      <c r="H512" s="160">
        <f>+INVERSIÓN!BD38</f>
        <v>1</v>
      </c>
      <c r="I512" s="198">
        <v>0</v>
      </c>
      <c r="J512" s="40">
        <v>0</v>
      </c>
      <c r="K512" s="40" t="e">
        <f t="shared" si="15"/>
        <v>#DIV/0!</v>
      </c>
      <c r="L512" s="201" t="s">
        <v>489</v>
      </c>
      <c r="N512" s="200"/>
    </row>
    <row r="513" spans="1:14" ht="49.9" hidden="1" customHeight="1" outlineLevel="1" x14ac:dyDescent="0.25">
      <c r="A513" s="619"/>
      <c r="B513" s="617" t="s">
        <v>372</v>
      </c>
      <c r="C513" s="617" t="s">
        <v>373</v>
      </c>
      <c r="D513" s="617" t="s">
        <v>374</v>
      </c>
      <c r="E513" s="617" t="s">
        <v>360</v>
      </c>
      <c r="F513" s="634">
        <v>0.25</v>
      </c>
      <c r="G513" s="152" t="s">
        <v>263</v>
      </c>
      <c r="H513" s="166">
        <f>+INVERSIÓN!BD45</f>
        <v>4950</v>
      </c>
      <c r="I513" s="198">
        <v>0</v>
      </c>
      <c r="J513" s="40">
        <v>0</v>
      </c>
      <c r="K513" s="40" t="e">
        <f t="shared" si="15"/>
        <v>#DIV/0!</v>
      </c>
      <c r="L513" s="201" t="s">
        <v>487</v>
      </c>
      <c r="N513" s="200"/>
    </row>
    <row r="514" spans="1:14" ht="49.9" hidden="1" customHeight="1" outlineLevel="1" x14ac:dyDescent="0.25">
      <c r="A514" s="620"/>
      <c r="B514" s="617"/>
      <c r="C514" s="617"/>
      <c r="D514" s="617"/>
      <c r="E514" s="617"/>
      <c r="F514" s="634"/>
      <c r="G514" s="152" t="s">
        <v>323</v>
      </c>
      <c r="H514" s="160">
        <f>+INVERSIÓN!BD52</f>
        <v>1</v>
      </c>
      <c r="I514" s="198">
        <v>0</v>
      </c>
      <c r="J514" s="40">
        <v>0</v>
      </c>
      <c r="K514" s="40" t="e">
        <f t="shared" si="15"/>
        <v>#DIV/0!</v>
      </c>
      <c r="L514" s="201" t="s">
        <v>493</v>
      </c>
      <c r="N514" s="200"/>
    </row>
    <row r="515" spans="1:14" ht="49.9" hidden="1" customHeight="1" outlineLevel="1" x14ac:dyDescent="0.25">
      <c r="A515" s="618" t="s">
        <v>131</v>
      </c>
      <c r="B515" s="617" t="s">
        <v>357</v>
      </c>
      <c r="C515" s="617" t="s">
        <v>358</v>
      </c>
      <c r="D515" s="617" t="s">
        <v>359</v>
      </c>
      <c r="E515" s="617" t="s">
        <v>360</v>
      </c>
      <c r="F515" s="634">
        <v>0.45</v>
      </c>
      <c r="G515" s="152" t="s">
        <v>317</v>
      </c>
      <c r="H515" s="160">
        <f>+INVERSIÓN!BD10</f>
        <v>1</v>
      </c>
      <c r="I515" s="198">
        <v>0</v>
      </c>
      <c r="J515" s="40">
        <v>0</v>
      </c>
      <c r="K515" s="40" t="e">
        <f t="shared" ref="K515:K521" si="16">J515/I515</f>
        <v>#DIV/0!</v>
      </c>
      <c r="L515" s="201" t="s">
        <v>499</v>
      </c>
    </row>
    <row r="516" spans="1:14" ht="49.9" hidden="1" customHeight="1" outlineLevel="1" x14ac:dyDescent="0.25">
      <c r="A516" s="619"/>
      <c r="B516" s="617"/>
      <c r="C516" s="617"/>
      <c r="D516" s="617"/>
      <c r="E516" s="617"/>
      <c r="F516" s="634"/>
      <c r="G516" s="152" t="s">
        <v>327</v>
      </c>
      <c r="H516" s="166">
        <f>+INVERSIÓN!BD17</f>
        <v>7.9999999999999991</v>
      </c>
      <c r="I516" s="198">
        <v>0</v>
      </c>
      <c r="J516" s="40">
        <v>0</v>
      </c>
      <c r="K516" s="40" t="e">
        <f t="shared" si="16"/>
        <v>#DIV/0!</v>
      </c>
      <c r="L516" s="201" t="s">
        <v>497</v>
      </c>
    </row>
    <row r="517" spans="1:14" ht="49.9" hidden="1" customHeight="1" outlineLevel="1" x14ac:dyDescent="0.25">
      <c r="A517" s="619"/>
      <c r="B517" s="617"/>
      <c r="C517" s="617"/>
      <c r="D517" s="617"/>
      <c r="E517" s="617"/>
      <c r="F517" s="634"/>
      <c r="G517" s="152" t="s">
        <v>328</v>
      </c>
      <c r="H517" s="166">
        <f>+INVERSIÓN!BD24</f>
        <v>1.9999999999999998</v>
      </c>
      <c r="I517" s="198">
        <v>0</v>
      </c>
      <c r="J517" s="40">
        <v>0</v>
      </c>
      <c r="K517" s="40" t="e">
        <f t="shared" si="16"/>
        <v>#DIV/0!</v>
      </c>
      <c r="L517" s="201" t="s">
        <v>500</v>
      </c>
    </row>
    <row r="518" spans="1:14" ht="49.9" hidden="1" customHeight="1" outlineLevel="1" x14ac:dyDescent="0.25">
      <c r="A518" s="619"/>
      <c r="B518" s="152" t="s">
        <v>364</v>
      </c>
      <c r="C518" s="152" t="s">
        <v>365</v>
      </c>
      <c r="D518" s="152" t="s">
        <v>366</v>
      </c>
      <c r="E518" s="152" t="s">
        <v>265</v>
      </c>
      <c r="F518" s="160">
        <v>0.15</v>
      </c>
      <c r="G518" s="152" t="s">
        <v>267</v>
      </c>
      <c r="H518" s="166">
        <f>+INVERSIÓN!BD31</f>
        <v>897</v>
      </c>
      <c r="I518" s="198">
        <v>0</v>
      </c>
      <c r="J518" s="40">
        <v>0</v>
      </c>
      <c r="K518" s="40" t="e">
        <f t="shared" si="16"/>
        <v>#DIV/0!</v>
      </c>
      <c r="L518" s="201" t="s">
        <v>494</v>
      </c>
    </row>
    <row r="519" spans="1:14" ht="49.9" hidden="1" customHeight="1" outlineLevel="1" x14ac:dyDescent="0.25">
      <c r="A519" s="619"/>
      <c r="B519" s="152" t="s">
        <v>368</v>
      </c>
      <c r="C519" s="152" t="s">
        <v>369</v>
      </c>
      <c r="D519" s="152" t="s">
        <v>370</v>
      </c>
      <c r="E519" s="152" t="s">
        <v>265</v>
      </c>
      <c r="F519" s="160">
        <v>0.15</v>
      </c>
      <c r="G519" s="152" t="s">
        <v>268</v>
      </c>
      <c r="H519" s="160">
        <f>+INVERSIÓN!BD38</f>
        <v>1</v>
      </c>
      <c r="I519" s="198">
        <v>0</v>
      </c>
      <c r="J519" s="40">
        <v>0</v>
      </c>
      <c r="K519" s="40" t="e">
        <f t="shared" si="16"/>
        <v>#DIV/0!</v>
      </c>
      <c r="L519" s="201" t="s">
        <v>496</v>
      </c>
    </row>
    <row r="520" spans="1:14" ht="49.9" hidden="1" customHeight="1" outlineLevel="1" x14ac:dyDescent="0.25">
      <c r="A520" s="619"/>
      <c r="B520" s="617" t="s">
        <v>372</v>
      </c>
      <c r="C520" s="617" t="s">
        <v>373</v>
      </c>
      <c r="D520" s="617" t="s">
        <v>374</v>
      </c>
      <c r="E520" s="617" t="s">
        <v>360</v>
      </c>
      <c r="F520" s="634">
        <v>0.25</v>
      </c>
      <c r="G520" s="152" t="s">
        <v>263</v>
      </c>
      <c r="H520" s="166">
        <f>+INVERSIÓN!BD45</f>
        <v>4950</v>
      </c>
      <c r="I520" s="198">
        <v>0</v>
      </c>
      <c r="J520" s="40">
        <v>0</v>
      </c>
      <c r="K520" s="40" t="e">
        <f t="shared" si="16"/>
        <v>#DIV/0!</v>
      </c>
      <c r="L520" s="201" t="s">
        <v>501</v>
      </c>
    </row>
    <row r="521" spans="1:14" ht="49.9" hidden="1" customHeight="1" outlineLevel="1" x14ac:dyDescent="0.25">
      <c r="A521" s="620"/>
      <c r="B521" s="617"/>
      <c r="C521" s="617"/>
      <c r="D521" s="617"/>
      <c r="E521" s="617"/>
      <c r="F521" s="634"/>
      <c r="G521" s="152" t="s">
        <v>323</v>
      </c>
      <c r="H521" s="160">
        <f>+INVERSIÓN!BD52</f>
        <v>1</v>
      </c>
      <c r="I521" s="198">
        <v>0</v>
      </c>
      <c r="J521" s="40">
        <v>0</v>
      </c>
      <c r="K521" s="40" t="e">
        <f t="shared" si="16"/>
        <v>#DIV/0!</v>
      </c>
      <c r="L521" s="201" t="s">
        <v>498</v>
      </c>
    </row>
    <row r="522" spans="1:14" ht="49.9" hidden="1" customHeight="1" outlineLevel="1" x14ac:dyDescent="0.25">
      <c r="A522" s="618" t="s">
        <v>132</v>
      </c>
      <c r="B522" s="617" t="s">
        <v>357</v>
      </c>
      <c r="C522" s="617" t="s">
        <v>358</v>
      </c>
      <c r="D522" s="617" t="s">
        <v>359</v>
      </c>
      <c r="E522" s="617" t="s">
        <v>360</v>
      </c>
      <c r="F522" s="634">
        <v>0.45</v>
      </c>
      <c r="G522" s="152" t="s">
        <v>317</v>
      </c>
      <c r="H522" s="160">
        <f>+INVERSIÓN!BD10</f>
        <v>1</v>
      </c>
      <c r="I522" s="198">
        <v>0</v>
      </c>
      <c r="J522" s="40">
        <v>0</v>
      </c>
      <c r="K522" s="40" t="e">
        <f>J522/I522</f>
        <v>#DIV/0!</v>
      </c>
      <c r="L522" s="201" t="s">
        <v>516</v>
      </c>
    </row>
    <row r="523" spans="1:14" ht="49.9" hidden="1" customHeight="1" outlineLevel="1" x14ac:dyDescent="0.25">
      <c r="A523" s="619"/>
      <c r="B523" s="617"/>
      <c r="C523" s="617"/>
      <c r="D523" s="617"/>
      <c r="E523" s="617"/>
      <c r="F523" s="634"/>
      <c r="G523" s="152" t="s">
        <v>327</v>
      </c>
      <c r="H523" s="166">
        <f>+INVERSIÓN!BD17</f>
        <v>7.9999999999999991</v>
      </c>
      <c r="I523" s="198">
        <v>0</v>
      </c>
      <c r="J523" s="40">
        <v>0</v>
      </c>
      <c r="K523" s="40" t="e">
        <f t="shared" ref="K523:K528" si="17">J523/I523</f>
        <v>#DIV/0!</v>
      </c>
      <c r="L523" s="201" t="s">
        <v>513</v>
      </c>
    </row>
    <row r="524" spans="1:14" ht="49.9" hidden="1" customHeight="1" outlineLevel="1" x14ac:dyDescent="0.25">
      <c r="A524" s="619"/>
      <c r="B524" s="617"/>
      <c r="C524" s="617"/>
      <c r="D524" s="617"/>
      <c r="E524" s="617"/>
      <c r="F524" s="634"/>
      <c r="G524" s="152" t="s">
        <v>328</v>
      </c>
      <c r="H524" s="166">
        <f>+INVERSIÓN!BD24</f>
        <v>1.9999999999999998</v>
      </c>
      <c r="I524" s="198">
        <v>0</v>
      </c>
      <c r="J524" s="40">
        <v>0</v>
      </c>
      <c r="K524" s="40" t="e">
        <f t="shared" si="17"/>
        <v>#DIV/0!</v>
      </c>
      <c r="L524" s="201" t="s">
        <v>518</v>
      </c>
    </row>
    <row r="525" spans="1:14" ht="49.9" hidden="1" customHeight="1" outlineLevel="1" x14ac:dyDescent="0.25">
      <c r="A525" s="619"/>
      <c r="B525" s="152" t="s">
        <v>364</v>
      </c>
      <c r="C525" s="152" t="s">
        <v>365</v>
      </c>
      <c r="D525" s="152" t="s">
        <v>366</v>
      </c>
      <c r="E525" s="152" t="s">
        <v>265</v>
      </c>
      <c r="F525" s="160">
        <v>0.15</v>
      </c>
      <c r="G525" s="152" t="s">
        <v>267</v>
      </c>
      <c r="H525" s="166">
        <f>+INVERSIÓN!BD31</f>
        <v>897</v>
      </c>
      <c r="I525" s="198">
        <v>0</v>
      </c>
      <c r="J525" s="40">
        <v>0</v>
      </c>
      <c r="K525" s="40" t="e">
        <f t="shared" si="17"/>
        <v>#DIV/0!</v>
      </c>
      <c r="L525" s="201" t="s">
        <v>512</v>
      </c>
    </row>
    <row r="526" spans="1:14" ht="49.9" hidden="1" customHeight="1" outlineLevel="1" x14ac:dyDescent="0.25">
      <c r="A526" s="619"/>
      <c r="B526" s="152" t="s">
        <v>368</v>
      </c>
      <c r="C526" s="152" t="s">
        <v>369</v>
      </c>
      <c r="D526" s="152" t="s">
        <v>370</v>
      </c>
      <c r="E526" s="152" t="s">
        <v>265</v>
      </c>
      <c r="F526" s="160">
        <v>0.15</v>
      </c>
      <c r="G526" s="152" t="s">
        <v>268</v>
      </c>
      <c r="H526" s="160">
        <f>+INVERSIÓN!BD38</f>
        <v>1</v>
      </c>
      <c r="I526" s="198">
        <v>0</v>
      </c>
      <c r="J526" s="40">
        <v>0</v>
      </c>
      <c r="K526" s="40" t="e">
        <f t="shared" si="17"/>
        <v>#DIV/0!</v>
      </c>
      <c r="L526" s="201" t="s">
        <v>514</v>
      </c>
    </row>
    <row r="527" spans="1:14" ht="49.9" hidden="1" customHeight="1" outlineLevel="1" x14ac:dyDescent="0.25">
      <c r="A527" s="619"/>
      <c r="B527" s="617" t="s">
        <v>372</v>
      </c>
      <c r="C527" s="617" t="s">
        <v>373</v>
      </c>
      <c r="D527" s="617" t="s">
        <v>374</v>
      </c>
      <c r="E527" s="617" t="s">
        <v>360</v>
      </c>
      <c r="F527" s="634">
        <v>0.25</v>
      </c>
      <c r="G527" s="152" t="s">
        <v>263</v>
      </c>
      <c r="H527" s="166">
        <f>+INVERSIÓN!BD45</f>
        <v>4950</v>
      </c>
      <c r="I527" s="198">
        <v>0</v>
      </c>
      <c r="J527" s="40">
        <v>0</v>
      </c>
      <c r="K527" s="40" t="e">
        <f t="shared" si="17"/>
        <v>#DIV/0!</v>
      </c>
      <c r="L527" s="201" t="s">
        <v>517</v>
      </c>
    </row>
    <row r="528" spans="1:14" ht="49.9" hidden="1" customHeight="1" outlineLevel="1" x14ac:dyDescent="0.25">
      <c r="A528" s="620"/>
      <c r="B528" s="617"/>
      <c r="C528" s="617"/>
      <c r="D528" s="617"/>
      <c r="E528" s="617"/>
      <c r="F528" s="634"/>
      <c r="G528" s="152" t="s">
        <v>323</v>
      </c>
      <c r="H528" s="160">
        <f>+INVERSIÓN!BD52</f>
        <v>1</v>
      </c>
      <c r="I528" s="198">
        <v>0</v>
      </c>
      <c r="J528" s="40">
        <v>0</v>
      </c>
      <c r="K528" s="40" t="e">
        <f t="shared" si="17"/>
        <v>#DIV/0!</v>
      </c>
      <c r="L528" s="201" t="s">
        <v>515</v>
      </c>
    </row>
    <row r="529" spans="1:12" hidden="1" outlineLevel="1" x14ac:dyDescent="0.25">
      <c r="A529" s="40" t="s">
        <v>133</v>
      </c>
      <c r="B529" s="215"/>
      <c r="C529" s="215"/>
      <c r="D529" s="215"/>
      <c r="E529" s="215"/>
      <c r="F529" s="215"/>
      <c r="G529" s="215"/>
      <c r="H529" s="215"/>
      <c r="I529" s="216"/>
      <c r="J529" s="215"/>
      <c r="K529" s="215" t="e">
        <f>J529/I529</f>
        <v>#DIV/0!</v>
      </c>
      <c r="L529" s="215"/>
    </row>
    <row r="530" spans="1:12" collapsed="1" x14ac:dyDescent="0.25"/>
    <row r="531" spans="1:12" ht="19.899999999999999" customHeight="1" x14ac:dyDescent="0.25">
      <c r="A531" s="637" t="s">
        <v>158</v>
      </c>
      <c r="B531" s="638"/>
      <c r="C531" s="638"/>
      <c r="D531" s="638"/>
      <c r="E531" s="638"/>
      <c r="F531" s="638"/>
      <c r="G531" s="638"/>
      <c r="H531" s="638"/>
      <c r="I531" s="638"/>
      <c r="J531" s="638"/>
      <c r="K531" s="638"/>
      <c r="L531" s="639"/>
    </row>
    <row r="532" spans="1:12" ht="44.25" customHeight="1" x14ac:dyDescent="0.25">
      <c r="A532" s="150" t="s">
        <v>61</v>
      </c>
      <c r="B532" s="39" t="s">
        <v>145</v>
      </c>
      <c r="C532" s="39" t="s">
        <v>146</v>
      </c>
      <c r="D532" s="39" t="s">
        <v>147</v>
      </c>
      <c r="E532" s="39" t="s">
        <v>148</v>
      </c>
      <c r="F532" s="39" t="s">
        <v>159</v>
      </c>
      <c r="G532" s="39" t="s">
        <v>150</v>
      </c>
      <c r="H532" s="39" t="s">
        <v>160</v>
      </c>
      <c r="I532" s="195" t="s">
        <v>152</v>
      </c>
      <c r="J532" s="39" t="s">
        <v>153</v>
      </c>
      <c r="K532" s="39" t="s">
        <v>154</v>
      </c>
      <c r="L532" s="39" t="s">
        <v>155</v>
      </c>
    </row>
    <row r="533" spans="1:12" ht="49.9" customHeight="1" x14ac:dyDescent="0.25">
      <c r="A533" s="618" t="s">
        <v>135</v>
      </c>
      <c r="B533" s="617" t="s">
        <v>357</v>
      </c>
      <c r="C533" s="617" t="s">
        <v>358</v>
      </c>
      <c r="D533" s="617" t="s">
        <v>359</v>
      </c>
      <c r="E533" s="617" t="s">
        <v>360</v>
      </c>
      <c r="F533" s="634">
        <v>0.45</v>
      </c>
      <c r="G533" s="152" t="s">
        <v>317</v>
      </c>
      <c r="H533" s="160">
        <f>+INVERSIÓN!$BF$10</f>
        <v>1</v>
      </c>
      <c r="I533" s="160">
        <v>0</v>
      </c>
      <c r="J533" s="160">
        <v>0</v>
      </c>
      <c r="K533" s="40" t="e">
        <f>J533/I533</f>
        <v>#DIV/0!</v>
      </c>
      <c r="L533" s="170" t="s">
        <v>527</v>
      </c>
    </row>
    <row r="534" spans="1:12" ht="49.9" customHeight="1" x14ac:dyDescent="0.25">
      <c r="A534" s="619"/>
      <c r="B534" s="617"/>
      <c r="C534" s="617"/>
      <c r="D534" s="617"/>
      <c r="E534" s="617"/>
      <c r="F534" s="634"/>
      <c r="G534" s="152" t="s">
        <v>327</v>
      </c>
      <c r="H534" s="166">
        <f>+INVERSIÓN!$BF$17</f>
        <v>6</v>
      </c>
      <c r="I534" s="166">
        <v>0</v>
      </c>
      <c r="J534" s="166">
        <v>0</v>
      </c>
      <c r="K534" s="40" t="e">
        <f t="shared" ref="K534:K539" si="18">J534/I534</f>
        <v>#DIV/0!</v>
      </c>
      <c r="L534" s="170" t="s">
        <v>528</v>
      </c>
    </row>
    <row r="535" spans="1:12" ht="49.9" customHeight="1" x14ac:dyDescent="0.25">
      <c r="A535" s="619"/>
      <c r="B535" s="617"/>
      <c r="C535" s="617"/>
      <c r="D535" s="617"/>
      <c r="E535" s="617"/>
      <c r="F535" s="634"/>
      <c r="G535" s="152" t="s">
        <v>328</v>
      </c>
      <c r="H535" s="166">
        <f>+INVERSIÓN!$BF$24</f>
        <v>2</v>
      </c>
      <c r="I535" s="166">
        <v>0</v>
      </c>
      <c r="J535" s="166">
        <v>0</v>
      </c>
      <c r="K535" s="40" t="e">
        <f t="shared" si="18"/>
        <v>#DIV/0!</v>
      </c>
      <c r="L535" s="170" t="s">
        <v>532</v>
      </c>
    </row>
    <row r="536" spans="1:12" ht="49.9" customHeight="1" x14ac:dyDescent="0.25">
      <c r="A536" s="619"/>
      <c r="B536" s="152" t="s">
        <v>364</v>
      </c>
      <c r="C536" s="152" t="s">
        <v>365</v>
      </c>
      <c r="D536" s="152" t="s">
        <v>366</v>
      </c>
      <c r="E536" s="152" t="s">
        <v>265</v>
      </c>
      <c r="F536" s="160">
        <v>0.15</v>
      </c>
      <c r="G536" s="152" t="s">
        <v>267</v>
      </c>
      <c r="H536" s="166">
        <f>+INVERSIÓN!$BF$31</f>
        <v>1272</v>
      </c>
      <c r="I536" s="166">
        <v>0</v>
      </c>
      <c r="J536" s="166">
        <v>0</v>
      </c>
      <c r="K536" s="40" t="e">
        <f t="shared" si="18"/>
        <v>#DIV/0!</v>
      </c>
      <c r="L536" s="170" t="s">
        <v>535</v>
      </c>
    </row>
    <row r="537" spans="1:12" ht="49.9" customHeight="1" x14ac:dyDescent="0.25">
      <c r="A537" s="619"/>
      <c r="B537" s="152" t="s">
        <v>368</v>
      </c>
      <c r="C537" s="152" t="s">
        <v>369</v>
      </c>
      <c r="D537" s="152" t="s">
        <v>370</v>
      </c>
      <c r="E537" s="152" t="s">
        <v>265</v>
      </c>
      <c r="F537" s="160">
        <v>0.15</v>
      </c>
      <c r="G537" s="152" t="s">
        <v>268</v>
      </c>
      <c r="H537" s="160">
        <f>+INVERSIÓN!$BF$38</f>
        <v>1</v>
      </c>
      <c r="I537" s="160">
        <v>0</v>
      </c>
      <c r="J537" s="160">
        <v>0</v>
      </c>
      <c r="K537" s="40" t="e">
        <f t="shared" si="18"/>
        <v>#DIV/0!</v>
      </c>
      <c r="L537" s="170" t="s">
        <v>524</v>
      </c>
    </row>
    <row r="538" spans="1:12" ht="49.9" customHeight="1" x14ac:dyDescent="0.25">
      <c r="A538" s="619"/>
      <c r="B538" s="617" t="s">
        <v>372</v>
      </c>
      <c r="C538" s="617" t="s">
        <v>373</v>
      </c>
      <c r="D538" s="617" t="s">
        <v>374</v>
      </c>
      <c r="E538" s="617" t="s">
        <v>360</v>
      </c>
      <c r="F538" s="634">
        <v>0.25</v>
      </c>
      <c r="G538" s="152" t="s">
        <v>263</v>
      </c>
      <c r="H538" s="166">
        <f>+INVERSIÓN!$BF$45</f>
        <v>1097</v>
      </c>
      <c r="I538" s="166">
        <v>0</v>
      </c>
      <c r="J538" s="166">
        <v>0</v>
      </c>
      <c r="K538" s="40" t="e">
        <f t="shared" si="18"/>
        <v>#DIV/0!</v>
      </c>
      <c r="L538" s="170" t="s">
        <v>532</v>
      </c>
    </row>
    <row r="539" spans="1:12" ht="49.9" customHeight="1" x14ac:dyDescent="0.25">
      <c r="A539" s="620"/>
      <c r="B539" s="617"/>
      <c r="C539" s="617"/>
      <c r="D539" s="617"/>
      <c r="E539" s="617"/>
      <c r="F539" s="634"/>
      <c r="G539" s="152" t="s">
        <v>323</v>
      </c>
      <c r="H539" s="160">
        <f>+INVERSIÓN!$BF$52</f>
        <v>1</v>
      </c>
      <c r="I539" s="160">
        <v>0</v>
      </c>
      <c r="J539" s="160">
        <v>0</v>
      </c>
      <c r="K539" s="40" t="e">
        <f t="shared" si="18"/>
        <v>#DIV/0!</v>
      </c>
      <c r="L539" s="170" t="s">
        <v>522</v>
      </c>
    </row>
    <row r="540" spans="1:12" ht="49.9" customHeight="1" x14ac:dyDescent="0.25">
      <c r="A540" s="618" t="s">
        <v>136</v>
      </c>
      <c r="B540" s="617" t="s">
        <v>357</v>
      </c>
      <c r="C540" s="617" t="s">
        <v>358</v>
      </c>
      <c r="D540" s="617" t="s">
        <v>359</v>
      </c>
      <c r="E540" s="617" t="s">
        <v>360</v>
      </c>
      <c r="F540" s="634">
        <v>0.45</v>
      </c>
      <c r="G540" s="152" t="s">
        <v>317</v>
      </c>
      <c r="H540" s="160">
        <f>+INVERSIÓN!$BF$10</f>
        <v>1</v>
      </c>
      <c r="I540" s="160">
        <v>0</v>
      </c>
      <c r="J540" s="160">
        <v>0</v>
      </c>
      <c r="K540" s="40" t="e">
        <f>J540/I540</f>
        <v>#DIV/0!</v>
      </c>
      <c r="L540" s="170" t="s">
        <v>556</v>
      </c>
    </row>
    <row r="541" spans="1:12" ht="49.9" customHeight="1" x14ac:dyDescent="0.25">
      <c r="A541" s="619"/>
      <c r="B541" s="617"/>
      <c r="C541" s="617"/>
      <c r="D541" s="617"/>
      <c r="E541" s="617"/>
      <c r="F541" s="634"/>
      <c r="G541" s="152" t="s">
        <v>327</v>
      </c>
      <c r="H541" s="166">
        <f>+INVERSIÓN!$BF$17</f>
        <v>6</v>
      </c>
      <c r="I541" s="166">
        <v>0</v>
      </c>
      <c r="J541" s="166">
        <v>0</v>
      </c>
      <c r="K541" s="40" t="e">
        <f t="shared" ref="K541:K546" si="19">J541/I541</f>
        <v>#DIV/0!</v>
      </c>
      <c r="L541" s="170" t="s">
        <v>551</v>
      </c>
    </row>
    <row r="542" spans="1:12" ht="49.9" customHeight="1" x14ac:dyDescent="0.25">
      <c r="A542" s="619"/>
      <c r="B542" s="617"/>
      <c r="C542" s="617"/>
      <c r="D542" s="617"/>
      <c r="E542" s="617"/>
      <c r="F542" s="634"/>
      <c r="G542" s="152" t="s">
        <v>328</v>
      </c>
      <c r="H542" s="166">
        <f>+INVERSIÓN!$BF$24</f>
        <v>2</v>
      </c>
      <c r="I542" s="166">
        <v>0</v>
      </c>
      <c r="J542" s="166">
        <v>0</v>
      </c>
      <c r="K542" s="40" t="e">
        <f t="shared" si="19"/>
        <v>#DIV/0!</v>
      </c>
      <c r="L542" s="170" t="s">
        <v>552</v>
      </c>
    </row>
    <row r="543" spans="1:12" ht="49.9" customHeight="1" x14ac:dyDescent="0.25">
      <c r="A543" s="619"/>
      <c r="B543" s="152" t="s">
        <v>364</v>
      </c>
      <c r="C543" s="152" t="s">
        <v>365</v>
      </c>
      <c r="D543" s="152" t="s">
        <v>366</v>
      </c>
      <c r="E543" s="152" t="s">
        <v>265</v>
      </c>
      <c r="F543" s="160">
        <v>0.15</v>
      </c>
      <c r="G543" s="152" t="s">
        <v>267</v>
      </c>
      <c r="H543" s="166">
        <f>+INVERSIÓN!$BF$31</f>
        <v>1272</v>
      </c>
      <c r="I543" s="166">
        <v>0</v>
      </c>
      <c r="J543" s="166">
        <v>0</v>
      </c>
      <c r="K543" s="40" t="e">
        <f t="shared" si="19"/>
        <v>#DIV/0!</v>
      </c>
      <c r="L543" s="170" t="s">
        <v>553</v>
      </c>
    </row>
    <row r="544" spans="1:12" ht="49.9" customHeight="1" x14ac:dyDescent="0.25">
      <c r="A544" s="619"/>
      <c r="B544" s="152" t="s">
        <v>368</v>
      </c>
      <c r="C544" s="152" t="s">
        <v>369</v>
      </c>
      <c r="D544" s="152" t="s">
        <v>370</v>
      </c>
      <c r="E544" s="152" t="s">
        <v>265</v>
      </c>
      <c r="F544" s="160">
        <v>0.15</v>
      </c>
      <c r="G544" s="152" t="s">
        <v>268</v>
      </c>
      <c r="H544" s="160">
        <f>+INVERSIÓN!$BF$38</f>
        <v>1</v>
      </c>
      <c r="I544" s="160">
        <v>0</v>
      </c>
      <c r="J544" s="160">
        <v>0</v>
      </c>
      <c r="K544" s="40" t="e">
        <f t="shared" si="19"/>
        <v>#DIV/0!</v>
      </c>
      <c r="L544" s="170" t="s">
        <v>554</v>
      </c>
    </row>
    <row r="545" spans="1:12" ht="49.9" customHeight="1" x14ac:dyDescent="0.25">
      <c r="A545" s="619"/>
      <c r="B545" s="617" t="s">
        <v>372</v>
      </c>
      <c r="C545" s="617" t="s">
        <v>373</v>
      </c>
      <c r="D545" s="617" t="s">
        <v>374</v>
      </c>
      <c r="E545" s="617" t="s">
        <v>360</v>
      </c>
      <c r="F545" s="634">
        <v>0.25</v>
      </c>
      <c r="G545" s="152" t="s">
        <v>263</v>
      </c>
      <c r="H545" s="166">
        <f>+INVERSIÓN!$BF$45</f>
        <v>1097</v>
      </c>
      <c r="I545" s="166">
        <v>0</v>
      </c>
      <c r="J545" s="166">
        <v>0</v>
      </c>
      <c r="K545" s="40" t="e">
        <f t="shared" si="19"/>
        <v>#DIV/0!</v>
      </c>
      <c r="L545" s="170" t="s">
        <v>550</v>
      </c>
    </row>
    <row r="546" spans="1:12" ht="49.9" customHeight="1" x14ac:dyDescent="0.25">
      <c r="A546" s="620"/>
      <c r="B546" s="617"/>
      <c r="C546" s="617"/>
      <c r="D546" s="617"/>
      <c r="E546" s="617"/>
      <c r="F546" s="634"/>
      <c r="G546" s="152" t="s">
        <v>323</v>
      </c>
      <c r="H546" s="160">
        <f>+INVERSIÓN!$BF$52</f>
        <v>1</v>
      </c>
      <c r="I546" s="160">
        <v>0</v>
      </c>
      <c r="J546" s="160">
        <v>0</v>
      </c>
      <c r="K546" s="40" t="e">
        <f t="shared" si="19"/>
        <v>#DIV/0!</v>
      </c>
      <c r="L546" s="170" t="s">
        <v>555</v>
      </c>
    </row>
    <row r="547" spans="1:12" ht="49.9" customHeight="1" x14ac:dyDescent="0.25">
      <c r="A547" s="618" t="s">
        <v>137</v>
      </c>
      <c r="B547" s="617" t="s">
        <v>357</v>
      </c>
      <c r="C547" s="617" t="s">
        <v>358</v>
      </c>
      <c r="D547" s="617" t="s">
        <v>359</v>
      </c>
      <c r="E547" s="617" t="s">
        <v>360</v>
      </c>
      <c r="F547" s="634">
        <v>0.45</v>
      </c>
      <c r="G547" s="152" t="s">
        <v>317</v>
      </c>
      <c r="H547" s="160">
        <f>+INVERSIÓN!$BF$10</f>
        <v>1</v>
      </c>
      <c r="I547" s="160">
        <v>0</v>
      </c>
      <c r="J547" s="160">
        <v>0</v>
      </c>
      <c r="K547" s="40" t="e">
        <f>J547/I547</f>
        <v>#DIV/0!</v>
      </c>
      <c r="L547" s="170" t="s">
        <v>560</v>
      </c>
    </row>
    <row r="548" spans="1:12" ht="49.9" customHeight="1" x14ac:dyDescent="0.25">
      <c r="A548" s="619"/>
      <c r="B548" s="617"/>
      <c r="C548" s="617"/>
      <c r="D548" s="617"/>
      <c r="E548" s="617"/>
      <c r="F548" s="634"/>
      <c r="G548" s="152" t="s">
        <v>327</v>
      </c>
      <c r="H548" s="166">
        <f>+INVERSIÓN!$BF$17</f>
        <v>6</v>
      </c>
      <c r="I548" s="166">
        <v>0</v>
      </c>
      <c r="J548" s="166">
        <v>0</v>
      </c>
      <c r="K548" s="40" t="e">
        <f t="shared" ref="K548:K553" si="20">J548/I548</f>
        <v>#DIV/0!</v>
      </c>
      <c r="L548" s="170" t="s">
        <v>561</v>
      </c>
    </row>
    <row r="549" spans="1:12" ht="49.9" customHeight="1" x14ac:dyDescent="0.25">
      <c r="A549" s="619"/>
      <c r="B549" s="617"/>
      <c r="C549" s="617"/>
      <c r="D549" s="617"/>
      <c r="E549" s="617"/>
      <c r="F549" s="634"/>
      <c r="G549" s="152" t="s">
        <v>328</v>
      </c>
      <c r="H549" s="166">
        <f>+INVERSIÓN!$BF$24</f>
        <v>2</v>
      </c>
      <c r="I549" s="166">
        <v>0</v>
      </c>
      <c r="J549" s="166">
        <v>0</v>
      </c>
      <c r="K549" s="40" t="e">
        <f t="shared" si="20"/>
        <v>#DIV/0!</v>
      </c>
      <c r="L549" s="170" t="s">
        <v>562</v>
      </c>
    </row>
    <row r="550" spans="1:12" ht="49.9" customHeight="1" x14ac:dyDescent="0.25">
      <c r="A550" s="619"/>
      <c r="B550" s="152" t="s">
        <v>364</v>
      </c>
      <c r="C550" s="152" t="s">
        <v>365</v>
      </c>
      <c r="D550" s="152" t="s">
        <v>366</v>
      </c>
      <c r="E550" s="152" t="s">
        <v>265</v>
      </c>
      <c r="F550" s="160">
        <v>0.15</v>
      </c>
      <c r="G550" s="152" t="s">
        <v>267</v>
      </c>
      <c r="H550" s="166">
        <f>+INVERSIÓN!$BF$31</f>
        <v>1272</v>
      </c>
      <c r="I550" s="166">
        <v>0</v>
      </c>
      <c r="J550" s="166">
        <v>0</v>
      </c>
      <c r="K550" s="40" t="e">
        <f t="shared" si="20"/>
        <v>#DIV/0!</v>
      </c>
      <c r="L550" s="170" t="s">
        <v>564</v>
      </c>
    </row>
    <row r="551" spans="1:12" ht="49.9" customHeight="1" x14ac:dyDescent="0.25">
      <c r="A551" s="619"/>
      <c r="B551" s="152" t="s">
        <v>368</v>
      </c>
      <c r="C551" s="152" t="s">
        <v>369</v>
      </c>
      <c r="D551" s="152" t="s">
        <v>370</v>
      </c>
      <c r="E551" s="152" t="s">
        <v>265</v>
      </c>
      <c r="F551" s="160">
        <v>0.15</v>
      </c>
      <c r="G551" s="152" t="s">
        <v>268</v>
      </c>
      <c r="H551" s="160">
        <f>+INVERSIÓN!$BF$38</f>
        <v>1</v>
      </c>
      <c r="I551" s="160">
        <v>0</v>
      </c>
      <c r="J551" s="160">
        <v>0</v>
      </c>
      <c r="K551" s="40" t="e">
        <f t="shared" si="20"/>
        <v>#DIV/0!</v>
      </c>
      <c r="L551" s="170" t="s">
        <v>563</v>
      </c>
    </row>
    <row r="552" spans="1:12" ht="49.9" customHeight="1" x14ac:dyDescent="0.25">
      <c r="A552" s="619"/>
      <c r="B552" s="617" t="s">
        <v>372</v>
      </c>
      <c r="C552" s="617" t="s">
        <v>373</v>
      </c>
      <c r="D552" s="617" t="s">
        <v>374</v>
      </c>
      <c r="E552" s="617" t="s">
        <v>360</v>
      </c>
      <c r="F552" s="634">
        <v>0.25</v>
      </c>
      <c r="G552" s="152" t="s">
        <v>263</v>
      </c>
      <c r="H552" s="166">
        <f>+INVERSIÓN!$BF$45</f>
        <v>1097</v>
      </c>
      <c r="I552" s="166">
        <v>0</v>
      </c>
      <c r="J552" s="166">
        <v>0</v>
      </c>
      <c r="K552" s="40" t="e">
        <f t="shared" si="20"/>
        <v>#DIV/0!</v>
      </c>
      <c r="L552" s="170" t="s">
        <v>565</v>
      </c>
    </row>
    <row r="553" spans="1:12" ht="49.9" customHeight="1" x14ac:dyDescent="0.25">
      <c r="A553" s="619"/>
      <c r="B553" s="617"/>
      <c r="C553" s="617"/>
      <c r="D553" s="617"/>
      <c r="E553" s="617"/>
      <c r="F553" s="634"/>
      <c r="G553" s="152" t="s">
        <v>323</v>
      </c>
      <c r="H553" s="160">
        <f>+INVERSIÓN!$BF$52</f>
        <v>1</v>
      </c>
      <c r="I553" s="160">
        <v>0</v>
      </c>
      <c r="J553" s="160">
        <v>0</v>
      </c>
      <c r="K553" s="40" t="e">
        <f t="shared" si="20"/>
        <v>#DIV/0!</v>
      </c>
      <c r="L553" s="170" t="s">
        <v>566</v>
      </c>
    </row>
    <row r="554" spans="1:12" ht="49.9" customHeight="1" x14ac:dyDescent="0.25">
      <c r="A554" s="618" t="s">
        <v>138</v>
      </c>
      <c r="B554" s="617" t="s">
        <v>357</v>
      </c>
      <c r="C554" s="617" t="s">
        <v>358</v>
      </c>
      <c r="D554" s="617" t="s">
        <v>359</v>
      </c>
      <c r="E554" s="617" t="s">
        <v>360</v>
      </c>
      <c r="F554" s="634">
        <v>0.45</v>
      </c>
      <c r="G554" s="152" t="s">
        <v>317</v>
      </c>
      <c r="H554" s="160">
        <f>+INVERSIÓN!$BF$10</f>
        <v>1</v>
      </c>
      <c r="I554" s="160">
        <v>0</v>
      </c>
      <c r="J554" s="160">
        <v>0</v>
      </c>
      <c r="K554" s="40" t="e">
        <f t="shared" ref="K554:K560" si="21">J554/I554</f>
        <v>#DIV/0!</v>
      </c>
      <c r="L554" s="170">
        <v>0</v>
      </c>
    </row>
    <row r="555" spans="1:12" ht="49.9" customHeight="1" x14ac:dyDescent="0.25">
      <c r="A555" s="619"/>
      <c r="B555" s="617"/>
      <c r="C555" s="617"/>
      <c r="D555" s="617"/>
      <c r="E555" s="617"/>
      <c r="F555" s="634"/>
      <c r="G555" s="152" t="s">
        <v>327</v>
      </c>
      <c r="H555" s="166">
        <f>+INVERSIÓN!$BF$17</f>
        <v>6</v>
      </c>
      <c r="I555" s="166">
        <v>0</v>
      </c>
      <c r="J555" s="166">
        <v>0</v>
      </c>
      <c r="K555" s="40" t="e">
        <f t="shared" si="21"/>
        <v>#DIV/0!</v>
      </c>
      <c r="L555" s="170" t="s">
        <v>570</v>
      </c>
    </row>
    <row r="556" spans="1:12" ht="49.9" customHeight="1" x14ac:dyDescent="0.25">
      <c r="A556" s="619"/>
      <c r="B556" s="617"/>
      <c r="C556" s="617"/>
      <c r="D556" s="617"/>
      <c r="E556" s="617"/>
      <c r="F556" s="634"/>
      <c r="G556" s="152" t="s">
        <v>328</v>
      </c>
      <c r="H556" s="166">
        <f>+INVERSIÓN!$BF$24</f>
        <v>2</v>
      </c>
      <c r="I556" s="166">
        <v>0</v>
      </c>
      <c r="J556" s="166">
        <v>0</v>
      </c>
      <c r="K556" s="40" t="e">
        <f t="shared" si="21"/>
        <v>#DIV/0!</v>
      </c>
      <c r="L556" s="170" t="s">
        <v>572</v>
      </c>
    </row>
    <row r="557" spans="1:12" ht="49.9" customHeight="1" x14ac:dyDescent="0.25">
      <c r="A557" s="619"/>
      <c r="B557" s="152" t="s">
        <v>364</v>
      </c>
      <c r="C557" s="152" t="s">
        <v>365</v>
      </c>
      <c r="D557" s="152" t="s">
        <v>366</v>
      </c>
      <c r="E557" s="152" t="s">
        <v>265</v>
      </c>
      <c r="F557" s="160">
        <v>0.15</v>
      </c>
      <c r="G557" s="152" t="s">
        <v>267</v>
      </c>
      <c r="H557" s="166">
        <f>+INVERSIÓN!$BF$31</f>
        <v>1272</v>
      </c>
      <c r="I557" s="166">
        <v>0</v>
      </c>
      <c r="J557" s="166">
        <v>0</v>
      </c>
      <c r="K557" s="40" t="e">
        <f t="shared" si="21"/>
        <v>#DIV/0!</v>
      </c>
      <c r="L557" s="170" t="s">
        <v>571</v>
      </c>
    </row>
    <row r="558" spans="1:12" ht="49.9" customHeight="1" x14ac:dyDescent="0.25">
      <c r="A558" s="619"/>
      <c r="B558" s="152" t="s">
        <v>368</v>
      </c>
      <c r="C558" s="152" t="s">
        <v>369</v>
      </c>
      <c r="D558" s="152" t="s">
        <v>370</v>
      </c>
      <c r="E558" s="152" t="s">
        <v>265</v>
      </c>
      <c r="F558" s="160">
        <v>0.15</v>
      </c>
      <c r="G558" s="152" t="s">
        <v>268</v>
      </c>
      <c r="H558" s="160">
        <f>+INVERSIÓN!$BF$38</f>
        <v>1</v>
      </c>
      <c r="I558" s="160">
        <v>0</v>
      </c>
      <c r="J558" s="160">
        <v>0</v>
      </c>
      <c r="K558" s="40" t="e">
        <f t="shared" si="21"/>
        <v>#DIV/0!</v>
      </c>
      <c r="L558" s="170" t="s">
        <v>569</v>
      </c>
    </row>
    <row r="559" spans="1:12" ht="49.9" customHeight="1" x14ac:dyDescent="0.25">
      <c r="A559" s="619"/>
      <c r="B559" s="617" t="s">
        <v>372</v>
      </c>
      <c r="C559" s="617" t="s">
        <v>373</v>
      </c>
      <c r="D559" s="617" t="s">
        <v>374</v>
      </c>
      <c r="E559" s="617" t="s">
        <v>360</v>
      </c>
      <c r="F559" s="634">
        <v>0.25</v>
      </c>
      <c r="G559" s="152" t="s">
        <v>263</v>
      </c>
      <c r="H559" s="166">
        <f>+INVERSIÓN!$BF$45</f>
        <v>1097</v>
      </c>
      <c r="I559" s="166">
        <v>0</v>
      </c>
      <c r="J559" s="166">
        <v>0</v>
      </c>
      <c r="K559" s="40" t="e">
        <f t="shared" si="21"/>
        <v>#DIV/0!</v>
      </c>
      <c r="L559" s="170" t="s">
        <v>573</v>
      </c>
    </row>
    <row r="560" spans="1:12" ht="49.9" customHeight="1" x14ac:dyDescent="0.25">
      <c r="A560" s="620"/>
      <c r="B560" s="617"/>
      <c r="C560" s="617"/>
      <c r="D560" s="617"/>
      <c r="E560" s="617"/>
      <c r="F560" s="634"/>
      <c r="G560" s="152" t="s">
        <v>323</v>
      </c>
      <c r="H560" s="160">
        <f>+INVERSIÓN!$BF$52</f>
        <v>1</v>
      </c>
      <c r="I560" s="160">
        <v>0</v>
      </c>
      <c r="J560" s="160">
        <v>0</v>
      </c>
      <c r="K560" s="40" t="e">
        <f t="shared" si="21"/>
        <v>#DIV/0!</v>
      </c>
      <c r="L560" s="170" t="s">
        <v>567</v>
      </c>
    </row>
    <row r="561" spans="1:12" ht="49.9" customHeight="1" x14ac:dyDescent="0.25">
      <c r="A561" s="618" t="s">
        <v>139</v>
      </c>
      <c r="B561" s="617" t="s">
        <v>357</v>
      </c>
      <c r="C561" s="617" t="s">
        <v>358</v>
      </c>
      <c r="D561" s="617" t="s">
        <v>359</v>
      </c>
      <c r="E561" s="617" t="s">
        <v>360</v>
      </c>
      <c r="F561" s="634">
        <v>0.45</v>
      </c>
      <c r="G561" s="152" t="s">
        <v>317</v>
      </c>
      <c r="H561" s="160">
        <f>+INVERSIÓN!$BF$10</f>
        <v>1</v>
      </c>
      <c r="I561" s="160">
        <v>0</v>
      </c>
      <c r="J561" s="160">
        <v>0</v>
      </c>
      <c r="K561" s="40" t="e">
        <f t="shared" ref="K561:K567" si="22">J561/I561</f>
        <v>#DIV/0!</v>
      </c>
      <c r="L561" s="170" t="s">
        <v>578</v>
      </c>
    </row>
    <row r="562" spans="1:12" ht="49.9" customHeight="1" x14ac:dyDescent="0.25">
      <c r="A562" s="619"/>
      <c r="B562" s="617"/>
      <c r="C562" s="617"/>
      <c r="D562" s="617"/>
      <c r="E562" s="617"/>
      <c r="F562" s="634"/>
      <c r="G562" s="152" t="s">
        <v>327</v>
      </c>
      <c r="H562" s="166">
        <f>+INVERSIÓN!$BF$17</f>
        <v>6</v>
      </c>
      <c r="I562" s="166">
        <v>0</v>
      </c>
      <c r="J562" s="166">
        <v>0</v>
      </c>
      <c r="K562" s="40" t="e">
        <f t="shared" si="22"/>
        <v>#DIV/0!</v>
      </c>
      <c r="L562" s="170" t="s">
        <v>577</v>
      </c>
    </row>
    <row r="563" spans="1:12" ht="49.9" customHeight="1" x14ac:dyDescent="0.25">
      <c r="A563" s="619"/>
      <c r="B563" s="617"/>
      <c r="C563" s="617"/>
      <c r="D563" s="617"/>
      <c r="E563" s="617"/>
      <c r="F563" s="634"/>
      <c r="G563" s="152" t="s">
        <v>328</v>
      </c>
      <c r="H563" s="166">
        <f>+INVERSIÓN!$BF$24</f>
        <v>2</v>
      </c>
      <c r="I563" s="166">
        <v>0</v>
      </c>
      <c r="J563" s="166">
        <v>0</v>
      </c>
      <c r="K563" s="40" t="e">
        <f t="shared" si="22"/>
        <v>#DIV/0!</v>
      </c>
      <c r="L563" s="170" t="s">
        <v>579</v>
      </c>
    </row>
    <row r="564" spans="1:12" ht="49.9" customHeight="1" x14ac:dyDescent="0.25">
      <c r="A564" s="619"/>
      <c r="B564" s="152" t="s">
        <v>364</v>
      </c>
      <c r="C564" s="152" t="s">
        <v>365</v>
      </c>
      <c r="D564" s="152" t="s">
        <v>366</v>
      </c>
      <c r="E564" s="152" t="s">
        <v>265</v>
      </c>
      <c r="F564" s="160">
        <v>0.15</v>
      </c>
      <c r="G564" s="152" t="s">
        <v>267</v>
      </c>
      <c r="H564" s="166">
        <f>+INVERSIÓN!$BF$31</f>
        <v>1272</v>
      </c>
      <c r="I564" s="166">
        <v>0</v>
      </c>
      <c r="J564" s="166">
        <v>0</v>
      </c>
      <c r="K564" s="40" t="e">
        <f t="shared" si="22"/>
        <v>#DIV/0!</v>
      </c>
      <c r="L564" s="170" t="s">
        <v>575</v>
      </c>
    </row>
    <row r="565" spans="1:12" ht="49.9" customHeight="1" x14ac:dyDescent="0.25">
      <c r="A565" s="619"/>
      <c r="B565" s="152" t="s">
        <v>368</v>
      </c>
      <c r="C565" s="152" t="s">
        <v>369</v>
      </c>
      <c r="D565" s="152" t="s">
        <v>370</v>
      </c>
      <c r="E565" s="152" t="s">
        <v>265</v>
      </c>
      <c r="F565" s="160">
        <v>0.15</v>
      </c>
      <c r="G565" s="152" t="s">
        <v>268</v>
      </c>
      <c r="H565" s="160">
        <f>+INVERSIÓN!$BF$38</f>
        <v>1</v>
      </c>
      <c r="I565" s="160">
        <v>0</v>
      </c>
      <c r="J565" s="160">
        <v>0</v>
      </c>
      <c r="K565" s="40" t="e">
        <f t="shared" si="22"/>
        <v>#DIV/0!</v>
      </c>
      <c r="L565" s="170" t="s">
        <v>576</v>
      </c>
    </row>
    <row r="566" spans="1:12" ht="49.9" customHeight="1" x14ac:dyDescent="0.25">
      <c r="A566" s="619"/>
      <c r="B566" s="617" t="s">
        <v>372</v>
      </c>
      <c r="C566" s="617" t="s">
        <v>373</v>
      </c>
      <c r="D566" s="617" t="s">
        <v>374</v>
      </c>
      <c r="E566" s="617" t="s">
        <v>360</v>
      </c>
      <c r="F566" s="634">
        <v>0.25</v>
      </c>
      <c r="G566" s="152" t="s">
        <v>263</v>
      </c>
      <c r="H566" s="166">
        <f>+INVERSIÓN!$BF$45</f>
        <v>1097</v>
      </c>
      <c r="I566" s="166">
        <v>0</v>
      </c>
      <c r="J566" s="166">
        <v>0</v>
      </c>
      <c r="K566" s="40" t="e">
        <f t="shared" si="22"/>
        <v>#DIV/0!</v>
      </c>
      <c r="L566" s="170" t="s">
        <v>574</v>
      </c>
    </row>
    <row r="567" spans="1:12" ht="49.9" customHeight="1" x14ac:dyDescent="0.25">
      <c r="A567" s="620"/>
      <c r="B567" s="617"/>
      <c r="C567" s="617"/>
      <c r="D567" s="617"/>
      <c r="E567" s="617"/>
      <c r="F567" s="634"/>
      <c r="G567" s="152" t="s">
        <v>323</v>
      </c>
      <c r="H567" s="160">
        <f>+INVERSIÓN!$BF$52</f>
        <v>1</v>
      </c>
      <c r="I567" s="160">
        <v>0</v>
      </c>
      <c r="J567" s="160">
        <v>0</v>
      </c>
      <c r="K567" s="40" t="e">
        <f t="shared" si="22"/>
        <v>#DIV/0!</v>
      </c>
      <c r="L567" s="170" t="s">
        <v>580</v>
      </c>
    </row>
    <row r="568" spans="1:12" ht="49.9" customHeight="1" x14ac:dyDescent="0.25">
      <c r="A568" s="618" t="s">
        <v>140</v>
      </c>
      <c r="B568" s="617" t="s">
        <v>357</v>
      </c>
      <c r="C568" s="617" t="s">
        <v>358</v>
      </c>
      <c r="D568" s="617" t="s">
        <v>359</v>
      </c>
      <c r="E568" s="617" t="s">
        <v>360</v>
      </c>
      <c r="F568" s="634">
        <v>0.45</v>
      </c>
      <c r="G568" s="152" t="s">
        <v>317</v>
      </c>
      <c r="H568" s="160">
        <f>+INVERSIÓN!$CE$10</f>
        <v>1</v>
      </c>
      <c r="I568" s="160">
        <v>0</v>
      </c>
      <c r="J568" s="160">
        <v>0</v>
      </c>
      <c r="K568" s="40" t="e">
        <f t="shared" ref="K568:K574" si="23">J568/I568</f>
        <v>#DIV/0!</v>
      </c>
      <c r="L568" s="170" t="s">
        <v>588</v>
      </c>
    </row>
    <row r="569" spans="1:12" ht="49.9" customHeight="1" x14ac:dyDescent="0.25">
      <c r="A569" s="619"/>
      <c r="B569" s="617"/>
      <c r="C569" s="617"/>
      <c r="D569" s="617"/>
      <c r="E569" s="617"/>
      <c r="F569" s="634"/>
      <c r="G569" s="152" t="s">
        <v>327</v>
      </c>
      <c r="H569" s="166">
        <f>+INVERSIÓN!$CE$17</f>
        <v>7</v>
      </c>
      <c r="I569" s="166">
        <v>0</v>
      </c>
      <c r="J569" s="166">
        <v>0</v>
      </c>
      <c r="K569" s="40" t="e">
        <f t="shared" si="23"/>
        <v>#DIV/0!</v>
      </c>
      <c r="L569" s="170" t="s">
        <v>584</v>
      </c>
    </row>
    <row r="570" spans="1:12" ht="49.9" customHeight="1" x14ac:dyDescent="0.25">
      <c r="A570" s="619"/>
      <c r="B570" s="617"/>
      <c r="C570" s="617"/>
      <c r="D570" s="617"/>
      <c r="E570" s="617"/>
      <c r="F570" s="634"/>
      <c r="G570" s="152" t="s">
        <v>328</v>
      </c>
      <c r="H570" s="166">
        <f>+INVERSIÓN!$CE$24</f>
        <v>1.9999999999999996</v>
      </c>
      <c r="I570" s="166">
        <v>0</v>
      </c>
      <c r="J570" s="166">
        <v>0</v>
      </c>
      <c r="K570" s="40" t="e">
        <f t="shared" si="23"/>
        <v>#DIV/0!</v>
      </c>
      <c r="L570" s="170" t="s">
        <v>587</v>
      </c>
    </row>
    <row r="571" spans="1:12" ht="49.9" customHeight="1" x14ac:dyDescent="0.25">
      <c r="A571" s="619"/>
      <c r="B571" s="152" t="s">
        <v>364</v>
      </c>
      <c r="C571" s="152" t="s">
        <v>365</v>
      </c>
      <c r="D571" s="152" t="s">
        <v>366</v>
      </c>
      <c r="E571" s="152" t="s">
        <v>265</v>
      </c>
      <c r="F571" s="160">
        <v>0.15</v>
      </c>
      <c r="G571" s="152" t="s">
        <v>267</v>
      </c>
      <c r="H571" s="166">
        <f>+INVERSIÓN!$CE$31</f>
        <v>1418</v>
      </c>
      <c r="I571" s="166">
        <v>0</v>
      </c>
      <c r="J571" s="166">
        <v>0</v>
      </c>
      <c r="K571" s="40" t="e">
        <f t="shared" si="23"/>
        <v>#DIV/0!</v>
      </c>
      <c r="L571" s="170" t="s">
        <v>583</v>
      </c>
    </row>
    <row r="572" spans="1:12" ht="49.9" customHeight="1" x14ac:dyDescent="0.25">
      <c r="A572" s="619"/>
      <c r="B572" s="152" t="s">
        <v>368</v>
      </c>
      <c r="C572" s="152" t="s">
        <v>369</v>
      </c>
      <c r="D572" s="152" t="s">
        <v>370</v>
      </c>
      <c r="E572" s="152" t="s">
        <v>265</v>
      </c>
      <c r="F572" s="160">
        <v>0.15</v>
      </c>
      <c r="G572" s="152" t="s">
        <v>268</v>
      </c>
      <c r="H572" s="160">
        <f>+INVERSIÓN!$CE$38</f>
        <v>1</v>
      </c>
      <c r="I572" s="160">
        <v>0</v>
      </c>
      <c r="J572" s="160">
        <v>0</v>
      </c>
      <c r="K572" s="40" t="e">
        <f t="shared" si="23"/>
        <v>#DIV/0!</v>
      </c>
      <c r="L572" s="170" t="s">
        <v>586</v>
      </c>
    </row>
    <row r="573" spans="1:12" ht="49.9" customHeight="1" x14ac:dyDescent="0.25">
      <c r="A573" s="619"/>
      <c r="B573" s="617" t="s">
        <v>372</v>
      </c>
      <c r="C573" s="617" t="s">
        <v>373</v>
      </c>
      <c r="D573" s="617" t="s">
        <v>374</v>
      </c>
      <c r="E573" s="617" t="s">
        <v>360</v>
      </c>
      <c r="F573" s="634">
        <v>0.25</v>
      </c>
      <c r="G573" s="152" t="s">
        <v>263</v>
      </c>
      <c r="H573" s="166">
        <f>+INVERSIÓN!$CE$45</f>
        <v>1183</v>
      </c>
      <c r="I573" s="166">
        <v>0</v>
      </c>
      <c r="J573" s="166">
        <v>0</v>
      </c>
      <c r="K573" s="40" t="e">
        <f t="shared" si="23"/>
        <v>#DIV/0!</v>
      </c>
      <c r="L573" s="170" t="s">
        <v>585</v>
      </c>
    </row>
    <row r="574" spans="1:12" ht="49.9" customHeight="1" x14ac:dyDescent="0.25">
      <c r="A574" s="620"/>
      <c r="B574" s="617"/>
      <c r="C574" s="617"/>
      <c r="D574" s="617"/>
      <c r="E574" s="617"/>
      <c r="F574" s="634"/>
      <c r="G574" s="152" t="s">
        <v>323</v>
      </c>
      <c r="H574" s="160">
        <f>+INVERSIÓN!$CE$52</f>
        <v>1</v>
      </c>
      <c r="I574" s="160">
        <v>0</v>
      </c>
      <c r="J574" s="160">
        <v>0</v>
      </c>
      <c r="K574" s="40" t="e">
        <f t="shared" si="23"/>
        <v>#DIV/0!</v>
      </c>
      <c r="L574" s="170" t="s">
        <v>582</v>
      </c>
    </row>
    <row r="575" spans="1:12" ht="49.9" customHeight="1" x14ac:dyDescent="0.25">
      <c r="A575" s="618" t="s">
        <v>128</v>
      </c>
      <c r="B575" s="617" t="s">
        <v>357</v>
      </c>
      <c r="C575" s="617" t="s">
        <v>358</v>
      </c>
      <c r="D575" s="617" t="s">
        <v>359</v>
      </c>
      <c r="E575" s="617" t="s">
        <v>360</v>
      </c>
      <c r="F575" s="634">
        <v>0.45</v>
      </c>
      <c r="G575" s="152" t="s">
        <v>317</v>
      </c>
      <c r="H575" s="160">
        <f>+INVERSIÓN!$CE$10</f>
        <v>1</v>
      </c>
      <c r="I575" s="160">
        <v>0</v>
      </c>
      <c r="J575" s="160">
        <v>0</v>
      </c>
      <c r="K575" s="40" t="e">
        <f t="shared" ref="K575:K581" si="24">J575/I575</f>
        <v>#DIV/0!</v>
      </c>
      <c r="L575" s="170" t="s">
        <v>592</v>
      </c>
    </row>
    <row r="576" spans="1:12" ht="49.9" customHeight="1" x14ac:dyDescent="0.25">
      <c r="A576" s="619"/>
      <c r="B576" s="617"/>
      <c r="C576" s="617"/>
      <c r="D576" s="617"/>
      <c r="E576" s="617"/>
      <c r="F576" s="634"/>
      <c r="G576" s="152" t="s">
        <v>327</v>
      </c>
      <c r="H576" s="166">
        <f>+INVERSIÓN!$CE$17</f>
        <v>7</v>
      </c>
      <c r="I576" s="166">
        <v>0</v>
      </c>
      <c r="J576" s="166">
        <v>0</v>
      </c>
      <c r="K576" s="40" t="e">
        <f t="shared" si="24"/>
        <v>#DIV/0!</v>
      </c>
      <c r="L576" s="170" t="s">
        <v>593</v>
      </c>
    </row>
    <row r="577" spans="1:12" ht="49.9" customHeight="1" x14ac:dyDescent="0.25">
      <c r="A577" s="619"/>
      <c r="B577" s="617"/>
      <c r="C577" s="617"/>
      <c r="D577" s="617"/>
      <c r="E577" s="617"/>
      <c r="F577" s="634"/>
      <c r="G577" s="152" t="s">
        <v>328</v>
      </c>
      <c r="H577" s="166">
        <f>+INVERSIÓN!$CE$24</f>
        <v>1.9999999999999996</v>
      </c>
      <c r="I577" s="166">
        <v>0</v>
      </c>
      <c r="J577" s="166">
        <v>0</v>
      </c>
      <c r="K577" s="40" t="e">
        <f t="shared" si="24"/>
        <v>#DIV/0!</v>
      </c>
      <c r="L577" s="170" t="s">
        <v>594</v>
      </c>
    </row>
    <row r="578" spans="1:12" ht="49.9" customHeight="1" x14ac:dyDescent="0.25">
      <c r="A578" s="619"/>
      <c r="B578" s="152" t="s">
        <v>364</v>
      </c>
      <c r="C578" s="152" t="s">
        <v>365</v>
      </c>
      <c r="D578" s="152" t="s">
        <v>366</v>
      </c>
      <c r="E578" s="152" t="s">
        <v>265</v>
      </c>
      <c r="F578" s="160">
        <v>0.15</v>
      </c>
      <c r="G578" s="152" t="s">
        <v>267</v>
      </c>
      <c r="H578" s="166">
        <f>+INVERSIÓN!$CE$31</f>
        <v>1418</v>
      </c>
      <c r="I578" s="166">
        <v>0</v>
      </c>
      <c r="J578" s="166">
        <v>0</v>
      </c>
      <c r="K578" s="40" t="e">
        <f t="shared" si="24"/>
        <v>#DIV/0!</v>
      </c>
      <c r="L578" s="170" t="s">
        <v>590</v>
      </c>
    </row>
    <row r="579" spans="1:12" ht="49.9" customHeight="1" x14ac:dyDescent="0.25">
      <c r="A579" s="619"/>
      <c r="B579" s="152" t="s">
        <v>368</v>
      </c>
      <c r="C579" s="152" t="s">
        <v>369</v>
      </c>
      <c r="D579" s="152" t="s">
        <v>370</v>
      </c>
      <c r="E579" s="152" t="s">
        <v>265</v>
      </c>
      <c r="F579" s="160">
        <v>0.15</v>
      </c>
      <c r="G579" s="152" t="s">
        <v>268</v>
      </c>
      <c r="H579" s="160">
        <f>+INVERSIÓN!$CE$38</f>
        <v>1</v>
      </c>
      <c r="I579" s="160">
        <v>0</v>
      </c>
      <c r="J579" s="160">
        <v>0</v>
      </c>
      <c r="K579" s="40" t="e">
        <f t="shared" si="24"/>
        <v>#DIV/0!</v>
      </c>
      <c r="L579" s="170" t="s">
        <v>591</v>
      </c>
    </row>
    <row r="580" spans="1:12" ht="49.9" customHeight="1" x14ac:dyDescent="0.25">
      <c r="A580" s="619"/>
      <c r="B580" s="617" t="s">
        <v>372</v>
      </c>
      <c r="C580" s="617" t="s">
        <v>373</v>
      </c>
      <c r="D580" s="617" t="s">
        <v>374</v>
      </c>
      <c r="E580" s="617" t="s">
        <v>360</v>
      </c>
      <c r="F580" s="634">
        <v>0.25</v>
      </c>
      <c r="G580" s="152" t="s">
        <v>263</v>
      </c>
      <c r="H580" s="166">
        <f>+INVERSIÓN!$CE$45</f>
        <v>1183</v>
      </c>
      <c r="I580" s="166">
        <v>0</v>
      </c>
      <c r="J580" s="166">
        <v>0</v>
      </c>
      <c r="K580" s="40" t="e">
        <f t="shared" si="24"/>
        <v>#DIV/0!</v>
      </c>
      <c r="L580" s="170" t="s">
        <v>589</v>
      </c>
    </row>
    <row r="581" spans="1:12" ht="49.9" customHeight="1" x14ac:dyDescent="0.25">
      <c r="A581" s="620"/>
      <c r="B581" s="617"/>
      <c r="C581" s="617"/>
      <c r="D581" s="617"/>
      <c r="E581" s="617"/>
      <c r="F581" s="634"/>
      <c r="G581" s="152" t="s">
        <v>323</v>
      </c>
      <c r="H581" s="160">
        <f>+INVERSIÓN!$CE$52</f>
        <v>1</v>
      </c>
      <c r="I581" s="160">
        <v>0</v>
      </c>
      <c r="J581" s="160">
        <v>0</v>
      </c>
      <c r="K581" s="40" t="e">
        <f t="shared" si="24"/>
        <v>#DIV/0!</v>
      </c>
      <c r="L581" s="170" t="s">
        <v>595</v>
      </c>
    </row>
    <row r="582" spans="1:12" ht="49.9" customHeight="1" x14ac:dyDescent="0.25">
      <c r="A582" s="618" t="s">
        <v>129</v>
      </c>
      <c r="B582" s="617" t="s">
        <v>357</v>
      </c>
      <c r="C582" s="617" t="s">
        <v>358</v>
      </c>
      <c r="D582" s="617" t="s">
        <v>359</v>
      </c>
      <c r="E582" s="617" t="s">
        <v>360</v>
      </c>
      <c r="F582" s="634">
        <v>0.45</v>
      </c>
      <c r="G582" s="152" t="s">
        <v>317</v>
      </c>
      <c r="H582" s="160">
        <f>+INVERSIÓN!$CE$10</f>
        <v>1</v>
      </c>
      <c r="I582" s="160">
        <v>0</v>
      </c>
      <c r="J582" s="160">
        <v>0</v>
      </c>
      <c r="K582" s="40" t="e">
        <f t="shared" ref="K582:K588" si="25">J582/I582</f>
        <v>#DIV/0!</v>
      </c>
      <c r="L582" s="222" t="s">
        <v>602</v>
      </c>
    </row>
    <row r="583" spans="1:12" ht="49.9" customHeight="1" x14ac:dyDescent="0.25">
      <c r="A583" s="619"/>
      <c r="B583" s="617"/>
      <c r="C583" s="617"/>
      <c r="D583" s="617"/>
      <c r="E583" s="617"/>
      <c r="F583" s="634"/>
      <c r="G583" s="152" t="s">
        <v>327</v>
      </c>
      <c r="H583" s="166">
        <f>+INVERSIÓN!$CE$17</f>
        <v>7</v>
      </c>
      <c r="I583" s="166">
        <v>0</v>
      </c>
      <c r="J583" s="166">
        <v>0</v>
      </c>
      <c r="K583" s="40" t="e">
        <f t="shared" si="25"/>
        <v>#DIV/0!</v>
      </c>
      <c r="L583" s="222" t="s">
        <v>598</v>
      </c>
    </row>
    <row r="584" spans="1:12" ht="49.9" customHeight="1" x14ac:dyDescent="0.25">
      <c r="A584" s="619"/>
      <c r="B584" s="617"/>
      <c r="C584" s="617"/>
      <c r="D584" s="617"/>
      <c r="E584" s="617"/>
      <c r="F584" s="634"/>
      <c r="G584" s="152" t="s">
        <v>328</v>
      </c>
      <c r="H584" s="166">
        <f>+INVERSIÓN!$CE$24</f>
        <v>1.9999999999999996</v>
      </c>
      <c r="I584" s="166">
        <v>0</v>
      </c>
      <c r="J584" s="166">
        <v>0</v>
      </c>
      <c r="K584" s="40" t="e">
        <f t="shared" si="25"/>
        <v>#DIV/0!</v>
      </c>
      <c r="L584" s="222" t="s">
        <v>601</v>
      </c>
    </row>
    <row r="585" spans="1:12" ht="49.9" customHeight="1" x14ac:dyDescent="0.25">
      <c r="A585" s="619"/>
      <c r="B585" s="152" t="s">
        <v>364</v>
      </c>
      <c r="C585" s="152" t="s">
        <v>365</v>
      </c>
      <c r="D585" s="152" t="s">
        <v>366</v>
      </c>
      <c r="E585" s="152" t="s">
        <v>265</v>
      </c>
      <c r="F585" s="160">
        <v>0.15</v>
      </c>
      <c r="G585" s="152" t="s">
        <v>267</v>
      </c>
      <c r="H585" s="166">
        <f>+INVERSIÓN!$CE$31</f>
        <v>1418</v>
      </c>
      <c r="I585" s="166">
        <v>0</v>
      </c>
      <c r="J585" s="166">
        <v>0</v>
      </c>
      <c r="K585" s="40" t="e">
        <f t="shared" si="25"/>
        <v>#DIV/0!</v>
      </c>
      <c r="L585" s="222" t="s">
        <v>597</v>
      </c>
    </row>
    <row r="586" spans="1:12" ht="49.9" customHeight="1" x14ac:dyDescent="0.25">
      <c r="A586" s="619"/>
      <c r="B586" s="152" t="s">
        <v>368</v>
      </c>
      <c r="C586" s="152" t="s">
        <v>369</v>
      </c>
      <c r="D586" s="152" t="s">
        <v>370</v>
      </c>
      <c r="E586" s="152" t="s">
        <v>265</v>
      </c>
      <c r="F586" s="160">
        <v>0.15</v>
      </c>
      <c r="G586" s="152" t="s">
        <v>268</v>
      </c>
      <c r="H586" s="160">
        <f>+INVERSIÓN!$CE$38</f>
        <v>1</v>
      </c>
      <c r="I586" s="160">
        <v>0</v>
      </c>
      <c r="J586" s="160">
        <v>0</v>
      </c>
      <c r="K586" s="40" t="e">
        <f t="shared" si="25"/>
        <v>#DIV/0!</v>
      </c>
      <c r="L586" s="222" t="s">
        <v>599</v>
      </c>
    </row>
    <row r="587" spans="1:12" ht="49.9" customHeight="1" x14ac:dyDescent="0.25">
      <c r="A587" s="619"/>
      <c r="B587" s="617" t="s">
        <v>372</v>
      </c>
      <c r="C587" s="617" t="s">
        <v>373</v>
      </c>
      <c r="D587" s="617" t="s">
        <v>374</v>
      </c>
      <c r="E587" s="617" t="s">
        <v>360</v>
      </c>
      <c r="F587" s="634">
        <v>0.25</v>
      </c>
      <c r="G587" s="152" t="s">
        <v>263</v>
      </c>
      <c r="H587" s="166">
        <f>+INVERSIÓN!$CE$45</f>
        <v>1183</v>
      </c>
      <c r="I587" s="166">
        <v>0</v>
      </c>
      <c r="J587" s="166">
        <v>0</v>
      </c>
      <c r="K587" s="40" t="e">
        <f t="shared" si="25"/>
        <v>#DIV/0!</v>
      </c>
      <c r="L587" s="222" t="s">
        <v>596</v>
      </c>
    </row>
    <row r="588" spans="1:12" ht="49.9" customHeight="1" x14ac:dyDescent="0.25">
      <c r="A588" s="620"/>
      <c r="B588" s="617"/>
      <c r="C588" s="617"/>
      <c r="D588" s="617"/>
      <c r="E588" s="617"/>
      <c r="F588" s="634"/>
      <c r="G588" s="152" t="s">
        <v>323</v>
      </c>
      <c r="H588" s="160">
        <f>+INVERSIÓN!$CE$52</f>
        <v>1</v>
      </c>
      <c r="I588" s="160">
        <v>0</v>
      </c>
      <c r="J588" s="160">
        <v>0</v>
      </c>
      <c r="K588" s="40" t="e">
        <f t="shared" si="25"/>
        <v>#DIV/0!</v>
      </c>
      <c r="L588" s="222" t="s">
        <v>600</v>
      </c>
    </row>
    <row r="589" spans="1:12" ht="49.9" customHeight="1" x14ac:dyDescent="0.25">
      <c r="A589" s="618" t="s">
        <v>130</v>
      </c>
      <c r="B589" s="617" t="s">
        <v>357</v>
      </c>
      <c r="C589" s="617" t="s">
        <v>358</v>
      </c>
      <c r="D589" s="617" t="s">
        <v>359</v>
      </c>
      <c r="E589" s="617" t="s">
        <v>360</v>
      </c>
      <c r="F589" s="634">
        <v>0.45</v>
      </c>
      <c r="G589" s="152" t="s">
        <v>317</v>
      </c>
      <c r="H589" s="160">
        <f>+INVERSIÓN!$CE$10</f>
        <v>1</v>
      </c>
      <c r="I589" s="160">
        <v>0</v>
      </c>
      <c r="J589" s="160">
        <v>0</v>
      </c>
      <c r="K589" s="40" t="e">
        <f t="shared" ref="K589:K595" si="26">J589/I589</f>
        <v>#DIV/0!</v>
      </c>
      <c r="L589" s="222" t="s">
        <v>607</v>
      </c>
    </row>
    <row r="590" spans="1:12" ht="49.9" customHeight="1" x14ac:dyDescent="0.25">
      <c r="A590" s="619"/>
      <c r="B590" s="617"/>
      <c r="C590" s="617"/>
      <c r="D590" s="617"/>
      <c r="E590" s="617"/>
      <c r="F590" s="634"/>
      <c r="G590" s="152" t="s">
        <v>327</v>
      </c>
      <c r="H590" s="166">
        <f>+INVERSIÓN!$CE$17</f>
        <v>7</v>
      </c>
      <c r="I590" s="166">
        <v>0</v>
      </c>
      <c r="J590" s="166">
        <v>0</v>
      </c>
      <c r="K590" s="40" t="e">
        <f t="shared" si="26"/>
        <v>#DIV/0!</v>
      </c>
      <c r="L590" s="222" t="s">
        <v>606</v>
      </c>
    </row>
    <row r="591" spans="1:12" ht="49.9" customHeight="1" x14ac:dyDescent="0.25">
      <c r="A591" s="619"/>
      <c r="B591" s="617"/>
      <c r="C591" s="617"/>
      <c r="D591" s="617"/>
      <c r="E591" s="617"/>
      <c r="F591" s="634"/>
      <c r="G591" s="152" t="s">
        <v>328</v>
      </c>
      <c r="H591" s="166">
        <f>+INVERSIÓN!$CE$24</f>
        <v>1.9999999999999996</v>
      </c>
      <c r="I591" s="166">
        <v>0</v>
      </c>
      <c r="J591" s="166">
        <v>0</v>
      </c>
      <c r="K591" s="40" t="e">
        <f t="shared" si="26"/>
        <v>#DIV/0!</v>
      </c>
      <c r="L591" s="222" t="s">
        <v>608</v>
      </c>
    </row>
    <row r="592" spans="1:12" ht="49.9" customHeight="1" x14ac:dyDescent="0.25">
      <c r="A592" s="619"/>
      <c r="B592" s="152" t="s">
        <v>364</v>
      </c>
      <c r="C592" s="152" t="s">
        <v>365</v>
      </c>
      <c r="D592" s="152" t="s">
        <v>366</v>
      </c>
      <c r="E592" s="152" t="s">
        <v>265</v>
      </c>
      <c r="F592" s="160">
        <v>0.15</v>
      </c>
      <c r="G592" s="152" t="s">
        <v>267</v>
      </c>
      <c r="H592" s="166">
        <f>+INVERSIÓN!$CE$31</f>
        <v>1418</v>
      </c>
      <c r="I592" s="166">
        <v>0</v>
      </c>
      <c r="J592" s="166">
        <v>0</v>
      </c>
      <c r="K592" s="40" t="e">
        <f t="shared" si="26"/>
        <v>#DIV/0!</v>
      </c>
      <c r="L592" s="222" t="s">
        <v>605</v>
      </c>
    </row>
    <row r="593" spans="1:12" ht="49.9" customHeight="1" x14ac:dyDescent="0.25">
      <c r="A593" s="619"/>
      <c r="B593" s="152" t="s">
        <v>368</v>
      </c>
      <c r="C593" s="152" t="s">
        <v>369</v>
      </c>
      <c r="D593" s="152" t="s">
        <v>370</v>
      </c>
      <c r="E593" s="152" t="s">
        <v>265</v>
      </c>
      <c r="F593" s="160">
        <v>0.15</v>
      </c>
      <c r="G593" s="152" t="s">
        <v>268</v>
      </c>
      <c r="H593" s="160">
        <f>+INVERSIÓN!$CE$38</f>
        <v>1</v>
      </c>
      <c r="I593" s="160">
        <v>0</v>
      </c>
      <c r="J593" s="160">
        <v>0</v>
      </c>
      <c r="K593" s="40" t="e">
        <f t="shared" si="26"/>
        <v>#DIV/0!</v>
      </c>
      <c r="L593" s="222" t="s">
        <v>599</v>
      </c>
    </row>
    <row r="594" spans="1:12" ht="49.9" customHeight="1" x14ac:dyDescent="0.25">
      <c r="A594" s="619"/>
      <c r="B594" s="617" t="s">
        <v>372</v>
      </c>
      <c r="C594" s="617" t="s">
        <v>373</v>
      </c>
      <c r="D594" s="617" t="s">
        <v>374</v>
      </c>
      <c r="E594" s="617" t="s">
        <v>360</v>
      </c>
      <c r="F594" s="634">
        <v>0.25</v>
      </c>
      <c r="G594" s="152" t="s">
        <v>263</v>
      </c>
      <c r="H594" s="166">
        <f>+INVERSIÓN!$CE$45</f>
        <v>1183</v>
      </c>
      <c r="I594" s="166">
        <v>0</v>
      </c>
      <c r="J594" s="166">
        <v>0</v>
      </c>
      <c r="K594" s="40" t="e">
        <f t="shared" si="26"/>
        <v>#DIV/0!</v>
      </c>
      <c r="L594" s="222" t="s">
        <v>604</v>
      </c>
    </row>
    <row r="595" spans="1:12" ht="49.9" customHeight="1" x14ac:dyDescent="0.25">
      <c r="A595" s="620"/>
      <c r="B595" s="617"/>
      <c r="C595" s="617"/>
      <c r="D595" s="617"/>
      <c r="E595" s="617"/>
      <c r="F595" s="634"/>
      <c r="G595" s="152" t="s">
        <v>323</v>
      </c>
      <c r="H595" s="160">
        <f>+INVERSIÓN!$CE$52</f>
        <v>1</v>
      </c>
      <c r="I595" s="160">
        <v>0</v>
      </c>
      <c r="J595" s="160">
        <v>0</v>
      </c>
      <c r="K595" s="40" t="e">
        <f t="shared" si="26"/>
        <v>#DIV/0!</v>
      </c>
      <c r="L595" s="222" t="s">
        <v>603</v>
      </c>
    </row>
    <row r="596" spans="1:12" ht="49.9" customHeight="1" x14ac:dyDescent="0.25">
      <c r="A596" s="618" t="s">
        <v>131</v>
      </c>
      <c r="B596" s="617" t="s">
        <v>357</v>
      </c>
      <c r="C596" s="617" t="s">
        <v>358</v>
      </c>
      <c r="D596" s="617" t="s">
        <v>359</v>
      </c>
      <c r="E596" s="617" t="s">
        <v>360</v>
      </c>
      <c r="F596" s="634">
        <v>0.45</v>
      </c>
      <c r="G596" s="152" t="s">
        <v>317</v>
      </c>
      <c r="H596" s="160">
        <f>+INVERSIÓN!$CE$10</f>
        <v>1</v>
      </c>
      <c r="I596" s="160">
        <v>0</v>
      </c>
      <c r="J596" s="160">
        <v>0</v>
      </c>
      <c r="K596" s="40" t="e">
        <f t="shared" ref="K596:K609" si="27">J596/I596</f>
        <v>#DIV/0!</v>
      </c>
      <c r="L596" s="222" t="s">
        <v>612</v>
      </c>
    </row>
    <row r="597" spans="1:12" ht="49.9" customHeight="1" x14ac:dyDescent="0.25">
      <c r="A597" s="619"/>
      <c r="B597" s="617"/>
      <c r="C597" s="617"/>
      <c r="D597" s="617"/>
      <c r="E597" s="617"/>
      <c r="F597" s="634"/>
      <c r="G597" s="152" t="s">
        <v>615</v>
      </c>
      <c r="H597" s="166">
        <f>+INVERSIÓN!$CE$17</f>
        <v>7</v>
      </c>
      <c r="I597" s="166">
        <v>0</v>
      </c>
      <c r="J597" s="166">
        <v>0</v>
      </c>
      <c r="K597" s="40" t="e">
        <f t="shared" si="27"/>
        <v>#DIV/0!</v>
      </c>
      <c r="L597" s="222" t="s">
        <v>613</v>
      </c>
    </row>
    <row r="598" spans="1:12" ht="49.9" customHeight="1" x14ac:dyDescent="0.25">
      <c r="A598" s="619"/>
      <c r="B598" s="617"/>
      <c r="C598" s="617"/>
      <c r="D598" s="617"/>
      <c r="E598" s="617"/>
      <c r="F598" s="634"/>
      <c r="G598" s="152" t="s">
        <v>328</v>
      </c>
      <c r="H598" s="166">
        <f>+INVERSIÓN!$CE$24</f>
        <v>1.9999999999999996</v>
      </c>
      <c r="I598" s="166">
        <v>0</v>
      </c>
      <c r="J598" s="166">
        <v>0</v>
      </c>
      <c r="K598" s="40" t="e">
        <f t="shared" si="27"/>
        <v>#DIV/0!</v>
      </c>
      <c r="L598" s="222">
        <v>0</v>
      </c>
    </row>
    <row r="599" spans="1:12" ht="49.9" customHeight="1" x14ac:dyDescent="0.25">
      <c r="A599" s="619"/>
      <c r="B599" s="152" t="s">
        <v>364</v>
      </c>
      <c r="C599" s="152" t="s">
        <v>365</v>
      </c>
      <c r="D599" s="152" t="s">
        <v>366</v>
      </c>
      <c r="E599" s="152" t="s">
        <v>265</v>
      </c>
      <c r="F599" s="160">
        <v>0.15</v>
      </c>
      <c r="G599" s="152" t="s">
        <v>267</v>
      </c>
      <c r="H599" s="166">
        <f>+INVERSIÓN!$CE$31</f>
        <v>1418</v>
      </c>
      <c r="I599" s="166">
        <v>0</v>
      </c>
      <c r="J599" s="166">
        <v>0</v>
      </c>
      <c r="K599" s="40" t="e">
        <f t="shared" si="27"/>
        <v>#DIV/0!</v>
      </c>
      <c r="L599" s="222" t="s">
        <v>610</v>
      </c>
    </row>
    <row r="600" spans="1:12" ht="49.9" customHeight="1" x14ac:dyDescent="0.25">
      <c r="A600" s="619"/>
      <c r="B600" s="152" t="s">
        <v>368</v>
      </c>
      <c r="C600" s="152" t="s">
        <v>369</v>
      </c>
      <c r="D600" s="152" t="s">
        <v>370</v>
      </c>
      <c r="E600" s="152" t="s">
        <v>265</v>
      </c>
      <c r="F600" s="160">
        <v>0.15</v>
      </c>
      <c r="G600" s="152" t="s">
        <v>268</v>
      </c>
      <c r="H600" s="160">
        <f>+INVERSIÓN!$CE$38</f>
        <v>1</v>
      </c>
      <c r="I600" s="160">
        <v>0</v>
      </c>
      <c r="J600" s="160">
        <v>0</v>
      </c>
      <c r="K600" s="40" t="e">
        <f t="shared" si="27"/>
        <v>#DIV/0!</v>
      </c>
      <c r="L600" s="222" t="s">
        <v>611</v>
      </c>
    </row>
    <row r="601" spans="1:12" ht="49.9" customHeight="1" x14ac:dyDescent="0.25">
      <c r="A601" s="619"/>
      <c r="B601" s="617" t="s">
        <v>372</v>
      </c>
      <c r="C601" s="617" t="s">
        <v>373</v>
      </c>
      <c r="D601" s="617" t="s">
        <v>374</v>
      </c>
      <c r="E601" s="617" t="s">
        <v>360</v>
      </c>
      <c r="F601" s="634">
        <v>0.25</v>
      </c>
      <c r="G601" s="152" t="s">
        <v>263</v>
      </c>
      <c r="H601" s="166">
        <f>+INVERSIÓN!$CE$45</f>
        <v>1183</v>
      </c>
      <c r="I601" s="166">
        <v>0</v>
      </c>
      <c r="J601" s="166">
        <v>0</v>
      </c>
      <c r="K601" s="40" t="e">
        <f t="shared" si="27"/>
        <v>#DIV/0!</v>
      </c>
      <c r="L601" s="222" t="s">
        <v>609</v>
      </c>
    </row>
    <row r="602" spans="1:12" ht="49.9" customHeight="1" x14ac:dyDescent="0.25">
      <c r="A602" s="620"/>
      <c r="B602" s="617"/>
      <c r="C602" s="617"/>
      <c r="D602" s="617"/>
      <c r="E602" s="617"/>
      <c r="F602" s="634"/>
      <c r="G602" s="152" t="s">
        <v>323</v>
      </c>
      <c r="H602" s="160">
        <f>+INVERSIÓN!$CE$52</f>
        <v>1</v>
      </c>
      <c r="I602" s="160">
        <v>0</v>
      </c>
      <c r="J602" s="160">
        <v>0</v>
      </c>
      <c r="K602" s="40" t="e">
        <f t="shared" si="27"/>
        <v>#DIV/0!</v>
      </c>
      <c r="L602" s="222" t="s">
        <v>614</v>
      </c>
    </row>
    <row r="603" spans="1:12" ht="51" customHeight="1" x14ac:dyDescent="0.25">
      <c r="A603" s="618" t="s">
        <v>132</v>
      </c>
      <c r="B603" s="617" t="s">
        <v>357</v>
      </c>
      <c r="C603" s="617" t="s">
        <v>358</v>
      </c>
      <c r="D603" s="617" t="s">
        <v>359</v>
      </c>
      <c r="E603" s="617" t="s">
        <v>360</v>
      </c>
      <c r="F603" s="634">
        <v>0.45</v>
      </c>
      <c r="G603" s="152" t="s">
        <v>317</v>
      </c>
      <c r="H603" s="160">
        <f>+INVERSIÓN!$CE$10</f>
        <v>1</v>
      </c>
      <c r="I603" s="160">
        <v>0</v>
      </c>
      <c r="J603" s="160">
        <v>0</v>
      </c>
      <c r="K603" s="40" t="e">
        <f t="shared" si="27"/>
        <v>#DIV/0!</v>
      </c>
      <c r="L603" s="170" t="s">
        <v>621</v>
      </c>
    </row>
    <row r="604" spans="1:12" ht="51" customHeight="1" x14ac:dyDescent="0.25">
      <c r="A604" s="619"/>
      <c r="B604" s="617"/>
      <c r="C604" s="617"/>
      <c r="D604" s="617"/>
      <c r="E604" s="617"/>
      <c r="F604" s="634"/>
      <c r="G604" s="152" t="s">
        <v>615</v>
      </c>
      <c r="H604" s="166">
        <f>+INVERSIÓN!$CE$17</f>
        <v>7</v>
      </c>
      <c r="I604" s="166">
        <v>0</v>
      </c>
      <c r="J604" s="166">
        <v>0</v>
      </c>
      <c r="K604" s="40" t="e">
        <f t="shared" si="27"/>
        <v>#DIV/0!</v>
      </c>
      <c r="L604" s="170" t="s">
        <v>623</v>
      </c>
    </row>
    <row r="605" spans="1:12" ht="51" customHeight="1" x14ac:dyDescent="0.25">
      <c r="A605" s="619"/>
      <c r="B605" s="617"/>
      <c r="C605" s="617"/>
      <c r="D605" s="617"/>
      <c r="E605" s="617"/>
      <c r="F605" s="634"/>
      <c r="G605" s="152" t="s">
        <v>328</v>
      </c>
      <c r="H605" s="166">
        <f>+INVERSIÓN!$CE$24</f>
        <v>1.9999999999999996</v>
      </c>
      <c r="I605" s="166">
        <v>0</v>
      </c>
      <c r="J605" s="166">
        <v>0</v>
      </c>
      <c r="K605" s="40" t="e">
        <f t="shared" si="27"/>
        <v>#DIV/0!</v>
      </c>
      <c r="L605" s="170" t="s">
        <v>624</v>
      </c>
    </row>
    <row r="606" spans="1:12" ht="51" customHeight="1" x14ac:dyDescent="0.25">
      <c r="A606" s="619"/>
      <c r="B606" s="152" t="s">
        <v>364</v>
      </c>
      <c r="C606" s="152" t="s">
        <v>365</v>
      </c>
      <c r="D606" s="152" t="s">
        <v>366</v>
      </c>
      <c r="E606" s="152" t="s">
        <v>265</v>
      </c>
      <c r="F606" s="160">
        <v>0.15</v>
      </c>
      <c r="G606" s="152" t="s">
        <v>267</v>
      </c>
      <c r="H606" s="166">
        <f>+INVERSIÓN!$CE$31</f>
        <v>1418</v>
      </c>
      <c r="I606" s="166">
        <v>0</v>
      </c>
      <c r="J606" s="166">
        <v>0</v>
      </c>
      <c r="K606" s="40" t="e">
        <f t="shared" si="27"/>
        <v>#DIV/0!</v>
      </c>
      <c r="L606" s="170" t="s">
        <v>616</v>
      </c>
    </row>
    <row r="607" spans="1:12" ht="51" customHeight="1" x14ac:dyDescent="0.25">
      <c r="A607" s="619"/>
      <c r="B607" s="152" t="s">
        <v>368</v>
      </c>
      <c r="C607" s="152" t="s">
        <v>369</v>
      </c>
      <c r="D607" s="152" t="s">
        <v>370</v>
      </c>
      <c r="E607" s="152" t="s">
        <v>265</v>
      </c>
      <c r="F607" s="160">
        <v>0.15</v>
      </c>
      <c r="G607" s="152" t="s">
        <v>268</v>
      </c>
      <c r="H607" s="160">
        <f>+INVERSIÓN!$CE$38</f>
        <v>1</v>
      </c>
      <c r="I607" s="160">
        <v>0</v>
      </c>
      <c r="J607" s="160">
        <v>0</v>
      </c>
      <c r="K607" s="40" t="e">
        <f t="shared" si="27"/>
        <v>#DIV/0!</v>
      </c>
      <c r="L607" s="170" t="s">
        <v>618</v>
      </c>
    </row>
    <row r="608" spans="1:12" ht="51" customHeight="1" x14ac:dyDescent="0.25">
      <c r="A608" s="619"/>
      <c r="B608" s="617" t="s">
        <v>372</v>
      </c>
      <c r="C608" s="617" t="s">
        <v>373</v>
      </c>
      <c r="D608" s="617" t="s">
        <v>374</v>
      </c>
      <c r="E608" s="617" t="s">
        <v>360</v>
      </c>
      <c r="F608" s="634">
        <v>0.25</v>
      </c>
      <c r="G608" s="152" t="s">
        <v>263</v>
      </c>
      <c r="H608" s="166">
        <f>+INVERSIÓN!$CE$45</f>
        <v>1183</v>
      </c>
      <c r="I608" s="166">
        <v>0</v>
      </c>
      <c r="J608" s="166">
        <v>0</v>
      </c>
      <c r="K608" s="40" t="e">
        <f t="shared" si="27"/>
        <v>#DIV/0!</v>
      </c>
      <c r="L608" s="170" t="s">
        <v>617</v>
      </c>
    </row>
    <row r="609" spans="1:12" ht="51" customHeight="1" x14ac:dyDescent="0.25">
      <c r="A609" s="620"/>
      <c r="B609" s="617"/>
      <c r="C609" s="617"/>
      <c r="D609" s="617"/>
      <c r="E609" s="617"/>
      <c r="F609" s="634"/>
      <c r="G609" s="152" t="s">
        <v>323</v>
      </c>
      <c r="H609" s="160">
        <f>+INVERSIÓN!$CE$52</f>
        <v>1</v>
      </c>
      <c r="I609" s="160">
        <v>0</v>
      </c>
      <c r="J609" s="160">
        <v>0</v>
      </c>
      <c r="K609" s="40" t="e">
        <f t="shared" si="27"/>
        <v>#DIV/0!</v>
      </c>
      <c r="L609" s="170" t="s">
        <v>619</v>
      </c>
    </row>
    <row r="610" spans="1:12" ht="51" customHeight="1" x14ac:dyDescent="0.25">
      <c r="A610" s="618" t="s">
        <v>133</v>
      </c>
      <c r="B610" s="617" t="s">
        <v>357</v>
      </c>
      <c r="C610" s="617" t="s">
        <v>358</v>
      </c>
      <c r="D610" s="617" t="s">
        <v>359</v>
      </c>
      <c r="E610" s="617" t="s">
        <v>360</v>
      </c>
      <c r="F610" s="634">
        <v>0.45</v>
      </c>
      <c r="G610" s="152" t="s">
        <v>317</v>
      </c>
      <c r="H610" s="160">
        <f>+INVERSIÓN!$CE$10</f>
        <v>1</v>
      </c>
      <c r="I610" s="160">
        <v>0</v>
      </c>
      <c r="J610" s="160">
        <v>0</v>
      </c>
      <c r="K610" s="40" t="e">
        <f t="shared" ref="K610:K616" si="28">J610/I610</f>
        <v>#DIV/0!</v>
      </c>
      <c r="L610" s="170" t="s">
        <v>653</v>
      </c>
    </row>
    <row r="611" spans="1:12" ht="51" customHeight="1" x14ac:dyDescent="0.25">
      <c r="A611" s="619"/>
      <c r="B611" s="617"/>
      <c r="C611" s="617"/>
      <c r="D611" s="617"/>
      <c r="E611" s="617"/>
      <c r="F611" s="634"/>
      <c r="G611" s="152" t="s">
        <v>615</v>
      </c>
      <c r="H611" s="166">
        <f>+INVERSIÓN!$CE$17</f>
        <v>7</v>
      </c>
      <c r="I611" s="166">
        <v>0</v>
      </c>
      <c r="J611" s="166">
        <v>0</v>
      </c>
      <c r="K611" s="40" t="e">
        <f t="shared" si="28"/>
        <v>#DIV/0!</v>
      </c>
      <c r="L611" s="170" t="s">
        <v>637</v>
      </c>
    </row>
    <row r="612" spans="1:12" ht="51" customHeight="1" x14ac:dyDescent="0.25">
      <c r="A612" s="619"/>
      <c r="B612" s="617"/>
      <c r="C612" s="617"/>
      <c r="D612" s="617"/>
      <c r="E612" s="617"/>
      <c r="F612" s="634"/>
      <c r="G612" s="152" t="s">
        <v>328</v>
      </c>
      <c r="H612" s="166">
        <f>+INVERSIÓN!$CE$24</f>
        <v>1.9999999999999996</v>
      </c>
      <c r="I612" s="166">
        <v>0</v>
      </c>
      <c r="J612" s="166">
        <v>0</v>
      </c>
      <c r="K612" s="40" t="e">
        <f t="shared" si="28"/>
        <v>#DIV/0!</v>
      </c>
      <c r="L612" s="170" t="s">
        <v>625</v>
      </c>
    </row>
    <row r="613" spans="1:12" ht="51" customHeight="1" x14ac:dyDescent="0.25">
      <c r="A613" s="619"/>
      <c r="B613" s="152" t="s">
        <v>364</v>
      </c>
      <c r="C613" s="152" t="s">
        <v>365</v>
      </c>
      <c r="D613" s="152" t="s">
        <v>366</v>
      </c>
      <c r="E613" s="152" t="s">
        <v>265</v>
      </c>
      <c r="F613" s="160">
        <v>0.15</v>
      </c>
      <c r="G613" s="152" t="s">
        <v>267</v>
      </c>
      <c r="H613" s="166">
        <f>+INVERSIÓN!$CE$31</f>
        <v>1418</v>
      </c>
      <c r="I613" s="166">
        <v>0</v>
      </c>
      <c r="J613" s="166">
        <v>0</v>
      </c>
      <c r="K613" s="40" t="e">
        <f t="shared" si="28"/>
        <v>#DIV/0!</v>
      </c>
      <c r="L613" s="170" t="s">
        <v>630</v>
      </c>
    </row>
    <row r="614" spans="1:12" ht="51" customHeight="1" x14ac:dyDescent="0.25">
      <c r="A614" s="619"/>
      <c r="B614" s="152" t="s">
        <v>368</v>
      </c>
      <c r="C614" s="152" t="s">
        <v>369</v>
      </c>
      <c r="D614" s="152" t="s">
        <v>370</v>
      </c>
      <c r="E614" s="152" t="s">
        <v>265</v>
      </c>
      <c r="F614" s="160">
        <v>0.15</v>
      </c>
      <c r="G614" s="152" t="s">
        <v>268</v>
      </c>
      <c r="H614" s="160">
        <f>+INVERSIÓN!$CE$38</f>
        <v>1</v>
      </c>
      <c r="I614" s="160">
        <v>0</v>
      </c>
      <c r="J614" s="160">
        <v>0</v>
      </c>
      <c r="K614" s="40" t="e">
        <f t="shared" si="28"/>
        <v>#DIV/0!</v>
      </c>
      <c r="L614" s="170" t="s">
        <v>636</v>
      </c>
    </row>
    <row r="615" spans="1:12" ht="51" customHeight="1" x14ac:dyDescent="0.25">
      <c r="A615" s="619"/>
      <c r="B615" s="617" t="s">
        <v>372</v>
      </c>
      <c r="C615" s="617" t="s">
        <v>373</v>
      </c>
      <c r="D615" s="617" t="s">
        <v>374</v>
      </c>
      <c r="E615" s="617" t="s">
        <v>360</v>
      </c>
      <c r="F615" s="634">
        <v>0.25</v>
      </c>
      <c r="G615" s="152" t="s">
        <v>263</v>
      </c>
      <c r="H615" s="166">
        <f>+INVERSIÓN!$CE$45</f>
        <v>1183</v>
      </c>
      <c r="I615" s="166">
        <v>0</v>
      </c>
      <c r="J615" s="166">
        <v>0</v>
      </c>
      <c r="K615" s="40" t="e">
        <f t="shared" si="28"/>
        <v>#DIV/0!</v>
      </c>
      <c r="L615" s="170" t="s">
        <v>631</v>
      </c>
    </row>
    <row r="616" spans="1:12" ht="51" customHeight="1" x14ac:dyDescent="0.25">
      <c r="A616" s="620"/>
      <c r="B616" s="617"/>
      <c r="C616" s="617"/>
      <c r="D616" s="617"/>
      <c r="E616" s="617"/>
      <c r="F616" s="634"/>
      <c r="G616" s="152" t="s">
        <v>323</v>
      </c>
      <c r="H616" s="160">
        <f>+INVERSIÓN!$CE$52</f>
        <v>1</v>
      </c>
      <c r="I616" s="160">
        <v>0</v>
      </c>
      <c r="J616" s="160">
        <v>0</v>
      </c>
      <c r="K616" s="40" t="e">
        <f t="shared" si="28"/>
        <v>#DIV/0!</v>
      </c>
      <c r="L616" s="170" t="s">
        <v>648</v>
      </c>
    </row>
    <row r="618" spans="1:12" ht="19.899999999999999" hidden="1" customHeight="1" x14ac:dyDescent="0.25">
      <c r="A618" s="637" t="s">
        <v>161</v>
      </c>
      <c r="B618" s="638"/>
      <c r="C618" s="638"/>
      <c r="D618" s="638"/>
      <c r="E618" s="638"/>
      <c r="F618" s="638"/>
      <c r="G618" s="638"/>
      <c r="H618" s="638"/>
      <c r="I618" s="638"/>
      <c r="J618" s="638"/>
      <c r="K618" s="638"/>
      <c r="L618" s="639"/>
    </row>
    <row r="619" spans="1:12" ht="44.25" hidden="1" customHeight="1" x14ac:dyDescent="0.25">
      <c r="A619" s="150" t="s">
        <v>62</v>
      </c>
      <c r="B619" s="39" t="s">
        <v>145</v>
      </c>
      <c r="C619" s="39" t="s">
        <v>146</v>
      </c>
      <c r="D619" s="39" t="s">
        <v>147</v>
      </c>
      <c r="E619" s="39" t="s">
        <v>148</v>
      </c>
      <c r="F619" s="39" t="s">
        <v>162</v>
      </c>
      <c r="G619" s="39" t="s">
        <v>150</v>
      </c>
      <c r="H619" s="39" t="s">
        <v>163</v>
      </c>
      <c r="I619" s="195" t="s">
        <v>152</v>
      </c>
      <c r="J619" s="39" t="s">
        <v>153</v>
      </c>
      <c r="K619" s="39" t="s">
        <v>154</v>
      </c>
      <c r="L619" s="39" t="s">
        <v>155</v>
      </c>
    </row>
    <row r="620" spans="1:12" ht="16.5" hidden="1" customHeight="1" x14ac:dyDescent="0.25">
      <c r="A620" s="40" t="s">
        <v>135</v>
      </c>
      <c r="B620" s="40"/>
      <c r="C620" s="40"/>
      <c r="D620" s="40"/>
      <c r="E620" s="40"/>
      <c r="F620" s="40"/>
      <c r="G620" s="40"/>
      <c r="H620" s="40"/>
      <c r="I620" s="198"/>
      <c r="J620" s="40"/>
      <c r="K620" s="40" t="e">
        <f t="shared" ref="K620:K631" si="29">J620/I620</f>
        <v>#DIV/0!</v>
      </c>
      <c r="L620" s="40"/>
    </row>
    <row r="621" spans="1:12" ht="16.5" hidden="1" customHeight="1" x14ac:dyDescent="0.25">
      <c r="A621" s="40" t="s">
        <v>136</v>
      </c>
      <c r="B621" s="40"/>
      <c r="C621" s="40"/>
      <c r="D621" s="40"/>
      <c r="E621" s="40"/>
      <c r="F621" s="40"/>
      <c r="G621" s="40"/>
      <c r="H621" s="40"/>
      <c r="I621" s="198"/>
      <c r="J621" s="40"/>
      <c r="K621" s="40" t="e">
        <f t="shared" si="29"/>
        <v>#DIV/0!</v>
      </c>
      <c r="L621" s="40"/>
    </row>
    <row r="622" spans="1:12" ht="16.5" hidden="1" customHeight="1" x14ac:dyDescent="0.25">
      <c r="A622" s="40" t="s">
        <v>137</v>
      </c>
      <c r="B622" s="40"/>
      <c r="C622" s="40"/>
      <c r="D622" s="40"/>
      <c r="E622" s="40"/>
      <c r="F622" s="40"/>
      <c r="G622" s="40"/>
      <c r="H622" s="40"/>
      <c r="I622" s="198"/>
      <c r="J622" s="40"/>
      <c r="K622" s="40" t="e">
        <f t="shared" si="29"/>
        <v>#DIV/0!</v>
      </c>
      <c r="L622" s="40"/>
    </row>
    <row r="623" spans="1:12" ht="16.5" hidden="1" customHeight="1" x14ac:dyDescent="0.25">
      <c r="A623" s="40" t="s">
        <v>138</v>
      </c>
      <c r="B623" s="40"/>
      <c r="C623" s="40"/>
      <c r="D623" s="40"/>
      <c r="E623" s="40"/>
      <c r="F623" s="40"/>
      <c r="G623" s="40"/>
      <c r="H623" s="40"/>
      <c r="I623" s="198"/>
      <c r="J623" s="40"/>
      <c r="K623" s="40" t="e">
        <f t="shared" si="29"/>
        <v>#DIV/0!</v>
      </c>
      <c r="L623" s="40"/>
    </row>
    <row r="624" spans="1:12" ht="16.5" hidden="1" customHeight="1" x14ac:dyDescent="0.25">
      <c r="A624" s="40" t="s">
        <v>139</v>
      </c>
      <c r="B624" s="40"/>
      <c r="C624" s="40"/>
      <c r="D624" s="40"/>
      <c r="E624" s="40"/>
      <c r="F624" s="40"/>
      <c r="G624" s="40"/>
      <c r="H624" s="40"/>
      <c r="I624" s="198"/>
      <c r="J624" s="40"/>
      <c r="K624" s="40" t="e">
        <f t="shared" si="29"/>
        <v>#DIV/0!</v>
      </c>
      <c r="L624" s="40"/>
    </row>
    <row r="625" spans="1:12" ht="16.5" hidden="1" customHeight="1" x14ac:dyDescent="0.25">
      <c r="A625" s="40" t="s">
        <v>140</v>
      </c>
      <c r="B625" s="40"/>
      <c r="C625" s="40"/>
      <c r="D625" s="40"/>
      <c r="E625" s="40"/>
      <c r="F625" s="40"/>
      <c r="G625" s="40"/>
      <c r="H625" s="40"/>
      <c r="I625" s="198"/>
      <c r="J625" s="40"/>
      <c r="K625" s="40" t="e">
        <f t="shared" si="29"/>
        <v>#DIV/0!</v>
      </c>
      <c r="L625" s="40"/>
    </row>
    <row r="626" spans="1:12" hidden="1" x14ac:dyDescent="0.25">
      <c r="A626" s="40" t="s">
        <v>128</v>
      </c>
      <c r="B626" s="40"/>
      <c r="C626" s="40"/>
      <c r="D626" s="40"/>
      <c r="E626" s="40"/>
      <c r="F626" s="40"/>
      <c r="G626" s="40"/>
      <c r="H626" s="40"/>
      <c r="I626" s="198"/>
      <c r="J626" s="40"/>
      <c r="K626" s="40" t="e">
        <f t="shared" si="29"/>
        <v>#DIV/0!</v>
      </c>
      <c r="L626" s="40"/>
    </row>
    <row r="627" spans="1:12" hidden="1" x14ac:dyDescent="0.25">
      <c r="A627" s="40" t="s">
        <v>129</v>
      </c>
      <c r="B627" s="40"/>
      <c r="C627" s="40"/>
      <c r="D627" s="40"/>
      <c r="E627" s="40"/>
      <c r="F627" s="40"/>
      <c r="G627" s="40"/>
      <c r="H627" s="40"/>
      <c r="I627" s="198"/>
      <c r="J627" s="40"/>
      <c r="K627" s="40" t="e">
        <f t="shared" si="29"/>
        <v>#DIV/0!</v>
      </c>
      <c r="L627" s="40"/>
    </row>
    <row r="628" spans="1:12" hidden="1" x14ac:dyDescent="0.25">
      <c r="A628" s="40" t="s">
        <v>130</v>
      </c>
      <c r="B628" s="40"/>
      <c r="C628" s="40"/>
      <c r="D628" s="40"/>
      <c r="E628" s="40"/>
      <c r="F628" s="40"/>
      <c r="G628" s="40"/>
      <c r="H628" s="40"/>
      <c r="I628" s="198"/>
      <c r="J628" s="40"/>
      <c r="K628" s="40" t="e">
        <f t="shared" si="29"/>
        <v>#DIV/0!</v>
      </c>
      <c r="L628" s="40"/>
    </row>
    <row r="629" spans="1:12" hidden="1" x14ac:dyDescent="0.25">
      <c r="A629" s="40" t="s">
        <v>131</v>
      </c>
      <c r="B629" s="40"/>
      <c r="C629" s="40"/>
      <c r="D629" s="40"/>
      <c r="E629" s="40"/>
      <c r="F629" s="40"/>
      <c r="G629" s="40"/>
      <c r="H629" s="40"/>
      <c r="I629" s="198"/>
      <c r="J629" s="40"/>
      <c r="K629" s="40" t="e">
        <f t="shared" si="29"/>
        <v>#DIV/0!</v>
      </c>
      <c r="L629" s="40"/>
    </row>
    <row r="630" spans="1:12" hidden="1" x14ac:dyDescent="0.25">
      <c r="A630" s="40" t="s">
        <v>132</v>
      </c>
      <c r="B630" s="40"/>
      <c r="C630" s="40"/>
      <c r="D630" s="40"/>
      <c r="E630" s="40"/>
      <c r="F630" s="40"/>
      <c r="G630" s="40"/>
      <c r="H630" s="40"/>
      <c r="I630" s="198"/>
      <c r="J630" s="40"/>
      <c r="K630" s="40" t="e">
        <f t="shared" si="29"/>
        <v>#DIV/0!</v>
      </c>
      <c r="L630" s="40"/>
    </row>
    <row r="631" spans="1:12" hidden="1" x14ac:dyDescent="0.25">
      <c r="A631" s="40" t="s">
        <v>133</v>
      </c>
      <c r="B631" s="40"/>
      <c r="C631" s="40"/>
      <c r="D631" s="40"/>
      <c r="E631" s="40"/>
      <c r="F631" s="40"/>
      <c r="G631" s="40"/>
      <c r="H631" s="40"/>
      <c r="I631" s="198"/>
      <c r="J631" s="40"/>
      <c r="K631" s="40" t="e">
        <f t="shared" si="29"/>
        <v>#DIV/0!</v>
      </c>
      <c r="L631" s="40"/>
    </row>
    <row r="632" spans="1:12" hidden="1" x14ac:dyDescent="0.25"/>
    <row r="633" spans="1:12" ht="19.899999999999999" hidden="1" customHeight="1" x14ac:dyDescent="0.25">
      <c r="A633" s="637" t="s">
        <v>164</v>
      </c>
      <c r="B633" s="638"/>
      <c r="C633" s="638"/>
      <c r="D633" s="638"/>
      <c r="E633" s="638"/>
      <c r="F633" s="638"/>
      <c r="G633" s="638"/>
      <c r="H633" s="638"/>
      <c r="I633" s="638"/>
      <c r="J633" s="638"/>
      <c r="K633" s="638"/>
      <c r="L633" s="639"/>
    </row>
    <row r="634" spans="1:12" ht="44.25" hidden="1" customHeight="1" x14ac:dyDescent="0.25">
      <c r="A634" s="150" t="s">
        <v>63</v>
      </c>
      <c r="B634" s="39" t="s">
        <v>145</v>
      </c>
      <c r="C634" s="39" t="s">
        <v>146</v>
      </c>
      <c r="D634" s="39" t="s">
        <v>147</v>
      </c>
      <c r="E634" s="39" t="s">
        <v>148</v>
      </c>
      <c r="F634" s="39" t="s">
        <v>165</v>
      </c>
      <c r="G634" s="39" t="s">
        <v>150</v>
      </c>
      <c r="H634" s="39" t="s">
        <v>166</v>
      </c>
      <c r="I634" s="195" t="s">
        <v>152</v>
      </c>
      <c r="J634" s="39" t="s">
        <v>153</v>
      </c>
      <c r="K634" s="39" t="s">
        <v>154</v>
      </c>
      <c r="L634" s="39" t="s">
        <v>155</v>
      </c>
    </row>
    <row r="635" spans="1:12" ht="16.5" hidden="1" customHeight="1" x14ac:dyDescent="0.25">
      <c r="A635" s="40" t="s">
        <v>135</v>
      </c>
      <c r="B635" s="40"/>
      <c r="C635" s="40"/>
      <c r="D635" s="40"/>
      <c r="E635" s="40"/>
      <c r="F635" s="40"/>
      <c r="G635" s="40"/>
      <c r="H635" s="40"/>
      <c r="I635" s="198"/>
      <c r="J635" s="40"/>
      <c r="K635" s="40" t="e">
        <f t="shared" ref="K635:K646" si="30">J635/I635</f>
        <v>#DIV/0!</v>
      </c>
      <c r="L635" s="40"/>
    </row>
    <row r="636" spans="1:12" ht="16.5" hidden="1" customHeight="1" x14ac:dyDescent="0.25">
      <c r="A636" s="40" t="s">
        <v>136</v>
      </c>
      <c r="B636" s="40"/>
      <c r="C636" s="40"/>
      <c r="D636" s="40"/>
      <c r="E636" s="40"/>
      <c r="F636" s="40"/>
      <c r="G636" s="40"/>
      <c r="H636" s="40"/>
      <c r="I636" s="198"/>
      <c r="J636" s="40"/>
      <c r="K636" s="40" t="e">
        <f t="shared" si="30"/>
        <v>#DIV/0!</v>
      </c>
      <c r="L636" s="40"/>
    </row>
    <row r="637" spans="1:12" ht="16.5" hidden="1" customHeight="1" x14ac:dyDescent="0.25">
      <c r="A637" s="40" t="s">
        <v>137</v>
      </c>
      <c r="B637" s="40"/>
      <c r="C637" s="40"/>
      <c r="D637" s="40"/>
      <c r="E637" s="40"/>
      <c r="F637" s="40"/>
      <c r="G637" s="40"/>
      <c r="H637" s="40"/>
      <c r="I637" s="198"/>
      <c r="J637" s="40"/>
      <c r="K637" s="40" t="e">
        <f t="shared" si="30"/>
        <v>#DIV/0!</v>
      </c>
      <c r="L637" s="40"/>
    </row>
    <row r="638" spans="1:12" ht="16.5" hidden="1" customHeight="1" x14ac:dyDescent="0.25">
      <c r="A638" s="40" t="s">
        <v>138</v>
      </c>
      <c r="B638" s="40"/>
      <c r="C638" s="40"/>
      <c r="D638" s="40"/>
      <c r="E638" s="40"/>
      <c r="F638" s="40"/>
      <c r="G638" s="40"/>
      <c r="H638" s="40"/>
      <c r="I638" s="198"/>
      <c r="J638" s="40"/>
      <c r="K638" s="40" t="e">
        <f t="shared" si="30"/>
        <v>#DIV/0!</v>
      </c>
      <c r="L638" s="40"/>
    </row>
    <row r="639" spans="1:12" ht="16.5" hidden="1" customHeight="1" x14ac:dyDescent="0.25">
      <c r="A639" s="40" t="s">
        <v>139</v>
      </c>
      <c r="B639" s="40"/>
      <c r="C639" s="40"/>
      <c r="D639" s="40"/>
      <c r="E639" s="40"/>
      <c r="F639" s="40"/>
      <c r="G639" s="40"/>
      <c r="H639" s="40"/>
      <c r="I639" s="198"/>
      <c r="J639" s="40"/>
      <c r="K639" s="40" t="e">
        <f t="shared" si="30"/>
        <v>#DIV/0!</v>
      </c>
      <c r="L639" s="40"/>
    </row>
    <row r="640" spans="1:12" ht="16.5" hidden="1" customHeight="1" x14ac:dyDescent="0.25">
      <c r="A640" s="40" t="s">
        <v>140</v>
      </c>
      <c r="B640" s="40"/>
      <c r="C640" s="40"/>
      <c r="D640" s="40"/>
      <c r="E640" s="40"/>
      <c r="F640" s="40"/>
      <c r="G640" s="40"/>
      <c r="H640" s="40"/>
      <c r="I640" s="198"/>
      <c r="J640" s="40"/>
      <c r="K640" s="40" t="e">
        <f t="shared" si="30"/>
        <v>#DIV/0!</v>
      </c>
      <c r="L640" s="40"/>
    </row>
    <row r="641" spans="1:12" hidden="1" x14ac:dyDescent="0.25">
      <c r="A641" s="40" t="s">
        <v>128</v>
      </c>
      <c r="B641" s="40"/>
      <c r="C641" s="40"/>
      <c r="D641" s="40"/>
      <c r="E641" s="40"/>
      <c r="F641" s="40"/>
      <c r="G641" s="40"/>
      <c r="H641" s="40"/>
      <c r="I641" s="198"/>
      <c r="J641" s="40"/>
      <c r="K641" s="40" t="e">
        <f t="shared" si="30"/>
        <v>#DIV/0!</v>
      </c>
      <c r="L641" s="40"/>
    </row>
    <row r="642" spans="1:12" hidden="1" x14ac:dyDescent="0.25">
      <c r="A642" s="40" t="s">
        <v>129</v>
      </c>
      <c r="B642" s="40"/>
      <c r="C642" s="40"/>
      <c r="D642" s="40"/>
      <c r="E642" s="40"/>
      <c r="F642" s="40"/>
      <c r="G642" s="40"/>
      <c r="H642" s="40"/>
      <c r="I642" s="198"/>
      <c r="J642" s="40"/>
      <c r="K642" s="40" t="e">
        <f t="shared" si="30"/>
        <v>#DIV/0!</v>
      </c>
      <c r="L642" s="40"/>
    </row>
    <row r="643" spans="1:12" hidden="1" x14ac:dyDescent="0.25">
      <c r="A643" s="40" t="s">
        <v>130</v>
      </c>
      <c r="B643" s="40"/>
      <c r="C643" s="40"/>
      <c r="D643" s="40"/>
      <c r="E643" s="40"/>
      <c r="F643" s="40"/>
      <c r="G643" s="40"/>
      <c r="H643" s="40"/>
      <c r="I643" s="198"/>
      <c r="J643" s="40"/>
      <c r="K643" s="40" t="e">
        <f t="shared" si="30"/>
        <v>#DIV/0!</v>
      </c>
      <c r="L643" s="40"/>
    </row>
    <row r="644" spans="1:12" hidden="1" x14ac:dyDescent="0.25">
      <c r="A644" s="40" t="s">
        <v>131</v>
      </c>
      <c r="B644" s="40"/>
      <c r="C644" s="40"/>
      <c r="D644" s="40"/>
      <c r="E644" s="40"/>
      <c r="F644" s="40"/>
      <c r="G644" s="40"/>
      <c r="H644" s="40"/>
      <c r="I644" s="198"/>
      <c r="J644" s="40"/>
      <c r="K644" s="40" t="e">
        <f t="shared" si="30"/>
        <v>#DIV/0!</v>
      </c>
      <c r="L644" s="40"/>
    </row>
    <row r="645" spans="1:12" hidden="1" x14ac:dyDescent="0.25">
      <c r="A645" s="40" t="s">
        <v>132</v>
      </c>
      <c r="B645" s="40"/>
      <c r="C645" s="40"/>
      <c r="D645" s="40"/>
      <c r="E645" s="40"/>
      <c r="F645" s="40"/>
      <c r="G645" s="40"/>
      <c r="H645" s="40"/>
      <c r="I645" s="198"/>
      <c r="J645" s="40"/>
      <c r="K645" s="40" t="e">
        <f t="shared" si="30"/>
        <v>#DIV/0!</v>
      </c>
      <c r="L645" s="40"/>
    </row>
    <row r="646" spans="1:12" hidden="1" x14ac:dyDescent="0.25">
      <c r="A646" s="231" t="s">
        <v>133</v>
      </c>
      <c r="B646" s="231"/>
      <c r="C646" s="231"/>
      <c r="D646" s="231"/>
      <c r="E646" s="231"/>
      <c r="F646" s="231"/>
      <c r="G646" s="231"/>
      <c r="H646" s="40"/>
      <c r="I646" s="198"/>
      <c r="J646" s="40"/>
      <c r="K646" s="40" t="e">
        <f t="shared" si="30"/>
        <v>#DIV/0!</v>
      </c>
      <c r="L646" s="40"/>
    </row>
    <row r="647" spans="1:12" x14ac:dyDescent="0.25">
      <c r="A647" s="232"/>
      <c r="B647" s="232"/>
      <c r="C647" s="232"/>
      <c r="D647" s="232"/>
      <c r="E647" s="232"/>
      <c r="F647" s="232"/>
      <c r="G647" s="232"/>
      <c r="I647" s="230"/>
    </row>
    <row r="648" spans="1:12" ht="26.25" customHeight="1" x14ac:dyDescent="0.3">
      <c r="A648" s="627" t="s">
        <v>167</v>
      </c>
      <c r="B648" s="628"/>
      <c r="C648" s="628"/>
      <c r="D648" s="628"/>
      <c r="E648" s="628"/>
      <c r="F648" s="628"/>
      <c r="G648" s="629"/>
    </row>
    <row r="649" spans="1:12" ht="38.25" x14ac:dyDescent="0.25">
      <c r="A649" s="150" t="s">
        <v>48</v>
      </c>
      <c r="B649" s="39" t="s">
        <v>145</v>
      </c>
      <c r="C649" s="39" t="s">
        <v>146</v>
      </c>
      <c r="D649" s="39" t="s">
        <v>168</v>
      </c>
      <c r="E649" s="39" t="s">
        <v>169</v>
      </c>
      <c r="F649" s="39" t="s">
        <v>170</v>
      </c>
      <c r="G649" s="39" t="s">
        <v>171</v>
      </c>
    </row>
    <row r="650" spans="1:12" s="154" customFormat="1" ht="49.9" hidden="1" customHeight="1" outlineLevel="1" x14ac:dyDescent="0.25">
      <c r="A650" s="632" t="s">
        <v>128</v>
      </c>
      <c r="B650" s="635" t="s">
        <v>357</v>
      </c>
      <c r="C650" s="635" t="s">
        <v>426</v>
      </c>
      <c r="D650" s="152" t="s">
        <v>317</v>
      </c>
      <c r="E650" s="153">
        <v>775545944</v>
      </c>
      <c r="F650" s="153">
        <v>56548312</v>
      </c>
      <c r="G650" s="152" t="s">
        <v>427</v>
      </c>
      <c r="I650" s="193"/>
    </row>
    <row r="651" spans="1:12" s="154" customFormat="1" ht="49.9" hidden="1" customHeight="1" outlineLevel="2" x14ac:dyDescent="0.25">
      <c r="A651" s="632"/>
      <c r="B651" s="640"/>
      <c r="C651" s="640"/>
      <c r="D651" s="152" t="s">
        <v>327</v>
      </c>
      <c r="E651" s="153">
        <v>613840322</v>
      </c>
      <c r="F651" s="153">
        <v>0</v>
      </c>
      <c r="G651" s="152" t="s">
        <v>428</v>
      </c>
      <c r="I651" s="193"/>
    </row>
    <row r="652" spans="1:12" s="154" customFormat="1" ht="49.9" hidden="1" customHeight="1" outlineLevel="2" x14ac:dyDescent="0.25">
      <c r="A652" s="632"/>
      <c r="B652" s="636"/>
      <c r="C652" s="636"/>
      <c r="D652" s="152" t="s">
        <v>429</v>
      </c>
      <c r="E652" s="153">
        <v>1412790000</v>
      </c>
      <c r="F652" s="153">
        <v>79976000</v>
      </c>
      <c r="G652" s="152" t="s">
        <v>427</v>
      </c>
      <c r="I652" s="193"/>
    </row>
    <row r="653" spans="1:12" s="154" customFormat="1" ht="49.9" hidden="1" customHeight="1" outlineLevel="2" x14ac:dyDescent="0.25">
      <c r="A653" s="632"/>
      <c r="B653" s="152" t="s">
        <v>364</v>
      </c>
      <c r="C653" s="152" t="s">
        <v>430</v>
      </c>
      <c r="D653" s="152" t="s">
        <v>431</v>
      </c>
      <c r="E653" s="153">
        <v>621054131</v>
      </c>
      <c r="F653" s="153">
        <v>0</v>
      </c>
      <c r="G653" s="152" t="s">
        <v>428</v>
      </c>
      <c r="I653" s="193"/>
    </row>
    <row r="654" spans="1:12" s="154" customFormat="1" ht="49.9" hidden="1" customHeight="1" outlineLevel="2" x14ac:dyDescent="0.25">
      <c r="A654" s="632"/>
      <c r="B654" s="152" t="s">
        <v>368</v>
      </c>
      <c r="C654" s="152" t="s">
        <v>432</v>
      </c>
      <c r="D654" s="152" t="s">
        <v>433</v>
      </c>
      <c r="E654" s="153">
        <v>403410000</v>
      </c>
      <c r="F654" s="153">
        <v>10000000</v>
      </c>
      <c r="G654" s="152" t="s">
        <v>427</v>
      </c>
      <c r="I654" s="193"/>
    </row>
    <row r="655" spans="1:12" s="154" customFormat="1" ht="49.9" hidden="1" customHeight="1" outlineLevel="2" x14ac:dyDescent="0.25">
      <c r="A655" s="632"/>
      <c r="B655" s="635" t="s">
        <v>372</v>
      </c>
      <c r="C655" s="635" t="s">
        <v>434</v>
      </c>
      <c r="D655" s="152" t="s">
        <v>435</v>
      </c>
      <c r="E655" s="153">
        <v>658814131</v>
      </c>
      <c r="F655" s="153">
        <v>0</v>
      </c>
      <c r="G655" s="152" t="s">
        <v>428</v>
      </c>
      <c r="I655" s="193"/>
    </row>
    <row r="656" spans="1:12" s="154" customFormat="1" ht="49.9" hidden="1" customHeight="1" outlineLevel="2" x14ac:dyDescent="0.25">
      <c r="A656" s="632"/>
      <c r="B656" s="636"/>
      <c r="C656" s="636"/>
      <c r="D656" s="152" t="s">
        <v>323</v>
      </c>
      <c r="E656" s="153">
        <v>450000000</v>
      </c>
      <c r="F656" s="153">
        <v>0</v>
      </c>
      <c r="G656" s="152" t="s">
        <v>428</v>
      </c>
      <c r="I656" s="193"/>
    </row>
    <row r="657" spans="1:9" s="154" customFormat="1" ht="49.9" hidden="1" customHeight="1" outlineLevel="2" x14ac:dyDescent="0.25">
      <c r="A657" s="633" t="s">
        <v>129</v>
      </c>
      <c r="B657" s="635" t="s">
        <v>357</v>
      </c>
      <c r="C657" s="635" t="s">
        <v>426</v>
      </c>
      <c r="D657" s="152" t="s">
        <v>317</v>
      </c>
      <c r="E657" s="153">
        <v>775545944</v>
      </c>
      <c r="F657" s="153">
        <v>404965456</v>
      </c>
      <c r="G657" s="152" t="s">
        <v>436</v>
      </c>
      <c r="I657" s="193"/>
    </row>
    <row r="658" spans="1:9" s="154" customFormat="1" ht="49.9" hidden="1" customHeight="1" outlineLevel="2" x14ac:dyDescent="0.25">
      <c r="A658" s="632"/>
      <c r="B658" s="640"/>
      <c r="C658" s="640"/>
      <c r="D658" s="152" t="s">
        <v>327</v>
      </c>
      <c r="E658" s="153">
        <v>613840322</v>
      </c>
      <c r="F658" s="153">
        <v>465500000</v>
      </c>
      <c r="G658" s="152" t="s">
        <v>436</v>
      </c>
      <c r="I658" s="193"/>
    </row>
    <row r="659" spans="1:9" s="154" customFormat="1" ht="49.9" hidden="1" customHeight="1" outlineLevel="2" x14ac:dyDescent="0.25">
      <c r="A659" s="632"/>
      <c r="B659" s="636"/>
      <c r="C659" s="636"/>
      <c r="D659" s="152" t="s">
        <v>429</v>
      </c>
      <c r="E659" s="153">
        <v>1412790000</v>
      </c>
      <c r="F659" s="153">
        <v>835107984</v>
      </c>
      <c r="G659" s="152" t="s">
        <v>436</v>
      </c>
      <c r="I659" s="193"/>
    </row>
    <row r="660" spans="1:9" s="154" customFormat="1" ht="49.9" hidden="1" customHeight="1" outlineLevel="2" x14ac:dyDescent="0.25">
      <c r="A660" s="632"/>
      <c r="B660" s="152" t="s">
        <v>364</v>
      </c>
      <c r="C660" s="152" t="s">
        <v>430</v>
      </c>
      <c r="D660" s="152" t="s">
        <v>431</v>
      </c>
      <c r="E660" s="153">
        <v>621054131</v>
      </c>
      <c r="F660" s="153">
        <v>433428000</v>
      </c>
      <c r="G660" s="152" t="s">
        <v>436</v>
      </c>
      <c r="I660" s="193"/>
    </row>
    <row r="661" spans="1:9" s="154" customFormat="1" ht="49.9" hidden="1" customHeight="1" outlineLevel="2" x14ac:dyDescent="0.25">
      <c r="A661" s="632"/>
      <c r="B661" s="152" t="s">
        <v>368</v>
      </c>
      <c r="C661" s="152" t="s">
        <v>432</v>
      </c>
      <c r="D661" s="152" t="s">
        <v>433</v>
      </c>
      <c r="E661" s="153">
        <v>403410000</v>
      </c>
      <c r="F661" s="153">
        <v>92564000</v>
      </c>
      <c r="G661" s="152" t="s">
        <v>436</v>
      </c>
      <c r="I661" s="193"/>
    </row>
    <row r="662" spans="1:9" s="154" customFormat="1" ht="49.9" hidden="1" customHeight="1" outlineLevel="2" x14ac:dyDescent="0.25">
      <c r="A662" s="632"/>
      <c r="B662" s="635" t="s">
        <v>372</v>
      </c>
      <c r="C662" s="635" t="s">
        <v>434</v>
      </c>
      <c r="D662" s="152" t="s">
        <v>435</v>
      </c>
      <c r="E662" s="153">
        <v>658814131</v>
      </c>
      <c r="F662" s="153">
        <v>451588000</v>
      </c>
      <c r="G662" s="152" t="s">
        <v>436</v>
      </c>
      <c r="I662" s="193"/>
    </row>
    <row r="663" spans="1:9" s="154" customFormat="1" ht="49.9" hidden="1" customHeight="1" outlineLevel="2" x14ac:dyDescent="0.25">
      <c r="A663" s="632"/>
      <c r="B663" s="636"/>
      <c r="C663" s="636"/>
      <c r="D663" s="152" t="s">
        <v>323</v>
      </c>
      <c r="E663" s="153">
        <v>450000000</v>
      </c>
      <c r="F663" s="153">
        <v>373112000</v>
      </c>
      <c r="G663" s="152" t="s">
        <v>436</v>
      </c>
      <c r="I663" s="193"/>
    </row>
    <row r="664" spans="1:9" s="154" customFormat="1" ht="49.9" hidden="1" customHeight="1" outlineLevel="2" x14ac:dyDescent="0.25">
      <c r="A664" s="633" t="s">
        <v>130</v>
      </c>
      <c r="B664" s="635" t="s">
        <v>357</v>
      </c>
      <c r="C664" s="635" t="s">
        <v>426</v>
      </c>
      <c r="D664" s="152" t="s">
        <v>317</v>
      </c>
      <c r="E664" s="153">
        <v>775545944</v>
      </c>
      <c r="F664" s="153">
        <v>433527167</v>
      </c>
      <c r="G664" s="152" t="s">
        <v>436</v>
      </c>
      <c r="I664" s="193"/>
    </row>
    <row r="665" spans="1:9" s="154" customFormat="1" ht="49.9" hidden="1" customHeight="1" outlineLevel="2" x14ac:dyDescent="0.25">
      <c r="A665" s="632"/>
      <c r="B665" s="640"/>
      <c r="C665" s="640"/>
      <c r="D665" s="152" t="s">
        <v>327</v>
      </c>
      <c r="E665" s="153">
        <v>613840322</v>
      </c>
      <c r="F665" s="153">
        <v>465500000</v>
      </c>
      <c r="G665" s="152" t="s">
        <v>436</v>
      </c>
      <c r="I665" s="193"/>
    </row>
    <row r="666" spans="1:9" s="154" customFormat="1" ht="49.9" hidden="1" customHeight="1" outlineLevel="2" x14ac:dyDescent="0.25">
      <c r="A666" s="632"/>
      <c r="B666" s="636"/>
      <c r="C666" s="636"/>
      <c r="D666" s="152" t="s">
        <v>429</v>
      </c>
      <c r="E666" s="153">
        <v>1412790000</v>
      </c>
      <c r="F666" s="153">
        <v>860130666</v>
      </c>
      <c r="G666" s="152" t="s">
        <v>436</v>
      </c>
      <c r="I666" s="193"/>
    </row>
    <row r="667" spans="1:9" s="154" customFormat="1" ht="49.9" hidden="1" customHeight="1" outlineLevel="2" x14ac:dyDescent="0.25">
      <c r="A667" s="632"/>
      <c r="B667" s="152" t="s">
        <v>364</v>
      </c>
      <c r="C667" s="152" t="s">
        <v>430</v>
      </c>
      <c r="D667" s="152" t="s">
        <v>431</v>
      </c>
      <c r="E667" s="153">
        <v>621054131</v>
      </c>
      <c r="F667" s="153">
        <v>433428000</v>
      </c>
      <c r="G667" s="152" t="s">
        <v>436</v>
      </c>
      <c r="I667" s="193"/>
    </row>
    <row r="668" spans="1:9" s="154" customFormat="1" ht="49.9" hidden="1" customHeight="1" outlineLevel="2" x14ac:dyDescent="0.25">
      <c r="A668" s="632"/>
      <c r="B668" s="152" t="s">
        <v>368</v>
      </c>
      <c r="C668" s="152" t="s">
        <v>432</v>
      </c>
      <c r="D668" s="152" t="s">
        <v>433</v>
      </c>
      <c r="E668" s="153">
        <v>403410000</v>
      </c>
      <c r="F668" s="153">
        <v>164519000</v>
      </c>
      <c r="G668" s="152" t="s">
        <v>436</v>
      </c>
      <c r="I668" s="193"/>
    </row>
    <row r="669" spans="1:9" s="154" customFormat="1" ht="49.9" hidden="1" customHeight="1" outlineLevel="2" x14ac:dyDescent="0.25">
      <c r="A669" s="632"/>
      <c r="B669" s="635" t="s">
        <v>372</v>
      </c>
      <c r="C669" s="635" t="s">
        <v>434</v>
      </c>
      <c r="D669" s="152" t="s">
        <v>435</v>
      </c>
      <c r="E669" s="153">
        <v>658814131</v>
      </c>
      <c r="F669" s="153">
        <v>472900000</v>
      </c>
      <c r="G669" s="152" t="s">
        <v>436</v>
      </c>
      <c r="I669" s="193"/>
    </row>
    <row r="670" spans="1:9" s="154" customFormat="1" ht="49.9" hidden="1" customHeight="1" outlineLevel="2" x14ac:dyDescent="0.25">
      <c r="A670" s="632"/>
      <c r="B670" s="636"/>
      <c r="C670" s="636"/>
      <c r="D670" s="152" t="s">
        <v>323</v>
      </c>
      <c r="E670" s="153">
        <v>450000000</v>
      </c>
      <c r="F670" s="153">
        <v>373112000</v>
      </c>
      <c r="G670" s="152" t="s">
        <v>436</v>
      </c>
      <c r="I670" s="193"/>
    </row>
    <row r="671" spans="1:9" s="154" customFormat="1" ht="49.9" hidden="1" customHeight="1" outlineLevel="2" x14ac:dyDescent="0.25">
      <c r="A671" s="585" t="s">
        <v>131</v>
      </c>
      <c r="B671" s="617" t="s">
        <v>357</v>
      </c>
      <c r="C671" s="617" t="s">
        <v>426</v>
      </c>
      <c r="D671" s="152" t="s">
        <v>317</v>
      </c>
      <c r="E671" s="153">
        <v>790545944</v>
      </c>
      <c r="F671" s="153">
        <v>458874846</v>
      </c>
      <c r="G671" s="152" t="s">
        <v>436</v>
      </c>
      <c r="I671" s="193"/>
    </row>
    <row r="672" spans="1:9" s="154" customFormat="1" ht="49.9" hidden="1" customHeight="1" outlineLevel="2" x14ac:dyDescent="0.25">
      <c r="A672" s="585"/>
      <c r="B672" s="617"/>
      <c r="C672" s="617"/>
      <c r="D672" s="152" t="s">
        <v>327</v>
      </c>
      <c r="E672" s="153">
        <v>816840322</v>
      </c>
      <c r="F672" s="153">
        <v>519098750</v>
      </c>
      <c r="G672" s="152" t="s">
        <v>436</v>
      </c>
      <c r="I672" s="193"/>
    </row>
    <row r="673" spans="1:9" s="154" customFormat="1" ht="49.9" hidden="1" customHeight="1" outlineLevel="2" x14ac:dyDescent="0.25">
      <c r="A673" s="585"/>
      <c r="B673" s="617"/>
      <c r="C673" s="617"/>
      <c r="D673" s="152" t="s">
        <v>429</v>
      </c>
      <c r="E673" s="153">
        <v>1399790000</v>
      </c>
      <c r="F673" s="153">
        <v>892349267</v>
      </c>
      <c r="G673" s="152" t="s">
        <v>436</v>
      </c>
      <c r="I673" s="193"/>
    </row>
    <row r="674" spans="1:9" s="154" customFormat="1" ht="49.9" hidden="1" customHeight="1" outlineLevel="2" x14ac:dyDescent="0.25">
      <c r="A674" s="585"/>
      <c r="B674" s="152" t="s">
        <v>364</v>
      </c>
      <c r="C674" s="152" t="s">
        <v>430</v>
      </c>
      <c r="D674" s="152" t="s">
        <v>431</v>
      </c>
      <c r="E674" s="153">
        <v>556054131</v>
      </c>
      <c r="F674" s="153">
        <v>433428000</v>
      </c>
      <c r="G674" s="152" t="s">
        <v>436</v>
      </c>
      <c r="I674" s="193"/>
    </row>
    <row r="675" spans="1:9" s="154" customFormat="1" ht="49.9" hidden="1" customHeight="1" outlineLevel="2" x14ac:dyDescent="0.25">
      <c r="A675" s="585"/>
      <c r="B675" s="152" t="s">
        <v>368</v>
      </c>
      <c r="C675" s="152" t="s">
        <v>432</v>
      </c>
      <c r="D675" s="152" t="s">
        <v>433</v>
      </c>
      <c r="E675" s="153">
        <v>263410000</v>
      </c>
      <c r="F675" s="153">
        <v>164519000</v>
      </c>
      <c r="G675" s="152" t="s">
        <v>436</v>
      </c>
      <c r="I675" s="193"/>
    </row>
    <row r="676" spans="1:9" s="154" customFormat="1" ht="49.9" hidden="1" customHeight="1" outlineLevel="2" x14ac:dyDescent="0.25">
      <c r="A676" s="585"/>
      <c r="B676" s="617" t="s">
        <v>372</v>
      </c>
      <c r="C676" s="617" t="s">
        <v>434</v>
      </c>
      <c r="D676" s="152" t="s">
        <v>435</v>
      </c>
      <c r="E676" s="153">
        <v>658814131</v>
      </c>
      <c r="F676" s="153">
        <v>516280000</v>
      </c>
      <c r="G676" s="152" t="s">
        <v>436</v>
      </c>
      <c r="I676" s="193"/>
    </row>
    <row r="677" spans="1:9" s="154" customFormat="1" ht="49.9" hidden="1" customHeight="1" outlineLevel="2" x14ac:dyDescent="0.25">
      <c r="A677" s="585"/>
      <c r="B677" s="617"/>
      <c r="C677" s="617"/>
      <c r="D677" s="152" t="s">
        <v>323</v>
      </c>
      <c r="E677" s="153">
        <v>450000000</v>
      </c>
      <c r="F677" s="153">
        <v>373112000</v>
      </c>
      <c r="G677" s="152" t="s">
        <v>436</v>
      </c>
      <c r="I677" s="193"/>
    </row>
    <row r="678" spans="1:9" s="154" customFormat="1" ht="49.9" hidden="1" customHeight="1" outlineLevel="2" x14ac:dyDescent="0.25">
      <c r="A678" s="585" t="s">
        <v>132</v>
      </c>
      <c r="B678" s="617" t="s">
        <v>357</v>
      </c>
      <c r="C678" s="617" t="s">
        <v>426</v>
      </c>
      <c r="D678" s="152" t="s">
        <v>317</v>
      </c>
      <c r="E678" s="153">
        <v>780545944</v>
      </c>
      <c r="F678" s="153">
        <v>488375819</v>
      </c>
      <c r="G678" s="152" t="s">
        <v>436</v>
      </c>
      <c r="I678" s="193"/>
    </row>
    <row r="679" spans="1:9" s="154" customFormat="1" ht="49.9" hidden="1" customHeight="1" outlineLevel="2" x14ac:dyDescent="0.25">
      <c r="A679" s="585"/>
      <c r="B679" s="617"/>
      <c r="C679" s="617"/>
      <c r="D679" s="152" t="s">
        <v>327</v>
      </c>
      <c r="E679" s="153">
        <v>826840322</v>
      </c>
      <c r="F679" s="153">
        <v>542938322</v>
      </c>
      <c r="G679" s="152" t="s">
        <v>436</v>
      </c>
      <c r="I679" s="193"/>
    </row>
    <row r="680" spans="1:9" s="154" customFormat="1" ht="49.9" hidden="1" customHeight="1" outlineLevel="2" x14ac:dyDescent="0.25">
      <c r="A680" s="585"/>
      <c r="B680" s="617"/>
      <c r="C680" s="617"/>
      <c r="D680" s="152" t="s">
        <v>429</v>
      </c>
      <c r="E680" s="153">
        <v>1399790000</v>
      </c>
      <c r="F680" s="153">
        <v>905631416</v>
      </c>
      <c r="G680" s="152" t="s">
        <v>436</v>
      </c>
      <c r="I680" s="193"/>
    </row>
    <row r="681" spans="1:9" s="154" customFormat="1" ht="49.9" hidden="1" customHeight="1" outlineLevel="2" x14ac:dyDescent="0.25">
      <c r="A681" s="585"/>
      <c r="B681" s="152" t="s">
        <v>364</v>
      </c>
      <c r="C681" s="152" t="s">
        <v>430</v>
      </c>
      <c r="D681" s="152" t="s">
        <v>431</v>
      </c>
      <c r="E681" s="153">
        <v>556054131</v>
      </c>
      <c r="F681" s="153">
        <v>437787131</v>
      </c>
      <c r="G681" s="152" t="s">
        <v>436</v>
      </c>
      <c r="I681" s="193"/>
    </row>
    <row r="682" spans="1:9" s="154" customFormat="1" ht="49.9" hidden="1" customHeight="1" outlineLevel="2" x14ac:dyDescent="0.25">
      <c r="A682" s="585"/>
      <c r="B682" s="152" t="s">
        <v>368</v>
      </c>
      <c r="C682" s="152" t="s">
        <v>432</v>
      </c>
      <c r="D682" s="152" t="s">
        <v>433</v>
      </c>
      <c r="E682" s="153">
        <v>263410000</v>
      </c>
      <c r="F682" s="153">
        <v>191691000</v>
      </c>
      <c r="G682" s="152" t="s">
        <v>436</v>
      </c>
      <c r="I682" s="193"/>
    </row>
    <row r="683" spans="1:9" s="154" customFormat="1" ht="49.9" hidden="1" customHeight="1" outlineLevel="2" x14ac:dyDescent="0.25">
      <c r="A683" s="585"/>
      <c r="B683" s="617" t="s">
        <v>372</v>
      </c>
      <c r="C683" s="617" t="s">
        <v>434</v>
      </c>
      <c r="D683" s="152" t="s">
        <v>435</v>
      </c>
      <c r="E683" s="153">
        <v>658814131</v>
      </c>
      <c r="F683" s="153">
        <v>545531000</v>
      </c>
      <c r="G683" s="152" t="s">
        <v>436</v>
      </c>
      <c r="I683" s="193"/>
    </row>
    <row r="684" spans="1:9" s="154" customFormat="1" ht="49.9" hidden="1" customHeight="1" outlineLevel="2" x14ac:dyDescent="0.25">
      <c r="A684" s="585"/>
      <c r="B684" s="617"/>
      <c r="C684" s="617"/>
      <c r="D684" s="152" t="s">
        <v>323</v>
      </c>
      <c r="E684" s="153">
        <v>450000000</v>
      </c>
      <c r="F684" s="153">
        <v>377292000</v>
      </c>
      <c r="G684" s="152" t="s">
        <v>436</v>
      </c>
      <c r="I684" s="193"/>
    </row>
    <row r="685" spans="1:9" s="154" customFormat="1" ht="55.15" hidden="1" customHeight="1" outlineLevel="2" x14ac:dyDescent="0.25">
      <c r="A685" s="633" t="s">
        <v>133</v>
      </c>
      <c r="B685" s="617" t="s">
        <v>357</v>
      </c>
      <c r="C685" s="617" t="s">
        <v>426</v>
      </c>
      <c r="D685" s="152" t="s">
        <v>317</v>
      </c>
      <c r="E685" s="153">
        <v>780545944</v>
      </c>
      <c r="F685" s="153">
        <v>731213017</v>
      </c>
      <c r="G685" s="152" t="s">
        <v>436</v>
      </c>
      <c r="I685" s="193"/>
    </row>
    <row r="686" spans="1:9" s="154" customFormat="1" ht="55.15" hidden="1" customHeight="1" outlineLevel="2" x14ac:dyDescent="0.25">
      <c r="A686" s="632"/>
      <c r="B686" s="617"/>
      <c r="C686" s="617"/>
      <c r="D686" s="152" t="s">
        <v>327</v>
      </c>
      <c r="E686" s="153">
        <v>826840322</v>
      </c>
      <c r="F686" s="153">
        <v>670473105</v>
      </c>
      <c r="G686" s="152" t="s">
        <v>436</v>
      </c>
      <c r="I686" s="193"/>
    </row>
    <row r="687" spans="1:9" s="154" customFormat="1" ht="55.15" hidden="1" customHeight="1" outlineLevel="2" x14ac:dyDescent="0.25">
      <c r="A687" s="632"/>
      <c r="B687" s="617"/>
      <c r="C687" s="617"/>
      <c r="D687" s="152" t="s">
        <v>429</v>
      </c>
      <c r="E687" s="153">
        <v>1399790000</v>
      </c>
      <c r="F687" s="153">
        <v>1326141063</v>
      </c>
      <c r="G687" s="152" t="s">
        <v>436</v>
      </c>
      <c r="I687" s="193"/>
    </row>
    <row r="688" spans="1:9" s="154" customFormat="1" ht="55.15" hidden="1" customHeight="1" outlineLevel="2" x14ac:dyDescent="0.25">
      <c r="A688" s="632"/>
      <c r="B688" s="152" t="s">
        <v>364</v>
      </c>
      <c r="C688" s="152" t="s">
        <v>430</v>
      </c>
      <c r="D688" s="152" t="s">
        <v>431</v>
      </c>
      <c r="E688" s="153">
        <v>556054131</v>
      </c>
      <c r="F688" s="153">
        <v>535986131</v>
      </c>
      <c r="G688" s="152" t="s">
        <v>436</v>
      </c>
      <c r="I688" s="193"/>
    </row>
    <row r="689" spans="1:9" s="154" customFormat="1" ht="55.15" hidden="1" customHeight="1" outlineLevel="2" x14ac:dyDescent="0.25">
      <c r="A689" s="632"/>
      <c r="B689" s="152" t="s">
        <v>368</v>
      </c>
      <c r="C689" s="152" t="s">
        <v>432</v>
      </c>
      <c r="D689" s="152" t="s">
        <v>433</v>
      </c>
      <c r="E689" s="153">
        <v>263410000</v>
      </c>
      <c r="F689" s="153">
        <v>232617000</v>
      </c>
      <c r="G689" s="152" t="s">
        <v>436</v>
      </c>
      <c r="I689" s="193"/>
    </row>
    <row r="690" spans="1:9" s="154" customFormat="1" ht="55.15" hidden="1" customHeight="1" outlineLevel="2" x14ac:dyDescent="0.25">
      <c r="A690" s="632"/>
      <c r="B690" s="617" t="s">
        <v>372</v>
      </c>
      <c r="C690" s="617" t="s">
        <v>434</v>
      </c>
      <c r="D690" s="152" t="s">
        <v>435</v>
      </c>
      <c r="E690" s="153">
        <v>658814131</v>
      </c>
      <c r="F690" s="153">
        <v>644978000</v>
      </c>
      <c r="G690" s="152" t="s">
        <v>436</v>
      </c>
      <c r="I690" s="193"/>
    </row>
    <row r="691" spans="1:9" s="154" customFormat="1" ht="55.15" hidden="1" customHeight="1" outlineLevel="2" x14ac:dyDescent="0.25">
      <c r="A691" s="597"/>
      <c r="B691" s="617"/>
      <c r="C691" s="617"/>
      <c r="D691" s="152" t="s">
        <v>323</v>
      </c>
      <c r="E691" s="153">
        <v>450000000</v>
      </c>
      <c r="F691" s="153">
        <v>447516000</v>
      </c>
      <c r="G691" s="152" t="s">
        <v>436</v>
      </c>
      <c r="I691" s="193"/>
    </row>
    <row r="692" spans="1:9" collapsed="1" x14ac:dyDescent="0.25"/>
    <row r="693" spans="1:9" ht="20.25" x14ac:dyDescent="0.3">
      <c r="A693" s="627" t="s">
        <v>172</v>
      </c>
      <c r="B693" s="628"/>
      <c r="C693" s="628"/>
      <c r="D693" s="628"/>
      <c r="E693" s="628"/>
      <c r="F693" s="628"/>
      <c r="G693" s="629"/>
    </row>
    <row r="694" spans="1:9" ht="38.25" x14ac:dyDescent="0.25">
      <c r="A694" s="150" t="s">
        <v>49</v>
      </c>
      <c r="B694" s="39" t="s">
        <v>145</v>
      </c>
      <c r="C694" s="39" t="s">
        <v>146</v>
      </c>
      <c r="D694" s="39" t="s">
        <v>168</v>
      </c>
      <c r="E694" s="39" t="s">
        <v>173</v>
      </c>
      <c r="F694" s="39" t="s">
        <v>174</v>
      </c>
      <c r="G694" s="39" t="s">
        <v>171</v>
      </c>
    </row>
    <row r="695" spans="1:9" ht="49.9" hidden="1" customHeight="1" outlineLevel="1" x14ac:dyDescent="0.25">
      <c r="A695" s="618" t="s">
        <v>135</v>
      </c>
      <c r="B695" s="617" t="s">
        <v>357</v>
      </c>
      <c r="C695" s="617" t="s">
        <v>426</v>
      </c>
      <c r="D695" s="152" t="s">
        <v>317</v>
      </c>
      <c r="E695" s="153">
        <v>1564678000</v>
      </c>
      <c r="F695" s="153">
        <v>0</v>
      </c>
      <c r="G695" s="152" t="s">
        <v>436</v>
      </c>
    </row>
    <row r="696" spans="1:9" ht="49.9" hidden="1" customHeight="1" outlineLevel="1" x14ac:dyDescent="0.25">
      <c r="A696" s="619"/>
      <c r="B696" s="617"/>
      <c r="C696" s="617"/>
      <c r="D696" s="152" t="s">
        <v>327</v>
      </c>
      <c r="E696" s="153">
        <v>1374057000</v>
      </c>
      <c r="F696" s="153">
        <v>0</v>
      </c>
      <c r="G696" s="152" t="s">
        <v>436</v>
      </c>
    </row>
    <row r="697" spans="1:9" ht="49.9" hidden="1" customHeight="1" outlineLevel="1" x14ac:dyDescent="0.25">
      <c r="A697" s="619"/>
      <c r="B697" s="617"/>
      <c r="C697" s="617"/>
      <c r="D697" s="152" t="s">
        <v>429</v>
      </c>
      <c r="E697" s="153">
        <v>2973776000</v>
      </c>
      <c r="F697" s="153">
        <v>0</v>
      </c>
      <c r="G697" s="152" t="s">
        <v>436</v>
      </c>
    </row>
    <row r="698" spans="1:9" ht="49.9" hidden="1" customHeight="1" outlineLevel="1" x14ac:dyDescent="0.25">
      <c r="A698" s="619"/>
      <c r="B698" s="152" t="s">
        <v>364</v>
      </c>
      <c r="C698" s="152" t="s">
        <v>430</v>
      </c>
      <c r="D698" s="152" t="s">
        <v>431</v>
      </c>
      <c r="E698" s="153">
        <v>1480481000</v>
      </c>
      <c r="F698" s="153">
        <v>0</v>
      </c>
      <c r="G698" s="152" t="s">
        <v>436</v>
      </c>
    </row>
    <row r="699" spans="1:9" ht="49.9" hidden="1" customHeight="1" outlineLevel="1" x14ac:dyDescent="0.25">
      <c r="A699" s="619"/>
      <c r="B699" s="152" t="s">
        <v>368</v>
      </c>
      <c r="C699" s="152" t="s">
        <v>432</v>
      </c>
      <c r="D699" s="152" t="s">
        <v>433</v>
      </c>
      <c r="E699" s="153">
        <v>689070000</v>
      </c>
      <c r="F699" s="153">
        <v>0</v>
      </c>
      <c r="G699" s="152" t="s">
        <v>436</v>
      </c>
    </row>
    <row r="700" spans="1:9" ht="49.9" hidden="1" customHeight="1" outlineLevel="1" x14ac:dyDescent="0.25">
      <c r="A700" s="619"/>
      <c r="B700" s="617" t="s">
        <v>372</v>
      </c>
      <c r="C700" s="617" t="s">
        <v>434</v>
      </c>
      <c r="D700" s="152" t="s">
        <v>435</v>
      </c>
      <c r="E700" s="153">
        <v>1294148000</v>
      </c>
      <c r="F700" s="153">
        <v>0</v>
      </c>
      <c r="G700" s="152" t="s">
        <v>436</v>
      </c>
    </row>
    <row r="701" spans="1:9" ht="49.9" hidden="1" customHeight="1" outlineLevel="1" x14ac:dyDescent="0.25">
      <c r="A701" s="620"/>
      <c r="B701" s="617"/>
      <c r="C701" s="617"/>
      <c r="D701" s="152" t="s">
        <v>323</v>
      </c>
      <c r="E701" s="153">
        <v>691670000</v>
      </c>
      <c r="F701" s="153">
        <v>0</v>
      </c>
      <c r="G701" s="152" t="s">
        <v>436</v>
      </c>
    </row>
    <row r="702" spans="1:9" ht="49.9" hidden="1" customHeight="1" outlineLevel="1" x14ac:dyDescent="0.25">
      <c r="A702" s="618" t="s">
        <v>136</v>
      </c>
      <c r="B702" s="617" t="s">
        <v>357</v>
      </c>
      <c r="C702" s="617" t="s">
        <v>426</v>
      </c>
      <c r="D702" s="152" t="s">
        <v>317</v>
      </c>
      <c r="E702" s="153">
        <v>1564678000</v>
      </c>
      <c r="F702" s="153">
        <v>188232000</v>
      </c>
      <c r="G702" s="152" t="s">
        <v>436</v>
      </c>
    </row>
    <row r="703" spans="1:9" ht="49.9" hidden="1" customHeight="1" outlineLevel="1" x14ac:dyDescent="0.25">
      <c r="A703" s="619"/>
      <c r="B703" s="617"/>
      <c r="C703" s="617"/>
      <c r="D703" s="152" t="s">
        <v>327</v>
      </c>
      <c r="E703" s="153">
        <v>1374057000</v>
      </c>
      <c r="F703" s="153">
        <v>582050000</v>
      </c>
      <c r="G703" s="152" t="s">
        <v>436</v>
      </c>
    </row>
    <row r="704" spans="1:9" ht="49.9" hidden="1" customHeight="1" outlineLevel="1" x14ac:dyDescent="0.25">
      <c r="A704" s="619"/>
      <c r="B704" s="617"/>
      <c r="C704" s="617"/>
      <c r="D704" s="152" t="s">
        <v>429</v>
      </c>
      <c r="E704" s="153">
        <v>2973776000</v>
      </c>
      <c r="F704" s="153">
        <v>408790000</v>
      </c>
      <c r="G704" s="152" t="s">
        <v>436</v>
      </c>
    </row>
    <row r="705" spans="1:7" ht="49.9" hidden="1" customHeight="1" outlineLevel="1" x14ac:dyDescent="0.25">
      <c r="A705" s="619"/>
      <c r="B705" s="152" t="s">
        <v>364</v>
      </c>
      <c r="C705" s="152" t="s">
        <v>430</v>
      </c>
      <c r="D705" s="152" t="s">
        <v>431</v>
      </c>
      <c r="E705" s="153">
        <v>1480481000</v>
      </c>
      <c r="F705" s="153">
        <v>740287000</v>
      </c>
      <c r="G705" s="152" t="s">
        <v>436</v>
      </c>
    </row>
    <row r="706" spans="1:7" ht="49.9" hidden="1" customHeight="1" outlineLevel="1" x14ac:dyDescent="0.25">
      <c r="A706" s="619"/>
      <c r="B706" s="152" t="s">
        <v>368</v>
      </c>
      <c r="C706" s="152" t="s">
        <v>432</v>
      </c>
      <c r="D706" s="152" t="s">
        <v>433</v>
      </c>
      <c r="E706" s="153">
        <v>689070000</v>
      </c>
      <c r="F706" s="153">
        <v>34584000</v>
      </c>
      <c r="G706" s="152" t="s">
        <v>436</v>
      </c>
    </row>
    <row r="707" spans="1:7" ht="49.9" hidden="1" customHeight="1" outlineLevel="1" x14ac:dyDescent="0.25">
      <c r="A707" s="619"/>
      <c r="B707" s="617" t="s">
        <v>372</v>
      </c>
      <c r="C707" s="617" t="s">
        <v>434</v>
      </c>
      <c r="D707" s="152" t="s">
        <v>435</v>
      </c>
      <c r="E707" s="153">
        <v>1294148000</v>
      </c>
      <c r="F707" s="153">
        <v>385283000</v>
      </c>
      <c r="G707" s="152" t="s">
        <v>436</v>
      </c>
    </row>
    <row r="708" spans="1:7" ht="49.9" hidden="1" customHeight="1" outlineLevel="1" x14ac:dyDescent="0.25">
      <c r="A708" s="620"/>
      <c r="B708" s="617"/>
      <c r="C708" s="617"/>
      <c r="D708" s="152" t="s">
        <v>323</v>
      </c>
      <c r="E708" s="153">
        <v>691670000</v>
      </c>
      <c r="F708" s="153">
        <v>326043000</v>
      </c>
      <c r="G708" s="152" t="s">
        <v>436</v>
      </c>
    </row>
    <row r="709" spans="1:7" ht="49.9" hidden="1" customHeight="1" outlineLevel="1" x14ac:dyDescent="0.25">
      <c r="A709" s="618" t="s">
        <v>137</v>
      </c>
      <c r="B709" s="617" t="s">
        <v>357</v>
      </c>
      <c r="C709" s="617" t="s">
        <v>426</v>
      </c>
      <c r="D709" s="152" t="s">
        <v>317</v>
      </c>
      <c r="E709" s="153">
        <v>1564678000</v>
      </c>
      <c r="F709" s="153">
        <v>537224000</v>
      </c>
      <c r="G709" s="152" t="s">
        <v>436</v>
      </c>
    </row>
    <row r="710" spans="1:7" ht="49.9" hidden="1" customHeight="1" outlineLevel="1" x14ac:dyDescent="0.25">
      <c r="A710" s="619"/>
      <c r="B710" s="617"/>
      <c r="C710" s="617"/>
      <c r="D710" s="152" t="s">
        <v>327</v>
      </c>
      <c r="E710" s="153">
        <v>1374057000</v>
      </c>
      <c r="F710" s="153">
        <v>1121617000</v>
      </c>
      <c r="G710" s="152" t="s">
        <v>436</v>
      </c>
    </row>
    <row r="711" spans="1:7" ht="49.9" hidden="1" customHeight="1" outlineLevel="1" x14ac:dyDescent="0.25">
      <c r="A711" s="619"/>
      <c r="B711" s="617"/>
      <c r="C711" s="617"/>
      <c r="D711" s="152" t="s">
        <v>429</v>
      </c>
      <c r="E711" s="153">
        <v>2973776000</v>
      </c>
      <c r="F711" s="153">
        <v>1793944150</v>
      </c>
      <c r="G711" s="152" t="s">
        <v>436</v>
      </c>
    </row>
    <row r="712" spans="1:7" ht="49.9" hidden="1" customHeight="1" outlineLevel="1" x14ac:dyDescent="0.25">
      <c r="A712" s="619"/>
      <c r="B712" s="152" t="s">
        <v>364</v>
      </c>
      <c r="C712" s="152" t="s">
        <v>430</v>
      </c>
      <c r="D712" s="152" t="s">
        <v>431</v>
      </c>
      <c r="E712" s="153">
        <v>1480481000</v>
      </c>
      <c r="F712" s="153">
        <v>1001575000</v>
      </c>
      <c r="G712" s="152" t="s">
        <v>436</v>
      </c>
    </row>
    <row r="713" spans="1:7" ht="49.9" hidden="1" customHeight="1" outlineLevel="1" x14ac:dyDescent="0.25">
      <c r="A713" s="619"/>
      <c r="B713" s="152" t="s">
        <v>368</v>
      </c>
      <c r="C713" s="152" t="s">
        <v>432</v>
      </c>
      <c r="D713" s="152" t="s">
        <v>433</v>
      </c>
      <c r="E713" s="153">
        <v>689070000</v>
      </c>
      <c r="F713" s="153">
        <v>343006000</v>
      </c>
      <c r="G713" s="152" t="s">
        <v>436</v>
      </c>
    </row>
    <row r="714" spans="1:7" ht="49.9" hidden="1" customHeight="1" outlineLevel="1" x14ac:dyDescent="0.25">
      <c r="A714" s="619"/>
      <c r="B714" s="617" t="s">
        <v>372</v>
      </c>
      <c r="C714" s="617" t="s">
        <v>434</v>
      </c>
      <c r="D714" s="152" t="s">
        <v>435</v>
      </c>
      <c r="E714" s="153">
        <v>1294148000</v>
      </c>
      <c r="F714" s="153">
        <v>1137979000</v>
      </c>
      <c r="G714" s="152" t="s">
        <v>436</v>
      </c>
    </row>
    <row r="715" spans="1:7" ht="49.9" hidden="1" customHeight="1" outlineLevel="1" x14ac:dyDescent="0.25">
      <c r="A715" s="620"/>
      <c r="B715" s="617"/>
      <c r="C715" s="617"/>
      <c r="D715" s="152" t="s">
        <v>323</v>
      </c>
      <c r="E715" s="153">
        <v>691670000</v>
      </c>
      <c r="F715" s="153">
        <v>415638000</v>
      </c>
      <c r="G715" s="152" t="s">
        <v>436</v>
      </c>
    </row>
    <row r="716" spans="1:7" ht="49.9" hidden="1" customHeight="1" outlineLevel="1" x14ac:dyDescent="0.25">
      <c r="A716" s="618" t="s">
        <v>138</v>
      </c>
      <c r="B716" s="617" t="s">
        <v>357</v>
      </c>
      <c r="C716" s="617" t="s">
        <v>426</v>
      </c>
      <c r="D716" s="152" t="s">
        <v>317</v>
      </c>
      <c r="E716" s="153">
        <v>837335614</v>
      </c>
      <c r="F716" s="153">
        <v>664703857</v>
      </c>
      <c r="G716" s="152" t="s">
        <v>436</v>
      </c>
    </row>
    <row r="717" spans="1:7" ht="49.9" hidden="1" customHeight="1" outlineLevel="1" x14ac:dyDescent="0.25">
      <c r="A717" s="619"/>
      <c r="B717" s="617"/>
      <c r="C717" s="617"/>
      <c r="D717" s="152" t="s">
        <v>327</v>
      </c>
      <c r="E717" s="153">
        <v>1262994000</v>
      </c>
      <c r="F717" s="153">
        <v>1215729000</v>
      </c>
      <c r="G717" s="152" t="s">
        <v>436</v>
      </c>
    </row>
    <row r="718" spans="1:7" ht="49.9" hidden="1" customHeight="1" outlineLevel="1" x14ac:dyDescent="0.25">
      <c r="A718" s="619"/>
      <c r="B718" s="617"/>
      <c r="C718" s="617"/>
      <c r="D718" s="152" t="s">
        <v>429</v>
      </c>
      <c r="E718" s="153">
        <v>2636043000</v>
      </c>
      <c r="F718" s="153">
        <v>1942784150</v>
      </c>
      <c r="G718" s="152" t="s">
        <v>436</v>
      </c>
    </row>
    <row r="719" spans="1:7" ht="49.9" hidden="1" customHeight="1" outlineLevel="1" x14ac:dyDescent="0.25">
      <c r="A719" s="619"/>
      <c r="B719" s="152" t="s">
        <v>364</v>
      </c>
      <c r="C719" s="152" t="s">
        <v>430</v>
      </c>
      <c r="D719" s="152" t="s">
        <v>431</v>
      </c>
      <c r="E719" s="153">
        <v>1453575000</v>
      </c>
      <c r="F719" s="153">
        <v>1001575000</v>
      </c>
      <c r="G719" s="152" t="s">
        <v>436</v>
      </c>
    </row>
    <row r="720" spans="1:7" ht="49.9" hidden="1" customHeight="1" outlineLevel="1" x14ac:dyDescent="0.25">
      <c r="A720" s="619"/>
      <c r="B720" s="152" t="s">
        <v>368</v>
      </c>
      <c r="C720" s="152" t="s">
        <v>432</v>
      </c>
      <c r="D720" s="152" t="s">
        <v>433</v>
      </c>
      <c r="E720" s="153">
        <v>483246000</v>
      </c>
      <c r="F720" s="153">
        <v>344744634</v>
      </c>
      <c r="G720" s="152" t="s">
        <v>436</v>
      </c>
    </row>
    <row r="721" spans="1:7" ht="49.9" hidden="1" customHeight="1" outlineLevel="1" x14ac:dyDescent="0.25">
      <c r="A721" s="619"/>
      <c r="B721" s="617" t="s">
        <v>372</v>
      </c>
      <c r="C721" s="617" t="s">
        <v>434</v>
      </c>
      <c r="D721" s="152" t="s">
        <v>435</v>
      </c>
      <c r="E721" s="153">
        <v>1294148000</v>
      </c>
      <c r="F721" s="153">
        <v>1137979000</v>
      </c>
      <c r="G721" s="152" t="s">
        <v>436</v>
      </c>
    </row>
    <row r="722" spans="1:7" ht="49.9" hidden="1" customHeight="1" outlineLevel="1" x14ac:dyDescent="0.25">
      <c r="A722" s="620"/>
      <c r="B722" s="617"/>
      <c r="C722" s="617"/>
      <c r="D722" s="152" t="s">
        <v>323</v>
      </c>
      <c r="E722" s="153">
        <v>528678000</v>
      </c>
      <c r="F722" s="153">
        <v>516118000</v>
      </c>
      <c r="G722" s="152" t="s">
        <v>436</v>
      </c>
    </row>
    <row r="723" spans="1:7" ht="49.9" hidden="1" customHeight="1" outlineLevel="1" x14ac:dyDescent="0.25">
      <c r="A723" s="618" t="s">
        <v>139</v>
      </c>
      <c r="B723" s="617" t="s">
        <v>357</v>
      </c>
      <c r="C723" s="617" t="s">
        <v>426</v>
      </c>
      <c r="D723" s="152" t="s">
        <v>317</v>
      </c>
      <c r="E723" s="153">
        <v>837335614</v>
      </c>
      <c r="F723" s="153">
        <v>664703857</v>
      </c>
      <c r="G723" s="152" t="s">
        <v>436</v>
      </c>
    </row>
    <row r="724" spans="1:7" ht="49.9" hidden="1" customHeight="1" outlineLevel="1" x14ac:dyDescent="0.25">
      <c r="A724" s="619"/>
      <c r="B724" s="617"/>
      <c r="C724" s="617"/>
      <c r="D724" s="152" t="s">
        <v>327</v>
      </c>
      <c r="E724" s="153">
        <v>1262994000</v>
      </c>
      <c r="F724" s="153">
        <v>1215729000</v>
      </c>
      <c r="G724" s="152" t="s">
        <v>436</v>
      </c>
    </row>
    <row r="725" spans="1:7" ht="49.9" hidden="1" customHeight="1" outlineLevel="1" x14ac:dyDescent="0.25">
      <c r="A725" s="619"/>
      <c r="B725" s="617"/>
      <c r="C725" s="617"/>
      <c r="D725" s="152" t="s">
        <v>429</v>
      </c>
      <c r="E725" s="153">
        <v>2636043000</v>
      </c>
      <c r="F725" s="153">
        <v>1947784150</v>
      </c>
      <c r="G725" s="152" t="s">
        <v>436</v>
      </c>
    </row>
    <row r="726" spans="1:7" ht="49.9" hidden="1" customHeight="1" outlineLevel="1" x14ac:dyDescent="0.25">
      <c r="A726" s="619"/>
      <c r="B726" s="152" t="s">
        <v>364</v>
      </c>
      <c r="C726" s="152" t="s">
        <v>430</v>
      </c>
      <c r="D726" s="152" t="s">
        <v>431</v>
      </c>
      <c r="E726" s="153">
        <v>1453575000</v>
      </c>
      <c r="F726" s="153">
        <v>1001575000</v>
      </c>
      <c r="G726" s="152" t="s">
        <v>436</v>
      </c>
    </row>
    <row r="727" spans="1:7" ht="49.9" hidden="1" customHeight="1" outlineLevel="1" x14ac:dyDescent="0.25">
      <c r="A727" s="619"/>
      <c r="B727" s="152" t="s">
        <v>368</v>
      </c>
      <c r="C727" s="152" t="s">
        <v>432</v>
      </c>
      <c r="D727" s="152" t="s">
        <v>433</v>
      </c>
      <c r="E727" s="153">
        <v>483246000</v>
      </c>
      <c r="F727" s="153">
        <v>353986578</v>
      </c>
      <c r="G727" s="152" t="s">
        <v>436</v>
      </c>
    </row>
    <row r="728" spans="1:7" ht="49.9" hidden="1" customHeight="1" outlineLevel="1" x14ac:dyDescent="0.25">
      <c r="A728" s="619"/>
      <c r="B728" s="617" t="s">
        <v>372</v>
      </c>
      <c r="C728" s="617" t="s">
        <v>434</v>
      </c>
      <c r="D728" s="152" t="s">
        <v>435</v>
      </c>
      <c r="E728" s="153">
        <v>1294148000</v>
      </c>
      <c r="F728" s="153">
        <v>1162045000</v>
      </c>
      <c r="G728" s="152" t="s">
        <v>436</v>
      </c>
    </row>
    <row r="729" spans="1:7" ht="49.9" hidden="1" customHeight="1" outlineLevel="1" x14ac:dyDescent="0.25">
      <c r="A729" s="620"/>
      <c r="B729" s="617"/>
      <c r="C729" s="617"/>
      <c r="D729" s="152" t="s">
        <v>323</v>
      </c>
      <c r="E729" s="153">
        <v>528678000</v>
      </c>
      <c r="F729" s="153">
        <v>516118000</v>
      </c>
      <c r="G729" s="152" t="s">
        <v>436</v>
      </c>
    </row>
    <row r="730" spans="1:7" ht="49.9" hidden="1" customHeight="1" outlineLevel="1" x14ac:dyDescent="0.25">
      <c r="A730" s="618" t="s">
        <v>140</v>
      </c>
      <c r="B730" s="617" t="s">
        <v>357</v>
      </c>
      <c r="C730" s="617" t="s">
        <v>426</v>
      </c>
      <c r="D730" s="152" t="s">
        <v>317</v>
      </c>
      <c r="E730" s="153">
        <v>837335614</v>
      </c>
      <c r="F730" s="153">
        <v>871181753</v>
      </c>
      <c r="G730" s="152" t="s">
        <v>436</v>
      </c>
    </row>
    <row r="731" spans="1:7" ht="49.9" hidden="1" customHeight="1" outlineLevel="1" x14ac:dyDescent="0.25">
      <c r="A731" s="619"/>
      <c r="B731" s="617"/>
      <c r="C731" s="617"/>
      <c r="D731" s="152" t="s">
        <v>327</v>
      </c>
      <c r="E731" s="153">
        <v>1262994000</v>
      </c>
      <c r="F731" s="153">
        <v>1215729000</v>
      </c>
      <c r="G731" s="152" t="s">
        <v>436</v>
      </c>
    </row>
    <row r="732" spans="1:7" ht="49.9" hidden="1" customHeight="1" outlineLevel="1" x14ac:dyDescent="0.25">
      <c r="A732" s="619"/>
      <c r="B732" s="617"/>
      <c r="C732" s="617"/>
      <c r="D732" s="152" t="s">
        <v>429</v>
      </c>
      <c r="E732" s="153">
        <v>2636043000</v>
      </c>
      <c r="F732" s="153">
        <v>2192515714</v>
      </c>
      <c r="G732" s="152" t="s">
        <v>436</v>
      </c>
    </row>
    <row r="733" spans="1:7" ht="49.9" hidden="1" customHeight="1" outlineLevel="1" x14ac:dyDescent="0.25">
      <c r="A733" s="619"/>
      <c r="B733" s="152" t="s">
        <v>364</v>
      </c>
      <c r="C733" s="152" t="s">
        <v>430</v>
      </c>
      <c r="D733" s="152" t="s">
        <v>431</v>
      </c>
      <c r="E733" s="153">
        <v>1453575000</v>
      </c>
      <c r="F733" s="153">
        <v>1151575000</v>
      </c>
      <c r="G733" s="152" t="s">
        <v>436</v>
      </c>
    </row>
    <row r="734" spans="1:7" ht="49.9" hidden="1" customHeight="1" outlineLevel="1" x14ac:dyDescent="0.25">
      <c r="A734" s="619"/>
      <c r="B734" s="152" t="s">
        <v>368</v>
      </c>
      <c r="C734" s="152" t="s">
        <v>432</v>
      </c>
      <c r="D734" s="152" t="s">
        <v>433</v>
      </c>
      <c r="E734" s="153">
        <v>483246000</v>
      </c>
      <c r="F734" s="153">
        <v>455766292</v>
      </c>
      <c r="G734" s="152" t="s">
        <v>436</v>
      </c>
    </row>
    <row r="735" spans="1:7" ht="49.9" hidden="1" customHeight="1" outlineLevel="1" x14ac:dyDescent="0.25">
      <c r="A735" s="619"/>
      <c r="B735" s="617" t="s">
        <v>372</v>
      </c>
      <c r="C735" s="617" t="s">
        <v>434</v>
      </c>
      <c r="D735" s="152" t="s">
        <v>435</v>
      </c>
      <c r="E735" s="153">
        <v>1294148000</v>
      </c>
      <c r="F735" s="153">
        <v>1162045000</v>
      </c>
      <c r="G735" s="152" t="s">
        <v>436</v>
      </c>
    </row>
    <row r="736" spans="1:7" ht="49.9" hidden="1" customHeight="1" outlineLevel="1" x14ac:dyDescent="0.25">
      <c r="A736" s="620"/>
      <c r="B736" s="617"/>
      <c r="C736" s="617"/>
      <c r="D736" s="152" t="s">
        <v>323</v>
      </c>
      <c r="E736" s="153">
        <v>528678000</v>
      </c>
      <c r="F736" s="153">
        <v>516118000</v>
      </c>
      <c r="G736" s="152" t="s">
        <v>436</v>
      </c>
    </row>
    <row r="737" spans="1:7" ht="49.9" hidden="1" customHeight="1" outlineLevel="1" x14ac:dyDescent="0.25">
      <c r="A737" s="618" t="s">
        <v>128</v>
      </c>
      <c r="B737" s="617" t="s">
        <v>357</v>
      </c>
      <c r="C737" s="617" t="s">
        <v>426</v>
      </c>
      <c r="D737" s="152" t="s">
        <v>317</v>
      </c>
      <c r="E737" s="153">
        <v>837335614</v>
      </c>
      <c r="F737" s="153">
        <f>+INVERSIÓN!BE11</f>
        <v>1496588620</v>
      </c>
      <c r="G737" s="152" t="s">
        <v>436</v>
      </c>
    </row>
    <row r="738" spans="1:7" ht="49.9" hidden="1" customHeight="1" outlineLevel="1" x14ac:dyDescent="0.25">
      <c r="A738" s="619"/>
      <c r="B738" s="617"/>
      <c r="C738" s="617"/>
      <c r="D738" s="152" t="s">
        <v>327</v>
      </c>
      <c r="E738" s="153">
        <v>1262994000</v>
      </c>
      <c r="F738" s="153">
        <f>+INVERSIÓN!BE18</f>
        <v>1338348800</v>
      </c>
      <c r="G738" s="152" t="s">
        <v>436</v>
      </c>
    </row>
    <row r="739" spans="1:7" ht="49.9" hidden="1" customHeight="1" outlineLevel="1" x14ac:dyDescent="0.25">
      <c r="A739" s="619"/>
      <c r="B739" s="617"/>
      <c r="C739" s="617"/>
      <c r="D739" s="152" t="s">
        <v>429</v>
      </c>
      <c r="E739" s="153">
        <v>2636043000</v>
      </c>
      <c r="F739" s="153">
        <f>+INVERSIÓN!BE25</f>
        <v>2682109323</v>
      </c>
      <c r="G739" s="152" t="s">
        <v>436</v>
      </c>
    </row>
    <row r="740" spans="1:7" ht="49.9" hidden="1" customHeight="1" outlineLevel="1" x14ac:dyDescent="0.25">
      <c r="A740" s="619"/>
      <c r="B740" s="152" t="s">
        <v>364</v>
      </c>
      <c r="C740" s="152" t="s">
        <v>430</v>
      </c>
      <c r="D740" s="152" t="s">
        <v>431</v>
      </c>
      <c r="E740" s="153">
        <v>1453575000</v>
      </c>
      <c r="F740" s="153">
        <f>+INVERSIÓN!BE32</f>
        <v>1587021667</v>
      </c>
      <c r="G740" s="152" t="s">
        <v>436</v>
      </c>
    </row>
    <row r="741" spans="1:7" ht="49.9" hidden="1" customHeight="1" outlineLevel="1" x14ac:dyDescent="0.25">
      <c r="A741" s="619"/>
      <c r="B741" s="152" t="s">
        <v>368</v>
      </c>
      <c r="C741" s="152" t="s">
        <v>432</v>
      </c>
      <c r="D741" s="152" t="s">
        <v>433</v>
      </c>
      <c r="E741" s="153">
        <v>483246000</v>
      </c>
      <c r="F741" s="153">
        <f>+INVERSIÓN!BE39</f>
        <v>703847144</v>
      </c>
      <c r="G741" s="152" t="s">
        <v>436</v>
      </c>
    </row>
    <row r="742" spans="1:7" ht="49.9" hidden="1" customHeight="1" outlineLevel="1" x14ac:dyDescent="0.25">
      <c r="A742" s="619"/>
      <c r="B742" s="617" t="s">
        <v>372</v>
      </c>
      <c r="C742" s="617" t="s">
        <v>434</v>
      </c>
      <c r="D742" s="152" t="s">
        <v>435</v>
      </c>
      <c r="E742" s="153">
        <v>1294148000</v>
      </c>
      <c r="F742" s="153">
        <f>+INVERSIÓN!BE46</f>
        <v>1272316799</v>
      </c>
      <c r="G742" s="152" t="s">
        <v>436</v>
      </c>
    </row>
    <row r="743" spans="1:7" ht="49.9" hidden="1" customHeight="1" outlineLevel="1" x14ac:dyDescent="0.25">
      <c r="A743" s="620"/>
      <c r="B743" s="617"/>
      <c r="C743" s="617"/>
      <c r="D743" s="152" t="s">
        <v>323</v>
      </c>
      <c r="E743" s="153">
        <v>528678000</v>
      </c>
      <c r="F743" s="153">
        <f>+INVERSIÓN!BE53</f>
        <v>556933365</v>
      </c>
      <c r="G743" s="152" t="s">
        <v>436</v>
      </c>
    </row>
    <row r="744" spans="1:7" ht="49.9" hidden="1" customHeight="1" outlineLevel="1" x14ac:dyDescent="0.25">
      <c r="A744" s="618" t="s">
        <v>129</v>
      </c>
      <c r="B744" s="617" t="s">
        <v>357</v>
      </c>
      <c r="C744" s="617" t="s">
        <v>426</v>
      </c>
      <c r="D744" s="152" t="s">
        <v>317</v>
      </c>
      <c r="E744" s="153">
        <v>1534521300</v>
      </c>
      <c r="F744" s="153">
        <v>898822087</v>
      </c>
      <c r="G744" s="152" t="s">
        <v>436</v>
      </c>
    </row>
    <row r="745" spans="1:7" ht="49.9" hidden="1" customHeight="1" outlineLevel="1" x14ac:dyDescent="0.25">
      <c r="A745" s="619"/>
      <c r="B745" s="617"/>
      <c r="C745" s="617"/>
      <c r="D745" s="152" t="s">
        <v>327</v>
      </c>
      <c r="E745" s="153">
        <v>1389997314</v>
      </c>
      <c r="F745" s="153">
        <v>1256382667</v>
      </c>
      <c r="G745" s="152" t="s">
        <v>436</v>
      </c>
    </row>
    <row r="746" spans="1:7" ht="49.9" hidden="1" customHeight="1" outlineLevel="1" x14ac:dyDescent="0.25">
      <c r="A746" s="619"/>
      <c r="B746" s="617"/>
      <c r="C746" s="617"/>
      <c r="D746" s="152" t="s">
        <v>429</v>
      </c>
      <c r="E746" s="153">
        <v>2930900316</v>
      </c>
      <c r="F746" s="153">
        <v>2205742548</v>
      </c>
      <c r="G746" s="152" t="s">
        <v>436</v>
      </c>
    </row>
    <row r="747" spans="1:7" ht="49.9" hidden="1" customHeight="1" outlineLevel="1" x14ac:dyDescent="0.25">
      <c r="A747" s="619"/>
      <c r="B747" s="152" t="s">
        <v>364</v>
      </c>
      <c r="C747" s="152" t="s">
        <v>430</v>
      </c>
      <c r="D747" s="152" t="s">
        <v>431</v>
      </c>
      <c r="E747" s="153">
        <v>1587481000.0000007</v>
      </c>
      <c r="F747" s="153">
        <v>1151575000</v>
      </c>
      <c r="G747" s="152" t="s">
        <v>436</v>
      </c>
    </row>
    <row r="748" spans="1:7" ht="49.9" hidden="1" customHeight="1" outlineLevel="1" x14ac:dyDescent="0.25">
      <c r="A748" s="619"/>
      <c r="B748" s="152" t="s">
        <v>368</v>
      </c>
      <c r="C748" s="152" t="s">
        <v>432</v>
      </c>
      <c r="D748" s="152" t="s">
        <v>433</v>
      </c>
      <c r="E748" s="153">
        <v>749389999.99999988</v>
      </c>
      <c r="F748" s="153">
        <v>492530292</v>
      </c>
      <c r="G748" s="152" t="s">
        <v>436</v>
      </c>
    </row>
    <row r="749" spans="1:7" ht="49.9" hidden="1" customHeight="1" outlineLevel="1" x14ac:dyDescent="0.25">
      <c r="A749" s="619"/>
      <c r="B749" s="617" t="s">
        <v>372</v>
      </c>
      <c r="C749" s="617" t="s">
        <v>434</v>
      </c>
      <c r="D749" s="152" t="s">
        <v>435</v>
      </c>
      <c r="E749" s="153">
        <v>1294147999.9999998</v>
      </c>
      <c r="F749" s="153">
        <v>1186640500</v>
      </c>
      <c r="G749" s="152" t="s">
        <v>436</v>
      </c>
    </row>
    <row r="750" spans="1:7" ht="49.9" hidden="1" customHeight="1" outlineLevel="1" x14ac:dyDescent="0.25">
      <c r="A750" s="620"/>
      <c r="B750" s="617"/>
      <c r="C750" s="617"/>
      <c r="D750" s="152" t="s">
        <v>323</v>
      </c>
      <c r="E750" s="153">
        <v>557942070</v>
      </c>
      <c r="F750" s="153">
        <v>516118000</v>
      </c>
      <c r="G750" s="152" t="s">
        <v>436</v>
      </c>
    </row>
    <row r="751" spans="1:7" ht="49.9" hidden="1" customHeight="1" outlineLevel="1" x14ac:dyDescent="0.25">
      <c r="A751" s="618" t="s">
        <v>130</v>
      </c>
      <c r="B751" s="617" t="s">
        <v>357</v>
      </c>
      <c r="C751" s="617" t="s">
        <v>426</v>
      </c>
      <c r="D751" s="152" t="s">
        <v>317</v>
      </c>
      <c r="E751" s="153">
        <v>1534521300</v>
      </c>
      <c r="F751" s="153">
        <v>898822087</v>
      </c>
      <c r="G751" s="152" t="s">
        <v>436</v>
      </c>
    </row>
    <row r="752" spans="1:7" ht="49.9" hidden="1" customHeight="1" outlineLevel="1" x14ac:dyDescent="0.25">
      <c r="A752" s="619"/>
      <c r="B752" s="617"/>
      <c r="C752" s="617"/>
      <c r="D752" s="152" t="s">
        <v>327</v>
      </c>
      <c r="E752" s="153">
        <v>1389997314</v>
      </c>
      <c r="F752" s="153">
        <v>1256382667</v>
      </c>
      <c r="G752" s="152" t="s">
        <v>436</v>
      </c>
    </row>
    <row r="753" spans="1:7" ht="49.9" hidden="1" customHeight="1" outlineLevel="1" x14ac:dyDescent="0.25">
      <c r="A753" s="619"/>
      <c r="B753" s="617"/>
      <c r="C753" s="617"/>
      <c r="D753" s="152" t="s">
        <v>429</v>
      </c>
      <c r="E753" s="153">
        <v>2930900316</v>
      </c>
      <c r="F753" s="153">
        <v>2205742548</v>
      </c>
      <c r="G753" s="152" t="s">
        <v>436</v>
      </c>
    </row>
    <row r="754" spans="1:7" ht="49.9" hidden="1" customHeight="1" outlineLevel="1" x14ac:dyDescent="0.25">
      <c r="A754" s="619"/>
      <c r="B754" s="152" t="s">
        <v>364</v>
      </c>
      <c r="C754" s="152" t="s">
        <v>430</v>
      </c>
      <c r="D754" s="152" t="s">
        <v>431</v>
      </c>
      <c r="E754" s="153">
        <v>1587481000.0000007</v>
      </c>
      <c r="F754" s="153">
        <v>1151575000</v>
      </c>
      <c r="G754" s="152" t="s">
        <v>436</v>
      </c>
    </row>
    <row r="755" spans="1:7" ht="49.9" hidden="1" customHeight="1" outlineLevel="1" x14ac:dyDescent="0.25">
      <c r="A755" s="619"/>
      <c r="B755" s="152" t="s">
        <v>368</v>
      </c>
      <c r="C755" s="152" t="s">
        <v>432</v>
      </c>
      <c r="D755" s="152" t="s">
        <v>433</v>
      </c>
      <c r="E755" s="153">
        <v>749389999.99999988</v>
      </c>
      <c r="F755" s="153">
        <v>492530292</v>
      </c>
      <c r="G755" s="152" t="s">
        <v>436</v>
      </c>
    </row>
    <row r="756" spans="1:7" ht="49.9" hidden="1" customHeight="1" outlineLevel="1" x14ac:dyDescent="0.25">
      <c r="A756" s="619"/>
      <c r="B756" s="617" t="s">
        <v>372</v>
      </c>
      <c r="C756" s="617" t="s">
        <v>434</v>
      </c>
      <c r="D756" s="152" t="s">
        <v>435</v>
      </c>
      <c r="E756" s="153">
        <v>1294147999.9999998</v>
      </c>
      <c r="F756" s="153">
        <v>1186640500</v>
      </c>
      <c r="G756" s="152" t="s">
        <v>436</v>
      </c>
    </row>
    <row r="757" spans="1:7" ht="49.9" hidden="1" customHeight="1" outlineLevel="1" x14ac:dyDescent="0.25">
      <c r="A757" s="620"/>
      <c r="B757" s="617"/>
      <c r="C757" s="617"/>
      <c r="D757" s="152" t="s">
        <v>323</v>
      </c>
      <c r="E757" s="153">
        <v>557942070</v>
      </c>
      <c r="F757" s="153">
        <v>516118000</v>
      </c>
      <c r="G757" s="152" t="s">
        <v>436</v>
      </c>
    </row>
    <row r="758" spans="1:7" ht="49.9" hidden="1" customHeight="1" outlineLevel="1" x14ac:dyDescent="0.25">
      <c r="A758" s="658" t="s">
        <v>131</v>
      </c>
      <c r="B758" s="617" t="s">
        <v>357</v>
      </c>
      <c r="C758" s="617" t="s">
        <v>426</v>
      </c>
      <c r="D758" s="152" t="s">
        <v>317</v>
      </c>
      <c r="E758" s="153">
        <v>1534521300</v>
      </c>
      <c r="F758" s="153">
        <f>+INVERSIÓN!BC11</f>
        <v>1496588620</v>
      </c>
      <c r="G758" s="152" t="s">
        <v>436</v>
      </c>
    </row>
    <row r="759" spans="1:7" ht="49.9" hidden="1" customHeight="1" outlineLevel="1" x14ac:dyDescent="0.25">
      <c r="A759" s="659"/>
      <c r="B759" s="617"/>
      <c r="C759" s="617"/>
      <c r="D759" s="152" t="s">
        <v>327</v>
      </c>
      <c r="E759" s="153">
        <v>1389997314</v>
      </c>
      <c r="F759" s="153">
        <f>+INVERSIÓN!BC18</f>
        <v>1338348800</v>
      </c>
      <c r="G759" s="152" t="s">
        <v>436</v>
      </c>
    </row>
    <row r="760" spans="1:7" ht="49.9" hidden="1" customHeight="1" outlineLevel="1" x14ac:dyDescent="0.25">
      <c r="A760" s="659"/>
      <c r="B760" s="617"/>
      <c r="C760" s="617"/>
      <c r="D760" s="152" t="s">
        <v>429</v>
      </c>
      <c r="E760" s="153">
        <v>2930900316</v>
      </c>
      <c r="F760" s="153">
        <f>+INVERSIÓN!BC25</f>
        <v>2682109323</v>
      </c>
      <c r="G760" s="152" t="s">
        <v>436</v>
      </c>
    </row>
    <row r="761" spans="1:7" ht="49.9" hidden="1" customHeight="1" outlineLevel="1" x14ac:dyDescent="0.25">
      <c r="A761" s="659"/>
      <c r="B761" s="152" t="s">
        <v>364</v>
      </c>
      <c r="C761" s="152" t="s">
        <v>430</v>
      </c>
      <c r="D761" s="152" t="s">
        <v>431</v>
      </c>
      <c r="E761" s="153">
        <v>1587481000.0000007</v>
      </c>
      <c r="F761" s="153">
        <f>+INVERSIÓN!BC32</f>
        <v>1587021667</v>
      </c>
      <c r="G761" s="152" t="s">
        <v>436</v>
      </c>
    </row>
    <row r="762" spans="1:7" ht="49.9" hidden="1" customHeight="1" outlineLevel="1" x14ac:dyDescent="0.25">
      <c r="A762" s="659"/>
      <c r="B762" s="152" t="s">
        <v>368</v>
      </c>
      <c r="C762" s="152" t="s">
        <v>432</v>
      </c>
      <c r="D762" s="152" t="s">
        <v>433</v>
      </c>
      <c r="E762" s="153">
        <v>749389999.99999988</v>
      </c>
      <c r="F762" s="153">
        <f>+INVERSIÓN!BC39</f>
        <v>703847144</v>
      </c>
      <c r="G762" s="152" t="s">
        <v>436</v>
      </c>
    </row>
    <row r="763" spans="1:7" ht="49.9" hidden="1" customHeight="1" outlineLevel="1" x14ac:dyDescent="0.25">
      <c r="A763" s="659"/>
      <c r="B763" s="617" t="s">
        <v>372</v>
      </c>
      <c r="C763" s="617" t="s">
        <v>434</v>
      </c>
      <c r="D763" s="152" t="s">
        <v>435</v>
      </c>
      <c r="E763" s="153">
        <v>1294147999.9999998</v>
      </c>
      <c r="F763" s="153">
        <f>+INVERSIÓN!BC46</f>
        <v>1272316799</v>
      </c>
      <c r="G763" s="152" t="s">
        <v>436</v>
      </c>
    </row>
    <row r="764" spans="1:7" ht="49.9" hidden="1" customHeight="1" outlineLevel="1" x14ac:dyDescent="0.25">
      <c r="A764" s="660"/>
      <c r="B764" s="617"/>
      <c r="C764" s="617"/>
      <c r="D764" s="152" t="s">
        <v>323</v>
      </c>
      <c r="E764" s="153">
        <v>557942070</v>
      </c>
      <c r="F764" s="153">
        <f>+INVERSIÓN!BC53</f>
        <v>556933365</v>
      </c>
      <c r="G764" s="152" t="s">
        <v>436</v>
      </c>
    </row>
    <row r="765" spans="1:7" ht="49.9" hidden="1" customHeight="1" outlineLevel="1" x14ac:dyDescent="0.25">
      <c r="A765" s="618" t="s">
        <v>132</v>
      </c>
      <c r="B765" s="617" t="s">
        <v>357</v>
      </c>
      <c r="C765" s="617" t="s">
        <v>426</v>
      </c>
      <c r="D765" s="152" t="s">
        <v>317</v>
      </c>
      <c r="E765" s="153">
        <f>+INVERSIÓN!BA11</f>
        <v>1534521300</v>
      </c>
      <c r="F765" s="153">
        <f>+INVERSIÓN!BC11</f>
        <v>1496588620</v>
      </c>
      <c r="G765" s="152" t="s">
        <v>436</v>
      </c>
    </row>
    <row r="766" spans="1:7" ht="49.9" hidden="1" customHeight="1" outlineLevel="1" x14ac:dyDescent="0.25">
      <c r="A766" s="619"/>
      <c r="B766" s="617"/>
      <c r="C766" s="617"/>
      <c r="D766" s="152" t="s">
        <v>327</v>
      </c>
      <c r="E766" s="153">
        <f>+INVERSIÓN!BA18</f>
        <v>1389997314</v>
      </c>
      <c r="F766" s="153">
        <f>+INVERSIÓN!BC18</f>
        <v>1338348800</v>
      </c>
      <c r="G766" s="152" t="s">
        <v>436</v>
      </c>
    </row>
    <row r="767" spans="1:7" ht="49.9" hidden="1" customHeight="1" outlineLevel="1" x14ac:dyDescent="0.25">
      <c r="A767" s="619"/>
      <c r="B767" s="617"/>
      <c r="C767" s="617"/>
      <c r="D767" s="152" t="s">
        <v>429</v>
      </c>
      <c r="E767" s="153">
        <f>+INVERSIÓN!BA25</f>
        <v>2930900316</v>
      </c>
      <c r="F767" s="153">
        <f>+INVERSIÓN!BC25</f>
        <v>2682109323</v>
      </c>
      <c r="G767" s="152" t="s">
        <v>436</v>
      </c>
    </row>
    <row r="768" spans="1:7" ht="49.9" hidden="1" customHeight="1" outlineLevel="1" x14ac:dyDescent="0.25">
      <c r="A768" s="619"/>
      <c r="B768" s="152" t="s">
        <v>364</v>
      </c>
      <c r="C768" s="152" t="s">
        <v>430</v>
      </c>
      <c r="D768" s="152" t="s">
        <v>431</v>
      </c>
      <c r="E768" s="153">
        <f>+INVERSIÓN!BA32</f>
        <v>1587481000.0000005</v>
      </c>
      <c r="F768" s="153">
        <f>+INVERSIÓN!BC32</f>
        <v>1587021667</v>
      </c>
      <c r="G768" s="152" t="s">
        <v>436</v>
      </c>
    </row>
    <row r="769" spans="1:7" ht="49.9" hidden="1" customHeight="1" outlineLevel="1" x14ac:dyDescent="0.25">
      <c r="A769" s="619"/>
      <c r="B769" s="152" t="s">
        <v>368</v>
      </c>
      <c r="C769" s="152" t="s">
        <v>432</v>
      </c>
      <c r="D769" s="152" t="s">
        <v>433</v>
      </c>
      <c r="E769" s="153">
        <f>+INVERSIÓN!BA39</f>
        <v>749390000</v>
      </c>
      <c r="F769" s="153">
        <f>+INVERSIÓN!BC39</f>
        <v>703847144</v>
      </c>
      <c r="G769" s="152" t="s">
        <v>436</v>
      </c>
    </row>
    <row r="770" spans="1:7" ht="49.9" hidden="1" customHeight="1" outlineLevel="1" x14ac:dyDescent="0.25">
      <c r="A770" s="619"/>
      <c r="B770" s="617" t="s">
        <v>372</v>
      </c>
      <c r="C770" s="617" t="s">
        <v>434</v>
      </c>
      <c r="D770" s="152" t="s">
        <v>435</v>
      </c>
      <c r="E770" s="153">
        <f>+INVERSIÓN!BA46</f>
        <v>1294148000</v>
      </c>
      <c r="F770" s="153">
        <f>+INVERSIÓN!BC46</f>
        <v>1272316799</v>
      </c>
      <c r="G770" s="152" t="s">
        <v>436</v>
      </c>
    </row>
    <row r="771" spans="1:7" ht="49.9" hidden="1" customHeight="1" outlineLevel="1" x14ac:dyDescent="0.25">
      <c r="A771" s="620"/>
      <c r="B771" s="617"/>
      <c r="C771" s="617"/>
      <c r="D771" s="152" t="s">
        <v>323</v>
      </c>
      <c r="E771" s="153">
        <f>+INVERSIÓN!BA53</f>
        <v>557942070</v>
      </c>
      <c r="F771" s="153">
        <f>+INVERSIÓN!BC53</f>
        <v>556933365</v>
      </c>
      <c r="G771" s="152" t="s">
        <v>436</v>
      </c>
    </row>
    <row r="772" spans="1:7" hidden="1" outlineLevel="1" x14ac:dyDescent="0.25">
      <c r="A772" s="40" t="s">
        <v>133</v>
      </c>
      <c r="B772" s="40"/>
      <c r="C772" s="40"/>
      <c r="D772" s="40"/>
      <c r="E772" s="40"/>
      <c r="F772" s="40"/>
      <c r="G772" s="40"/>
    </row>
    <row r="773" spans="1:7" collapsed="1" x14ac:dyDescent="0.25">
      <c r="A773" s="41"/>
      <c r="G773" s="42"/>
    </row>
    <row r="774" spans="1:7" ht="20.25" x14ac:dyDescent="0.3">
      <c r="A774" s="627" t="s">
        <v>437</v>
      </c>
      <c r="B774" s="628"/>
      <c r="C774" s="628"/>
      <c r="D774" s="628"/>
      <c r="E774" s="628"/>
      <c r="F774" s="628"/>
      <c r="G774" s="629"/>
    </row>
    <row r="775" spans="1:7" ht="38.25" x14ac:dyDescent="0.25">
      <c r="A775" s="150" t="s">
        <v>61</v>
      </c>
      <c r="B775" s="39" t="s">
        <v>145</v>
      </c>
      <c r="C775" s="39" t="s">
        <v>146</v>
      </c>
      <c r="D775" s="39" t="s">
        <v>168</v>
      </c>
      <c r="E775" s="39" t="s">
        <v>438</v>
      </c>
      <c r="F775" s="39" t="s">
        <v>439</v>
      </c>
      <c r="G775" s="39" t="s">
        <v>171</v>
      </c>
    </row>
    <row r="776" spans="1:7" ht="49.9" customHeight="1" x14ac:dyDescent="0.25">
      <c r="A776" s="618" t="s">
        <v>135</v>
      </c>
      <c r="B776" s="617" t="s">
        <v>357</v>
      </c>
      <c r="C776" s="617" t="s">
        <v>426</v>
      </c>
      <c r="D776" s="152" t="s">
        <v>317</v>
      </c>
      <c r="E776" s="153">
        <f>+INVERSIÓN!$BF$11</f>
        <v>2219609000</v>
      </c>
      <c r="F776" s="153">
        <f>+INVERSIÓN!BH11</f>
        <v>665963000</v>
      </c>
      <c r="G776" s="152" t="s">
        <v>436</v>
      </c>
    </row>
    <row r="777" spans="1:7" ht="49.9" customHeight="1" x14ac:dyDescent="0.25">
      <c r="A777" s="619"/>
      <c r="B777" s="617"/>
      <c r="C777" s="617"/>
      <c r="D777" s="152" t="s">
        <v>327</v>
      </c>
      <c r="E777" s="153">
        <f>+INVERSIÓN!$BF$18</f>
        <v>6130432000</v>
      </c>
      <c r="F777" s="153">
        <f>+INVERSIÓN!BH18</f>
        <v>1835843000</v>
      </c>
      <c r="G777" s="152" t="s">
        <v>436</v>
      </c>
    </row>
    <row r="778" spans="1:7" ht="49.9" customHeight="1" x14ac:dyDescent="0.25">
      <c r="A778" s="619"/>
      <c r="B778" s="617"/>
      <c r="C778" s="617"/>
      <c r="D778" s="152" t="s">
        <v>429</v>
      </c>
      <c r="E778" s="153">
        <f>+INVERSIÓN!$BF$25</f>
        <v>3364237000</v>
      </c>
      <c r="F778" s="153">
        <f>+INVERSIÓN!BH25</f>
        <v>2534638908</v>
      </c>
      <c r="G778" s="152" t="s">
        <v>436</v>
      </c>
    </row>
    <row r="779" spans="1:7" ht="49.9" customHeight="1" x14ac:dyDescent="0.25">
      <c r="A779" s="619"/>
      <c r="B779" s="152" t="s">
        <v>364</v>
      </c>
      <c r="C779" s="152" t="s">
        <v>430</v>
      </c>
      <c r="D779" s="152" t="s">
        <v>431</v>
      </c>
      <c r="E779" s="153">
        <f>+INVERSIÓN!$BF$32</f>
        <v>1617058000</v>
      </c>
      <c r="F779" s="153">
        <f>+INVERSIÓN!BH32</f>
        <v>1097940000</v>
      </c>
      <c r="G779" s="152" t="s">
        <v>436</v>
      </c>
    </row>
    <row r="780" spans="1:7" ht="49.9" customHeight="1" x14ac:dyDescent="0.25">
      <c r="A780" s="619"/>
      <c r="B780" s="152" t="s">
        <v>368</v>
      </c>
      <c r="C780" s="152" t="s">
        <v>432</v>
      </c>
      <c r="D780" s="152" t="s">
        <v>433</v>
      </c>
      <c r="E780" s="153">
        <f>+INVERSIÓN!$BF$39</f>
        <v>843232000</v>
      </c>
      <c r="F780" s="153">
        <f>+INVERSIÓN!BH39</f>
        <v>455184000</v>
      </c>
      <c r="G780" s="152" t="s">
        <v>436</v>
      </c>
    </row>
    <row r="781" spans="1:7" ht="49.9" customHeight="1" x14ac:dyDescent="0.25">
      <c r="A781" s="619"/>
      <c r="B781" s="617" t="s">
        <v>372</v>
      </c>
      <c r="C781" s="617" t="s">
        <v>434</v>
      </c>
      <c r="D781" s="152" t="s">
        <v>435</v>
      </c>
      <c r="E781" s="153">
        <f>+INVERSIÓN!$BF$46</f>
        <v>1568833000</v>
      </c>
      <c r="F781" s="153">
        <f>+INVERSIÓN!BH46</f>
        <v>1487818000</v>
      </c>
      <c r="G781" s="152" t="s">
        <v>436</v>
      </c>
    </row>
    <row r="782" spans="1:7" ht="49.9" customHeight="1" x14ac:dyDescent="0.25">
      <c r="A782" s="620"/>
      <c r="B782" s="617"/>
      <c r="C782" s="617"/>
      <c r="D782" s="152" t="s">
        <v>323</v>
      </c>
      <c r="E782" s="153">
        <f>+INVERSIÓN!$BF$53</f>
        <v>725040000</v>
      </c>
      <c r="F782" s="153">
        <f>+INVERSIÓN!BH53</f>
        <v>585413000</v>
      </c>
      <c r="G782" s="152" t="s">
        <v>436</v>
      </c>
    </row>
    <row r="783" spans="1:7" ht="49.9" customHeight="1" x14ac:dyDescent="0.25">
      <c r="A783" s="618" t="s">
        <v>136</v>
      </c>
      <c r="B783" s="617" t="s">
        <v>357</v>
      </c>
      <c r="C783" s="617" t="s">
        <v>426</v>
      </c>
      <c r="D783" s="152" t="s">
        <v>317</v>
      </c>
      <c r="E783" s="153">
        <f>+INVERSIÓN!$BF$11</f>
        <v>2219609000</v>
      </c>
      <c r="F783" s="235">
        <f>+INVERSIÓN!BJ11</f>
        <v>0</v>
      </c>
      <c r="G783" s="152" t="s">
        <v>436</v>
      </c>
    </row>
    <row r="784" spans="1:7" ht="49.9" customHeight="1" x14ac:dyDescent="0.25">
      <c r="A784" s="619"/>
      <c r="B784" s="617"/>
      <c r="C784" s="617"/>
      <c r="D784" s="152" t="s">
        <v>327</v>
      </c>
      <c r="E784" s="153">
        <f>+INVERSIÓN!$BF$18</f>
        <v>6130432000</v>
      </c>
      <c r="F784" s="235">
        <f>+INVERSIÓN!BJ18</f>
        <v>0</v>
      </c>
      <c r="G784" s="152" t="s">
        <v>436</v>
      </c>
    </row>
    <row r="785" spans="1:7" ht="49.9" customHeight="1" x14ac:dyDescent="0.25">
      <c r="A785" s="619"/>
      <c r="B785" s="617"/>
      <c r="C785" s="617"/>
      <c r="D785" s="152" t="s">
        <v>429</v>
      </c>
      <c r="E785" s="153">
        <f>+INVERSIÓN!$BF$25</f>
        <v>3364237000</v>
      </c>
      <c r="F785" s="235">
        <f>+INVERSIÓN!BJ25</f>
        <v>0</v>
      </c>
      <c r="G785" s="152" t="s">
        <v>436</v>
      </c>
    </row>
    <row r="786" spans="1:7" ht="49.9" customHeight="1" x14ac:dyDescent="0.25">
      <c r="A786" s="619"/>
      <c r="B786" s="152" t="s">
        <v>364</v>
      </c>
      <c r="C786" s="152" t="s">
        <v>430</v>
      </c>
      <c r="D786" s="152" t="s">
        <v>431</v>
      </c>
      <c r="E786" s="153">
        <f>+INVERSIÓN!$BF$32</f>
        <v>1617058000</v>
      </c>
      <c r="F786" s="235">
        <f>+INVERSIÓN!BJ32</f>
        <v>0</v>
      </c>
      <c r="G786" s="152" t="s">
        <v>436</v>
      </c>
    </row>
    <row r="787" spans="1:7" ht="49.9" customHeight="1" x14ac:dyDescent="0.25">
      <c r="A787" s="619"/>
      <c r="B787" s="152" t="s">
        <v>368</v>
      </c>
      <c r="C787" s="152" t="s">
        <v>432</v>
      </c>
      <c r="D787" s="152" t="s">
        <v>433</v>
      </c>
      <c r="E787" s="153">
        <f>+INVERSIÓN!$BF$39</f>
        <v>843232000</v>
      </c>
      <c r="F787" s="235">
        <f>+INVERSIÓN!BJ39</f>
        <v>0</v>
      </c>
      <c r="G787" s="152" t="s">
        <v>436</v>
      </c>
    </row>
    <row r="788" spans="1:7" ht="49.9" customHeight="1" x14ac:dyDescent="0.25">
      <c r="A788" s="619"/>
      <c r="B788" s="617" t="s">
        <v>372</v>
      </c>
      <c r="C788" s="617" t="s">
        <v>434</v>
      </c>
      <c r="D788" s="152" t="s">
        <v>435</v>
      </c>
      <c r="E788" s="153">
        <f>+INVERSIÓN!$BF$46</f>
        <v>1568833000</v>
      </c>
      <c r="F788" s="235">
        <f>+INVERSIÓN!BJ46</f>
        <v>0</v>
      </c>
      <c r="G788" s="152" t="s">
        <v>436</v>
      </c>
    </row>
    <row r="789" spans="1:7" ht="49.9" customHeight="1" x14ac:dyDescent="0.25">
      <c r="A789" s="620"/>
      <c r="B789" s="617"/>
      <c r="C789" s="617"/>
      <c r="D789" s="152" t="s">
        <v>323</v>
      </c>
      <c r="E789" s="153">
        <f>+INVERSIÓN!$BF$53</f>
        <v>725040000</v>
      </c>
      <c r="F789" s="235">
        <f>+INVERSIÓN!BJ53</f>
        <v>0</v>
      </c>
      <c r="G789" s="152" t="s">
        <v>436</v>
      </c>
    </row>
    <row r="790" spans="1:7" ht="49.9" customHeight="1" x14ac:dyDescent="0.25">
      <c r="A790" s="618" t="s">
        <v>137</v>
      </c>
      <c r="B790" s="617" t="s">
        <v>357</v>
      </c>
      <c r="C790" s="617" t="s">
        <v>426</v>
      </c>
      <c r="D790" s="152" t="s">
        <v>317</v>
      </c>
      <c r="E790" s="153">
        <f>+INVERSIÓN!$CE$11</f>
        <v>2140738600</v>
      </c>
      <c r="F790" s="235">
        <f>+INVERSIÓN!$BL$11</f>
        <v>0</v>
      </c>
      <c r="G790" s="152" t="s">
        <v>436</v>
      </c>
    </row>
    <row r="791" spans="1:7" ht="49.9" customHeight="1" x14ac:dyDescent="0.25">
      <c r="A791" s="619"/>
      <c r="B791" s="617"/>
      <c r="C791" s="617"/>
      <c r="D791" s="152" t="s">
        <v>327</v>
      </c>
      <c r="E791" s="153">
        <f>+INVERSIÓN!$CE$18</f>
        <v>5991849849</v>
      </c>
      <c r="F791" s="235">
        <f>+INVERSIÓN!$BL$18</f>
        <v>0</v>
      </c>
      <c r="G791" s="152" t="s">
        <v>436</v>
      </c>
    </row>
    <row r="792" spans="1:7" ht="49.9" customHeight="1" x14ac:dyDescent="0.25">
      <c r="A792" s="619"/>
      <c r="B792" s="617"/>
      <c r="C792" s="617"/>
      <c r="D792" s="152" t="s">
        <v>429</v>
      </c>
      <c r="E792" s="153">
        <f>+INVERSIÓN!$CE$25</f>
        <v>4010222109</v>
      </c>
      <c r="F792" s="235">
        <f>+INVERSIÓN!$BL$25</f>
        <v>50000000</v>
      </c>
      <c r="G792" s="152" t="s">
        <v>436</v>
      </c>
    </row>
    <row r="793" spans="1:7" ht="49.9" customHeight="1" x14ac:dyDescent="0.25">
      <c r="A793" s="619"/>
      <c r="B793" s="152" t="s">
        <v>364</v>
      </c>
      <c r="C793" s="152" t="s">
        <v>430</v>
      </c>
      <c r="D793" s="152" t="s">
        <v>431</v>
      </c>
      <c r="E793" s="153">
        <f>+INVERSIÓN!$CE$32</f>
        <v>1908372100</v>
      </c>
      <c r="F793" s="235">
        <f>+INVERSIÓN!$BL$32</f>
        <v>0</v>
      </c>
      <c r="G793" s="152" t="s">
        <v>436</v>
      </c>
    </row>
    <row r="794" spans="1:7" ht="49.9" customHeight="1" x14ac:dyDescent="0.25">
      <c r="A794" s="619"/>
      <c r="B794" s="152" t="s">
        <v>368</v>
      </c>
      <c r="C794" s="152" t="s">
        <v>432</v>
      </c>
      <c r="D794" s="152" t="s">
        <v>433</v>
      </c>
      <c r="E794" s="153">
        <f>+INVERSIÓN!$CE$39</f>
        <v>1053886300</v>
      </c>
      <c r="F794" s="235">
        <f>+INVERSIÓN!$BL$39</f>
        <v>0</v>
      </c>
      <c r="G794" s="152" t="s">
        <v>436</v>
      </c>
    </row>
    <row r="795" spans="1:7" ht="49.9" customHeight="1" x14ac:dyDescent="0.25">
      <c r="A795" s="619"/>
      <c r="B795" s="617" t="s">
        <v>372</v>
      </c>
      <c r="C795" s="617" t="s">
        <v>434</v>
      </c>
      <c r="D795" s="152" t="s">
        <v>435</v>
      </c>
      <c r="E795" s="153">
        <f>+INVERSIÓN!$CE$46</f>
        <v>2038137898</v>
      </c>
      <c r="F795" s="235">
        <f>+INVERSIÓN!$BL$46</f>
        <v>0</v>
      </c>
      <c r="G795" s="152" t="s">
        <v>436</v>
      </c>
    </row>
    <row r="796" spans="1:7" ht="49.9" customHeight="1" x14ac:dyDescent="0.25">
      <c r="A796" s="620"/>
      <c r="B796" s="617"/>
      <c r="C796" s="617"/>
      <c r="D796" s="152" t="s">
        <v>323</v>
      </c>
      <c r="E796" s="153">
        <f>+INVERSIÓN!$CE$53</f>
        <v>664063000</v>
      </c>
      <c r="F796" s="235">
        <f>+INVERSIÓN!$BL$53</f>
        <v>0</v>
      </c>
      <c r="G796" s="152" t="s">
        <v>436</v>
      </c>
    </row>
    <row r="797" spans="1:7" ht="49.9" customHeight="1" x14ac:dyDescent="0.25">
      <c r="A797" s="618" t="s">
        <v>138</v>
      </c>
      <c r="B797" s="617" t="s">
        <v>357</v>
      </c>
      <c r="C797" s="617" t="s">
        <v>426</v>
      </c>
      <c r="D797" s="152" t="s">
        <v>317</v>
      </c>
      <c r="E797" s="153">
        <f>+INVERSIÓN!$CE$11</f>
        <v>2140738600</v>
      </c>
      <c r="F797" s="153">
        <f>+INVERSIÓN!$BN$11</f>
        <v>0</v>
      </c>
      <c r="G797" s="152" t="s">
        <v>436</v>
      </c>
    </row>
    <row r="798" spans="1:7" ht="49.9" customHeight="1" x14ac:dyDescent="0.25">
      <c r="A798" s="619"/>
      <c r="B798" s="617"/>
      <c r="C798" s="617"/>
      <c r="D798" s="152" t="s">
        <v>327</v>
      </c>
      <c r="E798" s="153">
        <f>+INVERSIÓN!$CE$18</f>
        <v>5991849849</v>
      </c>
      <c r="F798" s="153">
        <f>+INVERSIÓN!$BN$18</f>
        <v>0</v>
      </c>
      <c r="G798" s="152" t="s">
        <v>436</v>
      </c>
    </row>
    <row r="799" spans="1:7" ht="49.9" customHeight="1" x14ac:dyDescent="0.25">
      <c r="A799" s="619"/>
      <c r="B799" s="617"/>
      <c r="C799" s="617"/>
      <c r="D799" s="152" t="s">
        <v>429</v>
      </c>
      <c r="E799" s="153">
        <f>+INVERSIÓN!$CE$25</f>
        <v>4010222109</v>
      </c>
      <c r="F799" s="153">
        <f>+INVERSIÓN!$BN$25</f>
        <v>0</v>
      </c>
      <c r="G799" s="152" t="s">
        <v>436</v>
      </c>
    </row>
    <row r="800" spans="1:7" ht="49.9" customHeight="1" x14ac:dyDescent="0.25">
      <c r="A800" s="619"/>
      <c r="B800" s="152" t="s">
        <v>364</v>
      </c>
      <c r="C800" s="152" t="s">
        <v>430</v>
      </c>
      <c r="D800" s="152" t="s">
        <v>431</v>
      </c>
      <c r="E800" s="153">
        <f>+INVERSIÓN!$CE$32</f>
        <v>1908372100</v>
      </c>
      <c r="F800" s="153">
        <f>+INVERSIÓN!$BN$32</f>
        <v>0</v>
      </c>
      <c r="G800" s="152" t="s">
        <v>436</v>
      </c>
    </row>
    <row r="801" spans="1:7" ht="49.9" customHeight="1" x14ac:dyDescent="0.25">
      <c r="A801" s="619"/>
      <c r="B801" s="152" t="s">
        <v>368</v>
      </c>
      <c r="C801" s="152" t="s">
        <v>432</v>
      </c>
      <c r="D801" s="152" t="s">
        <v>433</v>
      </c>
      <c r="E801" s="153">
        <f>+INVERSIÓN!$CE$39</f>
        <v>1053886300</v>
      </c>
      <c r="F801" s="153">
        <f>+INVERSIÓN!$BN$39</f>
        <v>0</v>
      </c>
      <c r="G801" s="152" t="s">
        <v>436</v>
      </c>
    </row>
    <row r="802" spans="1:7" ht="49.9" customHeight="1" x14ac:dyDescent="0.25">
      <c r="A802" s="619"/>
      <c r="B802" s="617" t="s">
        <v>372</v>
      </c>
      <c r="C802" s="617" t="s">
        <v>434</v>
      </c>
      <c r="D802" s="152" t="s">
        <v>435</v>
      </c>
      <c r="E802" s="153">
        <f>+INVERSIÓN!$CE$46</f>
        <v>2038137898</v>
      </c>
      <c r="F802" s="153">
        <f>+INVERSIÓN!$BN$46</f>
        <v>0</v>
      </c>
      <c r="G802" s="152" t="s">
        <v>436</v>
      </c>
    </row>
    <row r="803" spans="1:7" ht="49.9" customHeight="1" x14ac:dyDescent="0.25">
      <c r="A803" s="619"/>
      <c r="B803" s="617"/>
      <c r="C803" s="617"/>
      <c r="D803" s="152" t="s">
        <v>323</v>
      </c>
      <c r="E803" s="153">
        <f>+INVERSIÓN!$CE$53</f>
        <v>664063000</v>
      </c>
      <c r="F803" s="153">
        <f>+INVERSIÓN!$BN$53</f>
        <v>0</v>
      </c>
      <c r="G803" s="152" t="s">
        <v>436</v>
      </c>
    </row>
    <row r="804" spans="1:7" ht="49.9" customHeight="1" x14ac:dyDescent="0.25">
      <c r="A804" s="618" t="s">
        <v>139</v>
      </c>
      <c r="B804" s="617" t="s">
        <v>357</v>
      </c>
      <c r="C804" s="617" t="s">
        <v>426</v>
      </c>
      <c r="D804" s="152" t="s">
        <v>317</v>
      </c>
      <c r="E804" s="153">
        <f>+INVERSIÓN!$CE$11</f>
        <v>2140738600</v>
      </c>
      <c r="F804" s="153">
        <f>+INVERSIÓN!$BP$11</f>
        <v>112000000</v>
      </c>
      <c r="G804" s="152" t="s">
        <v>436</v>
      </c>
    </row>
    <row r="805" spans="1:7" ht="49.9" customHeight="1" x14ac:dyDescent="0.25">
      <c r="A805" s="619"/>
      <c r="B805" s="617"/>
      <c r="C805" s="617"/>
      <c r="D805" s="152" t="s">
        <v>327</v>
      </c>
      <c r="E805" s="153">
        <f>+INVERSIÓN!$CE$18</f>
        <v>5991849849</v>
      </c>
      <c r="F805" s="153">
        <f>+INVERSIÓN!$BP$18</f>
        <v>0</v>
      </c>
      <c r="G805" s="152" t="s">
        <v>436</v>
      </c>
    </row>
    <row r="806" spans="1:7" ht="49.9" customHeight="1" x14ac:dyDescent="0.25">
      <c r="A806" s="619"/>
      <c r="B806" s="617"/>
      <c r="C806" s="617"/>
      <c r="D806" s="152" t="s">
        <v>429</v>
      </c>
      <c r="E806" s="153">
        <f>+INVERSIÓN!$CE$25</f>
        <v>4010222109</v>
      </c>
      <c r="F806" s="153">
        <f>+INVERSIÓN!$BP$25</f>
        <v>162596000</v>
      </c>
      <c r="G806" s="152" t="s">
        <v>436</v>
      </c>
    </row>
    <row r="807" spans="1:7" ht="49.9" customHeight="1" x14ac:dyDescent="0.25">
      <c r="A807" s="619"/>
      <c r="B807" s="152" t="s">
        <v>364</v>
      </c>
      <c r="C807" s="152" t="s">
        <v>430</v>
      </c>
      <c r="D807" s="152" t="s">
        <v>431</v>
      </c>
      <c r="E807" s="153">
        <f>+INVERSIÓN!$CE$32</f>
        <v>1908372100</v>
      </c>
      <c r="F807" s="153">
        <f>+INVERSIÓN!$BP$32</f>
        <v>0</v>
      </c>
      <c r="G807" s="152" t="s">
        <v>436</v>
      </c>
    </row>
    <row r="808" spans="1:7" ht="49.9" customHeight="1" x14ac:dyDescent="0.25">
      <c r="A808" s="619"/>
      <c r="B808" s="152" t="s">
        <v>368</v>
      </c>
      <c r="C808" s="152" t="s">
        <v>432</v>
      </c>
      <c r="D808" s="152" t="s">
        <v>433</v>
      </c>
      <c r="E808" s="153">
        <f>+INVERSIÓN!$CE$39</f>
        <v>1053886300</v>
      </c>
      <c r="F808" s="153">
        <f>+INVERSIÓN!$BP$39</f>
        <v>0</v>
      </c>
      <c r="G808" s="152" t="s">
        <v>436</v>
      </c>
    </row>
    <row r="809" spans="1:7" ht="49.9" customHeight="1" x14ac:dyDescent="0.25">
      <c r="A809" s="619"/>
      <c r="B809" s="617" t="s">
        <v>372</v>
      </c>
      <c r="C809" s="617" t="s">
        <v>434</v>
      </c>
      <c r="D809" s="152" t="s">
        <v>435</v>
      </c>
      <c r="E809" s="153">
        <f>+INVERSIÓN!$CE$46</f>
        <v>2038137898</v>
      </c>
      <c r="F809" s="153">
        <f>+INVERSIÓN!$BP$46</f>
        <v>0</v>
      </c>
      <c r="G809" s="152" t="s">
        <v>436</v>
      </c>
    </row>
    <row r="810" spans="1:7" ht="49.9" customHeight="1" x14ac:dyDescent="0.25">
      <c r="A810" s="620"/>
      <c r="B810" s="617"/>
      <c r="C810" s="617"/>
      <c r="D810" s="152" t="s">
        <v>323</v>
      </c>
      <c r="E810" s="153">
        <f>+INVERSIÓN!$CE$53</f>
        <v>664063000</v>
      </c>
      <c r="F810" s="153">
        <f>+INVERSIÓN!$BP$53</f>
        <v>0</v>
      </c>
      <c r="G810" s="152" t="s">
        <v>436</v>
      </c>
    </row>
    <row r="811" spans="1:7" ht="49.9" customHeight="1" x14ac:dyDescent="0.25">
      <c r="A811" s="618" t="s">
        <v>140</v>
      </c>
      <c r="B811" s="617" t="s">
        <v>357</v>
      </c>
      <c r="C811" s="617" t="s">
        <v>426</v>
      </c>
      <c r="D811" s="152" t="s">
        <v>317</v>
      </c>
      <c r="E811" s="153">
        <f>+INVERSIÓN!$CE$11</f>
        <v>2140738600</v>
      </c>
      <c r="F811" s="153">
        <f>+INVERSIÓN!$BR$11</f>
        <v>38000000</v>
      </c>
      <c r="G811" s="152" t="s">
        <v>436</v>
      </c>
    </row>
    <row r="812" spans="1:7" ht="49.9" customHeight="1" x14ac:dyDescent="0.25">
      <c r="A812" s="619"/>
      <c r="B812" s="617"/>
      <c r="C812" s="617"/>
      <c r="D812" s="152" t="s">
        <v>327</v>
      </c>
      <c r="E812" s="153">
        <f>+INVERSIÓN!$CE$18</f>
        <v>5991849849</v>
      </c>
      <c r="F812" s="153">
        <f>+INVERSIÓN!$BR$18</f>
        <v>90000000</v>
      </c>
      <c r="G812" s="152" t="s">
        <v>436</v>
      </c>
    </row>
    <row r="813" spans="1:7" ht="49.9" customHeight="1" x14ac:dyDescent="0.25">
      <c r="A813" s="619"/>
      <c r="B813" s="617"/>
      <c r="C813" s="617"/>
      <c r="D813" s="152" t="s">
        <v>429</v>
      </c>
      <c r="E813" s="153">
        <f>+INVERSIÓN!$CE$25</f>
        <v>4010222109</v>
      </c>
      <c r="F813" s="153">
        <f>+INVERSIÓN!$BR$25</f>
        <v>0</v>
      </c>
      <c r="G813" s="152" t="s">
        <v>436</v>
      </c>
    </row>
    <row r="814" spans="1:7" ht="49.9" customHeight="1" x14ac:dyDescent="0.25">
      <c r="A814" s="619"/>
      <c r="B814" s="152" t="s">
        <v>364</v>
      </c>
      <c r="C814" s="152" t="s">
        <v>430</v>
      </c>
      <c r="D814" s="152" t="s">
        <v>431</v>
      </c>
      <c r="E814" s="153">
        <f>+INVERSIÓN!$CE$32</f>
        <v>1908372100</v>
      </c>
      <c r="F814" s="153">
        <f>+INVERSIÓN!$BR$32</f>
        <v>0</v>
      </c>
      <c r="G814" s="152" t="s">
        <v>436</v>
      </c>
    </row>
    <row r="815" spans="1:7" ht="49.9" customHeight="1" x14ac:dyDescent="0.25">
      <c r="A815" s="619"/>
      <c r="B815" s="152" t="s">
        <v>368</v>
      </c>
      <c r="C815" s="152" t="s">
        <v>432</v>
      </c>
      <c r="D815" s="152" t="s">
        <v>433</v>
      </c>
      <c r="E815" s="153">
        <f>+INVERSIÓN!$CE$39</f>
        <v>1053886300</v>
      </c>
      <c r="F815" s="153">
        <f>+INVERSIÓN!$BR$39</f>
        <v>0</v>
      </c>
      <c r="G815" s="152" t="s">
        <v>436</v>
      </c>
    </row>
    <row r="816" spans="1:7" ht="49.9" customHeight="1" x14ac:dyDescent="0.25">
      <c r="A816" s="619"/>
      <c r="B816" s="617" t="s">
        <v>372</v>
      </c>
      <c r="C816" s="617" t="s">
        <v>434</v>
      </c>
      <c r="D816" s="152" t="s">
        <v>435</v>
      </c>
      <c r="E816" s="153">
        <f>+INVERSIÓN!$CE$46</f>
        <v>2038137898</v>
      </c>
      <c r="F816" s="153">
        <f>+INVERSIÓN!$BR$46</f>
        <v>6020000</v>
      </c>
      <c r="G816" s="152" t="s">
        <v>436</v>
      </c>
    </row>
    <row r="817" spans="1:7" ht="49.9" customHeight="1" x14ac:dyDescent="0.25">
      <c r="A817" s="620"/>
      <c r="B817" s="617"/>
      <c r="C817" s="617"/>
      <c r="D817" s="152" t="s">
        <v>323</v>
      </c>
      <c r="E817" s="153">
        <f>+INVERSIÓN!$CE$53</f>
        <v>664063000</v>
      </c>
      <c r="F817" s="153">
        <f>+INVERSIÓN!$BR$53</f>
        <v>0</v>
      </c>
      <c r="G817" s="152" t="s">
        <v>436</v>
      </c>
    </row>
    <row r="818" spans="1:7" ht="49.9" customHeight="1" x14ac:dyDescent="0.25">
      <c r="A818" s="618" t="s">
        <v>128</v>
      </c>
      <c r="B818" s="617" t="s">
        <v>357</v>
      </c>
      <c r="C818" s="617" t="s">
        <v>426</v>
      </c>
      <c r="D818" s="152" t="s">
        <v>317</v>
      </c>
      <c r="E818" s="153">
        <f>+INVERSIÓN!$CE$11</f>
        <v>2140738600</v>
      </c>
      <c r="F818" s="153">
        <f>+INVERSIÓN!$BT$11</f>
        <v>0</v>
      </c>
      <c r="G818" s="152" t="s">
        <v>436</v>
      </c>
    </row>
    <row r="819" spans="1:7" ht="49.9" customHeight="1" x14ac:dyDescent="0.25">
      <c r="A819" s="619"/>
      <c r="B819" s="617"/>
      <c r="C819" s="617"/>
      <c r="D819" s="152" t="s">
        <v>327</v>
      </c>
      <c r="E819" s="153">
        <f>+INVERSIÓN!$CE$18</f>
        <v>5991849849</v>
      </c>
      <c r="F819" s="153">
        <f>+INVERSIÓN!$BT$18</f>
        <v>-45866000</v>
      </c>
      <c r="G819" s="152" t="s">
        <v>436</v>
      </c>
    </row>
    <row r="820" spans="1:7" ht="49.9" customHeight="1" x14ac:dyDescent="0.25">
      <c r="A820" s="619"/>
      <c r="B820" s="617"/>
      <c r="C820" s="617"/>
      <c r="D820" s="152" t="s">
        <v>429</v>
      </c>
      <c r="E820" s="153">
        <f>+INVERSIÓN!$CE$25</f>
        <v>4010222109</v>
      </c>
      <c r="F820" s="153">
        <f>+INVERSIÓN!$BT$25</f>
        <v>0</v>
      </c>
      <c r="G820" s="152" t="s">
        <v>436</v>
      </c>
    </row>
    <row r="821" spans="1:7" ht="49.9" customHeight="1" x14ac:dyDescent="0.25">
      <c r="A821" s="619"/>
      <c r="B821" s="152" t="s">
        <v>364</v>
      </c>
      <c r="C821" s="152" t="s">
        <v>430</v>
      </c>
      <c r="D821" s="152" t="s">
        <v>431</v>
      </c>
      <c r="E821" s="153">
        <f>+INVERSIÓN!$CE$32</f>
        <v>1908372100</v>
      </c>
      <c r="F821" s="153">
        <f>+INVERSIÓN!$BT$32</f>
        <v>0</v>
      </c>
      <c r="G821" s="152" t="s">
        <v>436</v>
      </c>
    </row>
    <row r="822" spans="1:7" ht="49.9" customHeight="1" x14ac:dyDescent="0.25">
      <c r="A822" s="619"/>
      <c r="B822" s="152" t="s">
        <v>368</v>
      </c>
      <c r="C822" s="152" t="s">
        <v>432</v>
      </c>
      <c r="D822" s="152" t="s">
        <v>433</v>
      </c>
      <c r="E822" s="153">
        <f>+INVERSIÓN!$CE$39</f>
        <v>1053886300</v>
      </c>
      <c r="F822" s="153">
        <f>+INVERSIÓN!$BT$39</f>
        <v>0</v>
      </c>
      <c r="G822" s="152" t="s">
        <v>436</v>
      </c>
    </row>
    <row r="823" spans="1:7" ht="49.9" customHeight="1" x14ac:dyDescent="0.25">
      <c r="A823" s="619"/>
      <c r="B823" s="617" t="s">
        <v>372</v>
      </c>
      <c r="C823" s="617" t="s">
        <v>434</v>
      </c>
      <c r="D823" s="152" t="s">
        <v>435</v>
      </c>
      <c r="E823" s="153">
        <f>+INVERSIÓN!$CE$46</f>
        <v>2038137898</v>
      </c>
      <c r="F823" s="153">
        <f>+INVERSIÓN!$BT$46</f>
        <v>0</v>
      </c>
      <c r="G823" s="152" t="s">
        <v>436</v>
      </c>
    </row>
    <row r="824" spans="1:7" ht="49.9" customHeight="1" x14ac:dyDescent="0.25">
      <c r="A824" s="620"/>
      <c r="B824" s="617"/>
      <c r="C824" s="617"/>
      <c r="D824" s="152" t="s">
        <v>323</v>
      </c>
      <c r="E824" s="153">
        <f>+INVERSIÓN!$CE$53</f>
        <v>664063000</v>
      </c>
      <c r="F824" s="153">
        <f>+INVERSIÓN!$BT$53</f>
        <v>0</v>
      </c>
      <c r="G824" s="152" t="s">
        <v>436</v>
      </c>
    </row>
    <row r="825" spans="1:7" ht="49.9" customHeight="1" x14ac:dyDescent="0.25">
      <c r="A825" s="618" t="s">
        <v>129</v>
      </c>
      <c r="B825" s="617" t="s">
        <v>357</v>
      </c>
      <c r="C825" s="617" t="s">
        <v>426</v>
      </c>
      <c r="D825" s="152" t="s">
        <v>317</v>
      </c>
      <c r="E825" s="153">
        <f>+INVERSIÓN!$CE$11</f>
        <v>2140738600</v>
      </c>
      <c r="F825" s="153">
        <f>+INVERSIÓN!$BV$11</f>
        <v>0</v>
      </c>
      <c r="G825" s="152" t="s">
        <v>436</v>
      </c>
    </row>
    <row r="826" spans="1:7" ht="49.9" customHeight="1" x14ac:dyDescent="0.25">
      <c r="A826" s="619"/>
      <c r="B826" s="617"/>
      <c r="C826" s="617"/>
      <c r="D826" s="152" t="s">
        <v>327</v>
      </c>
      <c r="E826" s="153">
        <f>+INVERSIÓN!$CE$18</f>
        <v>5991849849</v>
      </c>
      <c r="F826" s="153">
        <f>+INVERSIÓN!$BV$18</f>
        <v>0</v>
      </c>
      <c r="G826" s="152" t="s">
        <v>436</v>
      </c>
    </row>
    <row r="827" spans="1:7" ht="49.9" customHeight="1" x14ac:dyDescent="0.25">
      <c r="A827" s="619"/>
      <c r="B827" s="617"/>
      <c r="C827" s="617"/>
      <c r="D827" s="152" t="s">
        <v>429</v>
      </c>
      <c r="E827" s="153">
        <f>+INVERSIÓN!$CE$25</f>
        <v>4010222109</v>
      </c>
      <c r="F827" s="153">
        <f>+INVERSIÓN!$BV$25</f>
        <v>0</v>
      </c>
      <c r="G827" s="152" t="s">
        <v>436</v>
      </c>
    </row>
    <row r="828" spans="1:7" ht="49.9" customHeight="1" x14ac:dyDescent="0.25">
      <c r="A828" s="619"/>
      <c r="B828" s="152" t="s">
        <v>364</v>
      </c>
      <c r="C828" s="152" t="s">
        <v>430</v>
      </c>
      <c r="D828" s="152" t="s">
        <v>431</v>
      </c>
      <c r="E828" s="153">
        <f>+INVERSIÓN!$CE$32</f>
        <v>1908372100</v>
      </c>
      <c r="F828" s="153">
        <f>+INVERSIÓN!$BV$32</f>
        <v>0</v>
      </c>
      <c r="G828" s="152" t="s">
        <v>436</v>
      </c>
    </row>
    <row r="829" spans="1:7" ht="49.9" customHeight="1" x14ac:dyDescent="0.25">
      <c r="A829" s="619"/>
      <c r="B829" s="152" t="s">
        <v>368</v>
      </c>
      <c r="C829" s="152" t="s">
        <v>432</v>
      </c>
      <c r="D829" s="152" t="s">
        <v>433</v>
      </c>
      <c r="E829" s="153">
        <f>+INVERSIÓN!$CE$39</f>
        <v>1053886300</v>
      </c>
      <c r="F829" s="153">
        <f>+INVERSIÓN!$BV$39</f>
        <v>14028000</v>
      </c>
      <c r="G829" s="152" t="s">
        <v>436</v>
      </c>
    </row>
    <row r="830" spans="1:7" ht="49.9" customHeight="1" x14ac:dyDescent="0.25">
      <c r="A830" s="619"/>
      <c r="B830" s="617" t="s">
        <v>372</v>
      </c>
      <c r="C830" s="617" t="s">
        <v>434</v>
      </c>
      <c r="D830" s="152" t="s">
        <v>435</v>
      </c>
      <c r="E830" s="153">
        <f>+INVERSIÓN!$CE$46</f>
        <v>2038137898</v>
      </c>
      <c r="F830" s="153">
        <f>+INVERSIÓN!$BV$46</f>
        <v>0</v>
      </c>
      <c r="G830" s="152" t="s">
        <v>436</v>
      </c>
    </row>
    <row r="831" spans="1:7" ht="49.9" customHeight="1" x14ac:dyDescent="0.25">
      <c r="A831" s="620"/>
      <c r="B831" s="617"/>
      <c r="C831" s="617"/>
      <c r="D831" s="152" t="s">
        <v>323</v>
      </c>
      <c r="E831" s="153">
        <f>+INVERSIÓN!$CE$53</f>
        <v>664063000</v>
      </c>
      <c r="F831" s="153">
        <f>+INVERSIÓN!$BV$53</f>
        <v>0</v>
      </c>
      <c r="G831" s="152" t="s">
        <v>436</v>
      </c>
    </row>
    <row r="832" spans="1:7" ht="49.9" customHeight="1" x14ac:dyDescent="0.25">
      <c r="A832" s="618" t="s">
        <v>130</v>
      </c>
      <c r="B832" s="617" t="s">
        <v>357</v>
      </c>
      <c r="C832" s="617" t="s">
        <v>426</v>
      </c>
      <c r="D832" s="152" t="s">
        <v>317</v>
      </c>
      <c r="E832" s="153">
        <f>+INVERSIÓN!$CE$11</f>
        <v>2140738600</v>
      </c>
      <c r="F832" s="153">
        <f>+INVERSIÓN!$CG$11</f>
        <v>1914251950</v>
      </c>
      <c r="G832" s="152" t="s">
        <v>436</v>
      </c>
    </row>
    <row r="833" spans="1:7" ht="49.9" customHeight="1" x14ac:dyDescent="0.25">
      <c r="A833" s="619"/>
      <c r="B833" s="617"/>
      <c r="C833" s="617"/>
      <c r="D833" s="152" t="s">
        <v>327</v>
      </c>
      <c r="E833" s="153">
        <f>+INVERSIÓN!$CE$18</f>
        <v>5991849849</v>
      </c>
      <c r="F833" s="153">
        <f>+INVERSIÓN!$CG$18</f>
        <v>5705895861</v>
      </c>
      <c r="G833" s="152" t="s">
        <v>436</v>
      </c>
    </row>
    <row r="834" spans="1:7" ht="49.9" customHeight="1" x14ac:dyDescent="0.25">
      <c r="A834" s="619"/>
      <c r="B834" s="617"/>
      <c r="C834" s="617"/>
      <c r="D834" s="152" t="s">
        <v>429</v>
      </c>
      <c r="E834" s="153">
        <f>+INVERSIÓN!$CE$25</f>
        <v>4010222109</v>
      </c>
      <c r="F834" s="153">
        <f>+INVERSIÓN!$CG$25</f>
        <v>3811179788</v>
      </c>
      <c r="G834" s="152" t="s">
        <v>436</v>
      </c>
    </row>
    <row r="835" spans="1:7" ht="49.9" customHeight="1" x14ac:dyDescent="0.25">
      <c r="A835" s="619"/>
      <c r="B835" s="152" t="s">
        <v>364</v>
      </c>
      <c r="C835" s="152" t="s">
        <v>430</v>
      </c>
      <c r="D835" s="152" t="s">
        <v>431</v>
      </c>
      <c r="E835" s="153">
        <f>+INVERSIÓN!$CE$32</f>
        <v>1908372100</v>
      </c>
      <c r="F835" s="153">
        <f>+INVERSIÓN!$CG$32</f>
        <v>1857893448</v>
      </c>
      <c r="G835" s="152" t="s">
        <v>436</v>
      </c>
    </row>
    <row r="836" spans="1:7" ht="49.9" customHeight="1" x14ac:dyDescent="0.25">
      <c r="A836" s="619"/>
      <c r="B836" s="152" t="s">
        <v>368</v>
      </c>
      <c r="C836" s="152" t="s">
        <v>432</v>
      </c>
      <c r="D836" s="152" t="s">
        <v>433</v>
      </c>
      <c r="E836" s="153">
        <f>+INVERSIÓN!$CE$39</f>
        <v>1053886300</v>
      </c>
      <c r="F836" s="153">
        <f>+INVERSIÓN!$CG$39</f>
        <v>1023760508</v>
      </c>
      <c r="G836" s="152" t="s">
        <v>436</v>
      </c>
    </row>
    <row r="837" spans="1:7" ht="49.9" customHeight="1" x14ac:dyDescent="0.25">
      <c r="A837" s="619"/>
      <c r="B837" s="617" t="s">
        <v>372</v>
      </c>
      <c r="C837" s="617" t="s">
        <v>434</v>
      </c>
      <c r="D837" s="152" t="s">
        <v>435</v>
      </c>
      <c r="E837" s="153">
        <f>+INVERSIÓN!$CE$46</f>
        <v>2038137898</v>
      </c>
      <c r="F837" s="153">
        <f>+INVERSIÓN!$CG$46</f>
        <v>2012774233</v>
      </c>
      <c r="G837" s="152" t="s">
        <v>436</v>
      </c>
    </row>
    <row r="838" spans="1:7" ht="49.9" customHeight="1" x14ac:dyDescent="0.25">
      <c r="A838" s="620"/>
      <c r="B838" s="617"/>
      <c r="C838" s="617"/>
      <c r="D838" s="152" t="s">
        <v>323</v>
      </c>
      <c r="E838" s="153">
        <f>+INVERSIÓN!$CE$53</f>
        <v>664063000</v>
      </c>
      <c r="F838" s="153">
        <f>+INVERSIÓN!$CG$53</f>
        <v>664063000</v>
      </c>
      <c r="G838" s="152" t="s">
        <v>436</v>
      </c>
    </row>
    <row r="839" spans="1:7" ht="49.9" customHeight="1" x14ac:dyDescent="0.25">
      <c r="A839" s="618" t="s">
        <v>131</v>
      </c>
      <c r="B839" s="617" t="s">
        <v>357</v>
      </c>
      <c r="C839" s="617" t="s">
        <v>426</v>
      </c>
      <c r="D839" s="152" t="s">
        <v>317</v>
      </c>
      <c r="E839" s="153">
        <f>+INVERSIÓN!$CE$11</f>
        <v>2140738600</v>
      </c>
      <c r="F839" s="153">
        <f>+INVERSIÓN!$CG$11</f>
        <v>1914251950</v>
      </c>
      <c r="G839" s="152" t="s">
        <v>436</v>
      </c>
    </row>
    <row r="840" spans="1:7" ht="49.9" customHeight="1" x14ac:dyDescent="0.25">
      <c r="A840" s="619"/>
      <c r="B840" s="617"/>
      <c r="C840" s="617"/>
      <c r="D840" s="152" t="s">
        <v>327</v>
      </c>
      <c r="E840" s="153">
        <f>+INVERSIÓN!$CE$18</f>
        <v>5991849849</v>
      </c>
      <c r="F840" s="153">
        <f>+INVERSIÓN!$CG$18</f>
        <v>5705895861</v>
      </c>
      <c r="G840" s="152" t="s">
        <v>436</v>
      </c>
    </row>
    <row r="841" spans="1:7" ht="49.9" customHeight="1" x14ac:dyDescent="0.25">
      <c r="A841" s="619"/>
      <c r="B841" s="617"/>
      <c r="C841" s="617"/>
      <c r="D841" s="152" t="s">
        <v>429</v>
      </c>
      <c r="E841" s="153">
        <f>+INVERSIÓN!$CE$25</f>
        <v>4010222109</v>
      </c>
      <c r="F841" s="153">
        <f>+INVERSIÓN!$CG$25</f>
        <v>3811179788</v>
      </c>
      <c r="G841" s="152" t="s">
        <v>436</v>
      </c>
    </row>
    <row r="842" spans="1:7" ht="49.9" customHeight="1" x14ac:dyDescent="0.25">
      <c r="A842" s="619"/>
      <c r="B842" s="152" t="s">
        <v>364</v>
      </c>
      <c r="C842" s="152" t="s">
        <v>430</v>
      </c>
      <c r="D842" s="152" t="s">
        <v>431</v>
      </c>
      <c r="E842" s="153">
        <f>+INVERSIÓN!$CE$32</f>
        <v>1908372100</v>
      </c>
      <c r="F842" s="153">
        <f>+INVERSIÓN!$CG$32</f>
        <v>1857893448</v>
      </c>
      <c r="G842" s="152" t="s">
        <v>436</v>
      </c>
    </row>
    <row r="843" spans="1:7" ht="49.9" customHeight="1" x14ac:dyDescent="0.25">
      <c r="A843" s="619"/>
      <c r="B843" s="152" t="s">
        <v>368</v>
      </c>
      <c r="C843" s="152" t="s">
        <v>432</v>
      </c>
      <c r="D843" s="152" t="s">
        <v>433</v>
      </c>
      <c r="E843" s="153">
        <f>+INVERSIÓN!$CE$39</f>
        <v>1053886300</v>
      </c>
      <c r="F843" s="153">
        <f>+INVERSIÓN!$CG$39</f>
        <v>1023760508</v>
      </c>
      <c r="G843" s="152" t="s">
        <v>436</v>
      </c>
    </row>
    <row r="844" spans="1:7" ht="49.9" customHeight="1" x14ac:dyDescent="0.25">
      <c r="A844" s="619"/>
      <c r="B844" s="617" t="s">
        <v>372</v>
      </c>
      <c r="C844" s="617" t="s">
        <v>434</v>
      </c>
      <c r="D844" s="152" t="s">
        <v>435</v>
      </c>
      <c r="E844" s="153">
        <f>+INVERSIÓN!$CE$46</f>
        <v>2038137898</v>
      </c>
      <c r="F844" s="153">
        <f>+INVERSIÓN!$CG$46</f>
        <v>2012774233</v>
      </c>
      <c r="G844" s="152" t="s">
        <v>436</v>
      </c>
    </row>
    <row r="845" spans="1:7" ht="49.9" customHeight="1" x14ac:dyDescent="0.25">
      <c r="A845" s="620"/>
      <c r="B845" s="617"/>
      <c r="C845" s="617"/>
      <c r="D845" s="152" t="s">
        <v>323</v>
      </c>
      <c r="E845" s="153">
        <f>+INVERSIÓN!$CE$53</f>
        <v>664063000</v>
      </c>
      <c r="F845" s="153">
        <f>+INVERSIÓN!$CG$53</f>
        <v>664063000</v>
      </c>
      <c r="G845" s="152" t="s">
        <v>436</v>
      </c>
    </row>
    <row r="846" spans="1:7" ht="51" customHeight="1" x14ac:dyDescent="0.25">
      <c r="A846" s="618" t="s">
        <v>132</v>
      </c>
      <c r="B846" s="617" t="s">
        <v>357</v>
      </c>
      <c r="C846" s="617" t="s">
        <v>426</v>
      </c>
      <c r="D846" s="152" t="s">
        <v>317</v>
      </c>
      <c r="E846" s="153">
        <f>+INVERSIÓN!$CE$11</f>
        <v>2140738600</v>
      </c>
      <c r="F846" s="153">
        <f>+INVERSIÓN!$CG$11</f>
        <v>1914251950</v>
      </c>
      <c r="G846" s="152" t="s">
        <v>436</v>
      </c>
    </row>
    <row r="847" spans="1:7" ht="51" customHeight="1" x14ac:dyDescent="0.25">
      <c r="A847" s="619"/>
      <c r="B847" s="617"/>
      <c r="C847" s="617"/>
      <c r="D847" s="152" t="s">
        <v>327</v>
      </c>
      <c r="E847" s="153">
        <f>+INVERSIÓN!$CE$18</f>
        <v>5991849849</v>
      </c>
      <c r="F847" s="153">
        <f>+INVERSIÓN!$CG$18</f>
        <v>5705895861</v>
      </c>
      <c r="G847" s="152" t="s">
        <v>436</v>
      </c>
    </row>
    <row r="848" spans="1:7" ht="51" customHeight="1" x14ac:dyDescent="0.25">
      <c r="A848" s="619"/>
      <c r="B848" s="617"/>
      <c r="C848" s="617"/>
      <c r="D848" s="152" t="s">
        <v>429</v>
      </c>
      <c r="E848" s="153">
        <f>+INVERSIÓN!$CE$25</f>
        <v>4010222109</v>
      </c>
      <c r="F848" s="153">
        <f>+INVERSIÓN!$CG$25</f>
        <v>3811179788</v>
      </c>
      <c r="G848" s="152" t="s">
        <v>436</v>
      </c>
    </row>
    <row r="849" spans="1:7" ht="51" customHeight="1" x14ac:dyDescent="0.25">
      <c r="A849" s="619"/>
      <c r="B849" s="152" t="s">
        <v>364</v>
      </c>
      <c r="C849" s="152" t="s">
        <v>430</v>
      </c>
      <c r="D849" s="152" t="s">
        <v>431</v>
      </c>
      <c r="E849" s="153">
        <f>+INVERSIÓN!$CE$32</f>
        <v>1908372100</v>
      </c>
      <c r="F849" s="153">
        <f>+INVERSIÓN!$CG$32</f>
        <v>1857893448</v>
      </c>
      <c r="G849" s="152" t="s">
        <v>436</v>
      </c>
    </row>
    <row r="850" spans="1:7" ht="51" customHeight="1" x14ac:dyDescent="0.25">
      <c r="A850" s="619"/>
      <c r="B850" s="152" t="s">
        <v>368</v>
      </c>
      <c r="C850" s="152" t="s">
        <v>432</v>
      </c>
      <c r="D850" s="152" t="s">
        <v>433</v>
      </c>
      <c r="E850" s="153">
        <f>+INVERSIÓN!$CE$39</f>
        <v>1053886300</v>
      </c>
      <c r="F850" s="153">
        <f>+INVERSIÓN!$CG$39</f>
        <v>1023760508</v>
      </c>
      <c r="G850" s="152" t="s">
        <v>436</v>
      </c>
    </row>
    <row r="851" spans="1:7" ht="51" customHeight="1" x14ac:dyDescent="0.25">
      <c r="A851" s="619"/>
      <c r="B851" s="617" t="s">
        <v>372</v>
      </c>
      <c r="C851" s="617" t="s">
        <v>434</v>
      </c>
      <c r="D851" s="152" t="s">
        <v>435</v>
      </c>
      <c r="E851" s="153">
        <f>+INVERSIÓN!$CE$46</f>
        <v>2038137898</v>
      </c>
      <c r="F851" s="153">
        <f>+INVERSIÓN!$CG$46</f>
        <v>2012774233</v>
      </c>
      <c r="G851" s="152" t="s">
        <v>436</v>
      </c>
    </row>
    <row r="852" spans="1:7" ht="51" customHeight="1" x14ac:dyDescent="0.25">
      <c r="A852" s="620"/>
      <c r="B852" s="617"/>
      <c r="C852" s="617"/>
      <c r="D852" s="152" t="s">
        <v>323</v>
      </c>
      <c r="E852" s="153">
        <f>+INVERSIÓN!$CE$53</f>
        <v>664063000</v>
      </c>
      <c r="F852" s="153">
        <f>+INVERSIÓN!$CG$53</f>
        <v>664063000</v>
      </c>
      <c r="G852" s="152" t="s">
        <v>436</v>
      </c>
    </row>
    <row r="853" spans="1:7" ht="51" customHeight="1" x14ac:dyDescent="0.25">
      <c r="A853" s="618" t="s">
        <v>133</v>
      </c>
      <c r="B853" s="617" t="s">
        <v>357</v>
      </c>
      <c r="C853" s="617" t="s">
        <v>426</v>
      </c>
      <c r="D853" s="152" t="s">
        <v>317</v>
      </c>
      <c r="E853" s="153">
        <f>+INVERSIÓN!$CE$11</f>
        <v>2140738600</v>
      </c>
      <c r="F853" s="153">
        <f>+INVERSIÓN!$CG$11</f>
        <v>1914251950</v>
      </c>
      <c r="G853" s="152" t="s">
        <v>436</v>
      </c>
    </row>
    <row r="854" spans="1:7" ht="51" customHeight="1" x14ac:dyDescent="0.25">
      <c r="A854" s="619"/>
      <c r="B854" s="617"/>
      <c r="C854" s="617"/>
      <c r="D854" s="152" t="s">
        <v>327</v>
      </c>
      <c r="E854" s="153">
        <f>+INVERSIÓN!$CE$18</f>
        <v>5991849849</v>
      </c>
      <c r="F854" s="153">
        <f>+INVERSIÓN!$CG$18</f>
        <v>5705895861</v>
      </c>
      <c r="G854" s="152" t="s">
        <v>436</v>
      </c>
    </row>
    <row r="855" spans="1:7" ht="51" customHeight="1" x14ac:dyDescent="0.25">
      <c r="A855" s="619"/>
      <c r="B855" s="617"/>
      <c r="C855" s="617"/>
      <c r="D855" s="152" t="s">
        <v>429</v>
      </c>
      <c r="E855" s="153">
        <f>+INVERSIÓN!$CE$25</f>
        <v>4010222109</v>
      </c>
      <c r="F855" s="153">
        <f>+INVERSIÓN!$CG$25</f>
        <v>3811179788</v>
      </c>
      <c r="G855" s="152" t="s">
        <v>436</v>
      </c>
    </row>
    <row r="856" spans="1:7" ht="51" customHeight="1" x14ac:dyDescent="0.25">
      <c r="A856" s="619"/>
      <c r="B856" s="152" t="s">
        <v>364</v>
      </c>
      <c r="C856" s="152" t="s">
        <v>430</v>
      </c>
      <c r="D856" s="152" t="s">
        <v>431</v>
      </c>
      <c r="E856" s="153">
        <f>+INVERSIÓN!$CE$32</f>
        <v>1908372100</v>
      </c>
      <c r="F856" s="153">
        <f>+INVERSIÓN!$CG$32</f>
        <v>1857893448</v>
      </c>
      <c r="G856" s="152" t="s">
        <v>436</v>
      </c>
    </row>
    <row r="857" spans="1:7" ht="51" customHeight="1" x14ac:dyDescent="0.25">
      <c r="A857" s="619"/>
      <c r="B857" s="152" t="s">
        <v>368</v>
      </c>
      <c r="C857" s="152" t="s">
        <v>432</v>
      </c>
      <c r="D857" s="152" t="s">
        <v>433</v>
      </c>
      <c r="E857" s="153">
        <f>+INVERSIÓN!$CE$39</f>
        <v>1053886300</v>
      </c>
      <c r="F857" s="153">
        <f>+INVERSIÓN!$CG$39</f>
        <v>1023760508</v>
      </c>
      <c r="G857" s="152" t="s">
        <v>436</v>
      </c>
    </row>
    <row r="858" spans="1:7" ht="51" customHeight="1" x14ac:dyDescent="0.25">
      <c r="A858" s="619"/>
      <c r="B858" s="617" t="s">
        <v>372</v>
      </c>
      <c r="C858" s="617" t="s">
        <v>434</v>
      </c>
      <c r="D858" s="152" t="s">
        <v>435</v>
      </c>
      <c r="E858" s="153">
        <f>+INVERSIÓN!$CE$46</f>
        <v>2038137898</v>
      </c>
      <c r="F858" s="153">
        <f>+INVERSIÓN!$CG$46</f>
        <v>2012774233</v>
      </c>
      <c r="G858" s="152" t="s">
        <v>436</v>
      </c>
    </row>
    <row r="859" spans="1:7" ht="51" customHeight="1" x14ac:dyDescent="0.25">
      <c r="A859" s="620"/>
      <c r="B859" s="617"/>
      <c r="C859" s="617"/>
      <c r="D859" s="152" t="s">
        <v>323</v>
      </c>
      <c r="E859" s="153">
        <f>+INVERSIÓN!$CE$53</f>
        <v>664063000</v>
      </c>
      <c r="F859" s="153">
        <f>+INVERSIÓN!$CG$53</f>
        <v>664063000</v>
      </c>
      <c r="G859" s="152" t="s">
        <v>436</v>
      </c>
    </row>
    <row r="860" spans="1:7" x14ac:dyDescent="0.25">
      <c r="A860" s="41"/>
      <c r="G860" s="42"/>
    </row>
    <row r="861" spans="1:7" ht="30.75" hidden="1" customHeight="1" x14ac:dyDescent="0.3">
      <c r="A861" s="627" t="s">
        <v>175</v>
      </c>
      <c r="B861" s="628"/>
      <c r="C861" s="628"/>
      <c r="D861" s="628"/>
      <c r="E861" s="628"/>
      <c r="F861" s="628"/>
      <c r="G861" s="629"/>
    </row>
    <row r="862" spans="1:7" ht="38.25" hidden="1" x14ac:dyDescent="0.25">
      <c r="A862" s="150" t="s">
        <v>62</v>
      </c>
      <c r="B862" s="39" t="s">
        <v>145</v>
      </c>
      <c r="C862" s="39" t="s">
        <v>146</v>
      </c>
      <c r="D862" s="39" t="s">
        <v>168</v>
      </c>
      <c r="E862" s="39" t="s">
        <v>176</v>
      </c>
      <c r="F862" s="39" t="s">
        <v>177</v>
      </c>
      <c r="G862" s="39" t="s">
        <v>171</v>
      </c>
    </row>
    <row r="863" spans="1:7" ht="16.5" hidden="1" customHeight="1" x14ac:dyDescent="0.25">
      <c r="A863" s="40" t="s">
        <v>135</v>
      </c>
      <c r="B863" s="40"/>
      <c r="C863" s="40"/>
      <c r="D863" s="40"/>
      <c r="E863" s="40"/>
      <c r="F863" s="40"/>
      <c r="G863" s="40"/>
    </row>
    <row r="864" spans="1:7" ht="16.5" hidden="1" customHeight="1" x14ac:dyDescent="0.25">
      <c r="A864" s="40" t="s">
        <v>136</v>
      </c>
      <c r="B864" s="40"/>
      <c r="C864" s="40"/>
      <c r="D864" s="40"/>
      <c r="E864" s="40"/>
      <c r="F864" s="40"/>
      <c r="G864" s="40"/>
    </row>
    <row r="865" spans="1:7" ht="16.5" hidden="1" customHeight="1" x14ac:dyDescent="0.25">
      <c r="A865" s="40" t="s">
        <v>137</v>
      </c>
      <c r="B865" s="40"/>
      <c r="C865" s="40"/>
      <c r="D865" s="40"/>
      <c r="E865" s="40"/>
      <c r="F865" s="40"/>
      <c r="G865" s="40"/>
    </row>
    <row r="866" spans="1:7" ht="16.5" hidden="1" customHeight="1" x14ac:dyDescent="0.25">
      <c r="A866" s="40" t="s">
        <v>138</v>
      </c>
      <c r="B866" s="40"/>
      <c r="C866" s="40"/>
      <c r="D866" s="40"/>
      <c r="E866" s="40"/>
      <c r="F866" s="40"/>
      <c r="G866" s="40"/>
    </row>
    <row r="867" spans="1:7" ht="16.5" hidden="1" customHeight="1" x14ac:dyDescent="0.25">
      <c r="A867" s="40" t="s">
        <v>139</v>
      </c>
      <c r="B867" s="40"/>
      <c r="C867" s="40"/>
      <c r="D867" s="40"/>
      <c r="E867" s="40"/>
      <c r="F867" s="40"/>
      <c r="G867" s="40"/>
    </row>
    <row r="868" spans="1:7" ht="16.5" hidden="1" customHeight="1" x14ac:dyDescent="0.25">
      <c r="A868" s="40" t="s">
        <v>140</v>
      </c>
      <c r="B868" s="40"/>
      <c r="C868" s="40"/>
      <c r="D868" s="40"/>
      <c r="E868" s="40"/>
      <c r="F868" s="40"/>
      <c r="G868" s="40"/>
    </row>
    <row r="869" spans="1:7" hidden="1" x14ac:dyDescent="0.25">
      <c r="A869" s="40" t="s">
        <v>128</v>
      </c>
      <c r="B869" s="40"/>
      <c r="C869" s="40"/>
      <c r="D869" s="40"/>
      <c r="E869" s="40"/>
      <c r="F869" s="40"/>
      <c r="G869" s="40"/>
    </row>
    <row r="870" spans="1:7" hidden="1" x14ac:dyDescent="0.25">
      <c r="A870" s="40" t="s">
        <v>129</v>
      </c>
      <c r="B870" s="40"/>
      <c r="C870" s="40"/>
      <c r="D870" s="40"/>
      <c r="E870" s="40"/>
      <c r="F870" s="40"/>
      <c r="G870" s="40"/>
    </row>
    <row r="871" spans="1:7" hidden="1" x14ac:dyDescent="0.25">
      <c r="A871" s="40" t="s">
        <v>130</v>
      </c>
      <c r="B871" s="40"/>
      <c r="C871" s="40"/>
      <c r="D871" s="40"/>
      <c r="E871" s="40"/>
      <c r="F871" s="40"/>
      <c r="G871" s="40"/>
    </row>
    <row r="872" spans="1:7" hidden="1" x14ac:dyDescent="0.25">
      <c r="A872" s="40" t="s">
        <v>131</v>
      </c>
      <c r="B872" s="40"/>
      <c r="C872" s="40"/>
      <c r="D872" s="40"/>
      <c r="E872" s="40"/>
      <c r="F872" s="40"/>
      <c r="G872" s="40"/>
    </row>
    <row r="873" spans="1:7" hidden="1" x14ac:dyDescent="0.25">
      <c r="A873" s="40" t="s">
        <v>132</v>
      </c>
      <c r="B873" s="40"/>
      <c r="C873" s="40"/>
      <c r="D873" s="40"/>
      <c r="E873" s="40"/>
      <c r="F873" s="40"/>
      <c r="G873" s="40"/>
    </row>
    <row r="874" spans="1:7" hidden="1" x14ac:dyDescent="0.25">
      <c r="A874" s="40" t="s">
        <v>133</v>
      </c>
      <c r="B874" s="40"/>
      <c r="C874" s="40"/>
      <c r="D874" s="40"/>
      <c r="E874" s="40"/>
      <c r="F874" s="40"/>
      <c r="G874" s="40"/>
    </row>
    <row r="875" spans="1:7" hidden="1" x14ac:dyDescent="0.25">
      <c r="A875" s="41"/>
      <c r="G875" s="42"/>
    </row>
    <row r="876" spans="1:7" ht="20.25" hidden="1" x14ac:dyDescent="0.3">
      <c r="A876" s="627" t="s">
        <v>178</v>
      </c>
      <c r="B876" s="628"/>
      <c r="C876" s="628"/>
      <c r="D876" s="628"/>
      <c r="E876" s="628"/>
      <c r="F876" s="628"/>
      <c r="G876" s="629"/>
    </row>
    <row r="877" spans="1:7" ht="38.25" hidden="1" x14ac:dyDescent="0.25">
      <c r="A877" s="150" t="s">
        <v>63</v>
      </c>
      <c r="B877" s="39" t="s">
        <v>145</v>
      </c>
      <c r="C877" s="39" t="s">
        <v>146</v>
      </c>
      <c r="D877" s="39" t="s">
        <v>168</v>
      </c>
      <c r="E877" s="39" t="s">
        <v>179</v>
      </c>
      <c r="F877" s="39" t="s">
        <v>180</v>
      </c>
      <c r="G877" s="39" t="s">
        <v>171</v>
      </c>
    </row>
    <row r="878" spans="1:7" ht="16.5" hidden="1" customHeight="1" x14ac:dyDescent="0.25">
      <c r="A878" s="40" t="s">
        <v>135</v>
      </c>
      <c r="B878" s="40"/>
      <c r="C878" s="40"/>
      <c r="D878" s="40"/>
      <c r="E878" s="40"/>
      <c r="F878" s="40"/>
      <c r="G878" s="40"/>
    </row>
    <row r="879" spans="1:7" ht="16.5" hidden="1" customHeight="1" x14ac:dyDescent="0.25">
      <c r="A879" s="40" t="s">
        <v>136</v>
      </c>
      <c r="B879" s="40"/>
      <c r="C879" s="40"/>
      <c r="D879" s="40"/>
      <c r="E879" s="40"/>
      <c r="F879" s="40"/>
      <c r="G879" s="40"/>
    </row>
    <row r="880" spans="1:7" ht="16.5" hidden="1" customHeight="1" x14ac:dyDescent="0.25">
      <c r="A880" s="40" t="s">
        <v>137</v>
      </c>
      <c r="B880" s="40"/>
      <c r="C880" s="40"/>
      <c r="D880" s="40"/>
      <c r="E880" s="40"/>
      <c r="F880" s="40"/>
      <c r="G880" s="40"/>
    </row>
    <row r="881" spans="1:9" ht="16.5" hidden="1" customHeight="1" x14ac:dyDescent="0.25">
      <c r="A881" s="40" t="s">
        <v>138</v>
      </c>
      <c r="B881" s="40"/>
      <c r="C881" s="40"/>
      <c r="D881" s="40"/>
      <c r="E881" s="40"/>
      <c r="F881" s="40"/>
      <c r="G881" s="40"/>
    </row>
    <row r="882" spans="1:9" ht="16.5" hidden="1" customHeight="1" x14ac:dyDescent="0.25">
      <c r="A882" s="40" t="s">
        <v>139</v>
      </c>
      <c r="B882" s="40"/>
      <c r="C882" s="40"/>
      <c r="D882" s="40"/>
      <c r="E882" s="40"/>
      <c r="F882" s="40"/>
      <c r="G882" s="40"/>
    </row>
    <row r="883" spans="1:9" ht="16.5" hidden="1" customHeight="1" x14ac:dyDescent="0.25">
      <c r="A883" s="40" t="s">
        <v>140</v>
      </c>
      <c r="B883" s="40"/>
      <c r="C883" s="40"/>
      <c r="D883" s="40"/>
      <c r="E883" s="40"/>
      <c r="F883" s="40"/>
      <c r="G883" s="40"/>
    </row>
    <row r="884" spans="1:9" hidden="1" x14ac:dyDescent="0.25">
      <c r="A884" s="40" t="s">
        <v>128</v>
      </c>
      <c r="B884" s="40"/>
      <c r="C884" s="40"/>
      <c r="D884" s="40"/>
      <c r="E884" s="40"/>
      <c r="F884" s="40"/>
      <c r="G884" s="40"/>
    </row>
    <row r="885" spans="1:9" hidden="1" x14ac:dyDescent="0.25">
      <c r="A885" s="40" t="s">
        <v>129</v>
      </c>
      <c r="B885" s="40"/>
      <c r="C885" s="40"/>
      <c r="D885" s="40"/>
      <c r="E885" s="40"/>
      <c r="F885" s="40"/>
      <c r="G885" s="40"/>
    </row>
    <row r="886" spans="1:9" hidden="1" x14ac:dyDescent="0.25">
      <c r="A886" s="40" t="s">
        <v>130</v>
      </c>
      <c r="B886" s="40"/>
      <c r="C886" s="40"/>
      <c r="D886" s="40"/>
      <c r="E886" s="40"/>
      <c r="F886" s="40"/>
      <c r="G886" s="40"/>
    </row>
    <row r="887" spans="1:9" hidden="1" x14ac:dyDescent="0.25">
      <c r="A887" s="40" t="s">
        <v>131</v>
      </c>
      <c r="B887" s="40"/>
      <c r="C887" s="40"/>
      <c r="D887" s="40"/>
      <c r="E887" s="40"/>
      <c r="F887" s="40"/>
      <c r="G887" s="40"/>
    </row>
    <row r="888" spans="1:9" hidden="1" x14ac:dyDescent="0.25">
      <c r="A888" s="40" t="s">
        <v>132</v>
      </c>
      <c r="B888" s="40"/>
      <c r="C888" s="40"/>
      <c r="D888" s="40"/>
      <c r="E888" s="40"/>
      <c r="F888" s="40"/>
      <c r="G888" s="40"/>
    </row>
    <row r="889" spans="1:9" hidden="1" x14ac:dyDescent="0.25">
      <c r="A889" s="40" t="s">
        <v>133</v>
      </c>
      <c r="B889" s="40"/>
      <c r="C889" s="40"/>
      <c r="D889" s="40"/>
      <c r="E889" s="40"/>
      <c r="F889" s="40"/>
      <c r="G889" s="40"/>
    </row>
    <row r="891" spans="1:9" ht="24.75" customHeight="1" x14ac:dyDescent="0.3">
      <c r="A891" s="627" t="s">
        <v>181</v>
      </c>
      <c r="B891" s="628"/>
      <c r="C891" s="628"/>
      <c r="D891" s="628"/>
      <c r="E891" s="628"/>
      <c r="F891" s="628"/>
      <c r="G891" s="628"/>
      <c r="H891" s="629"/>
    </row>
    <row r="892" spans="1:9" ht="46.5" customHeight="1" x14ac:dyDescent="0.25">
      <c r="A892" s="150" t="s">
        <v>48</v>
      </c>
      <c r="B892" s="39" t="s">
        <v>182</v>
      </c>
      <c r="C892" s="43" t="s">
        <v>148</v>
      </c>
      <c r="D892" s="43" t="s">
        <v>149</v>
      </c>
      <c r="E892" s="43" t="s">
        <v>183</v>
      </c>
      <c r="F892" s="43" t="s">
        <v>184</v>
      </c>
      <c r="G892" s="43" t="s">
        <v>185</v>
      </c>
      <c r="H892" s="39" t="s">
        <v>171</v>
      </c>
    </row>
    <row r="893" spans="1:9" s="154" customFormat="1" ht="49.9" hidden="1" customHeight="1" outlineLevel="1" x14ac:dyDescent="0.25">
      <c r="A893" s="630" t="s">
        <v>128</v>
      </c>
      <c r="B893" s="148" t="s">
        <v>440</v>
      </c>
      <c r="C893" s="49" t="s">
        <v>441</v>
      </c>
      <c r="D893" s="171">
        <v>0.15</v>
      </c>
      <c r="E893" s="149">
        <v>20</v>
      </c>
      <c r="F893" s="149">
        <v>20</v>
      </c>
      <c r="G893" s="156">
        <f>F893/E893</f>
        <v>1</v>
      </c>
      <c r="H893" s="152" t="str">
        <f t="shared" ref="H893:H927" si="31">+L407</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893" s="193"/>
    </row>
    <row r="894" spans="1:9" s="154" customFormat="1" ht="49.9" hidden="1" customHeight="1" outlineLevel="1" x14ac:dyDescent="0.25">
      <c r="A894" s="631"/>
      <c r="B894" s="148" t="s">
        <v>442</v>
      </c>
      <c r="C894" s="49" t="s">
        <v>441</v>
      </c>
      <c r="D894" s="171">
        <v>0.15</v>
      </c>
      <c r="E894" s="172">
        <v>4</v>
      </c>
      <c r="F894" s="172">
        <v>0</v>
      </c>
      <c r="G894" s="156">
        <f>F894/E894</f>
        <v>0</v>
      </c>
      <c r="H894" s="152" t="str">
        <f t="shared" si="31"/>
        <v xml:space="preserve">No fueron programados avances para el mes de julio, la ejecución respectiva se realizará desde el mes de agosto </v>
      </c>
      <c r="I894" s="193"/>
    </row>
    <row r="895" spans="1:9" s="154" customFormat="1" ht="49.9" hidden="1" customHeight="1" outlineLevel="1" x14ac:dyDescent="0.25">
      <c r="A895" s="631"/>
      <c r="B895" s="148" t="s">
        <v>443</v>
      </c>
      <c r="C895" s="49" t="s">
        <v>441</v>
      </c>
      <c r="D895" s="171">
        <v>0.15</v>
      </c>
      <c r="E895" s="172">
        <v>1</v>
      </c>
      <c r="F895" s="172">
        <v>0.1666</v>
      </c>
      <c r="G895" s="156">
        <f>F895/E895</f>
        <v>0.1666</v>
      </c>
      <c r="H895" s="152" t="str">
        <f t="shared" si="31"/>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895" s="193"/>
    </row>
    <row r="896" spans="1:9" s="154" customFormat="1" ht="49.9" hidden="1" customHeight="1" outlineLevel="1" x14ac:dyDescent="0.25">
      <c r="A896" s="631"/>
      <c r="B896" s="148" t="s">
        <v>444</v>
      </c>
      <c r="C896" s="49" t="s">
        <v>441</v>
      </c>
      <c r="D896" s="171">
        <v>0.15</v>
      </c>
      <c r="E896" s="149">
        <v>362</v>
      </c>
      <c r="F896" s="149">
        <v>5</v>
      </c>
      <c r="G896" s="156">
        <f t="shared" ref="G896:G934" si="32">F896/E896</f>
        <v>1.3812154696132596E-2</v>
      </c>
      <c r="H896" s="152" t="str">
        <f t="shared" si="31"/>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896" s="193"/>
    </row>
    <row r="897" spans="1:9" s="154" customFormat="1" ht="49.9" hidden="1" customHeight="1" outlineLevel="1" x14ac:dyDescent="0.25">
      <c r="A897" s="631"/>
      <c r="B897" s="148" t="s">
        <v>445</v>
      </c>
      <c r="C897" s="49" t="s">
        <v>441</v>
      </c>
      <c r="D897" s="171">
        <v>0.15</v>
      </c>
      <c r="E897" s="172">
        <v>1</v>
      </c>
      <c r="F897" s="172">
        <v>1</v>
      </c>
      <c r="G897" s="156">
        <f t="shared" si="32"/>
        <v>1</v>
      </c>
      <c r="H897" s="152" t="str">
        <f t="shared" si="31"/>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897" s="193"/>
    </row>
    <row r="898" spans="1:9" s="154" customFormat="1" ht="49.9" hidden="1" customHeight="1" outlineLevel="1" x14ac:dyDescent="0.25">
      <c r="A898" s="631"/>
      <c r="B898" s="148" t="s">
        <v>446</v>
      </c>
      <c r="C898" s="49" t="s">
        <v>441</v>
      </c>
      <c r="D898" s="171">
        <v>0.15</v>
      </c>
      <c r="E898" s="172">
        <v>234</v>
      </c>
      <c r="F898" s="173">
        <v>28</v>
      </c>
      <c r="G898" s="156">
        <f t="shared" si="32"/>
        <v>0.11965811965811966</v>
      </c>
      <c r="H898" s="152" t="str">
        <f t="shared" si="31"/>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898" s="193"/>
    </row>
    <row r="899" spans="1:9" s="154" customFormat="1" ht="49.9" hidden="1" customHeight="1" outlineLevel="1" x14ac:dyDescent="0.25">
      <c r="A899" s="631"/>
      <c r="B899" s="148" t="s">
        <v>447</v>
      </c>
      <c r="C899" s="49" t="s">
        <v>441</v>
      </c>
      <c r="D899" s="171">
        <v>0.1</v>
      </c>
      <c r="E899" s="172">
        <v>1</v>
      </c>
      <c r="F899" s="172">
        <v>1</v>
      </c>
      <c r="G899" s="156">
        <f t="shared" si="32"/>
        <v>1</v>
      </c>
      <c r="H899" s="152" t="str">
        <f t="shared" si="31"/>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899" s="193"/>
    </row>
    <row r="900" spans="1:9" s="154" customFormat="1" ht="49.9" hidden="1" customHeight="1" outlineLevel="1" x14ac:dyDescent="0.25">
      <c r="A900" s="630" t="s">
        <v>129</v>
      </c>
      <c r="B900" s="148" t="s">
        <v>440</v>
      </c>
      <c r="C900" s="49" t="s">
        <v>441</v>
      </c>
      <c r="D900" s="171">
        <v>0.15</v>
      </c>
      <c r="E900" s="149">
        <v>20</v>
      </c>
      <c r="F900" s="149">
        <v>20</v>
      </c>
      <c r="G900" s="156">
        <f t="shared" si="32"/>
        <v>1</v>
      </c>
      <c r="H900" s="152" t="str">
        <f t="shared" si="31"/>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900" s="193"/>
    </row>
    <row r="901" spans="1:9" s="154" customFormat="1" ht="49.9" hidden="1" customHeight="1" outlineLevel="1" x14ac:dyDescent="0.25">
      <c r="A901" s="631"/>
      <c r="B901" s="148" t="s">
        <v>442</v>
      </c>
      <c r="C901" s="49" t="s">
        <v>441</v>
      </c>
      <c r="D901" s="171">
        <v>0.15</v>
      </c>
      <c r="E901" s="172">
        <v>4</v>
      </c>
      <c r="F901" s="172">
        <v>0.90500000000000003</v>
      </c>
      <c r="G901" s="156">
        <f t="shared" si="32"/>
        <v>0.22625000000000001</v>
      </c>
      <c r="H901" s="152" t="str">
        <f t="shared" si="31"/>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901" s="193"/>
    </row>
    <row r="902" spans="1:9" s="154" customFormat="1" ht="49.9" hidden="1" customHeight="1" outlineLevel="1" x14ac:dyDescent="0.25">
      <c r="A902" s="631"/>
      <c r="B902" s="148" t="s">
        <v>443</v>
      </c>
      <c r="C902" s="49" t="s">
        <v>441</v>
      </c>
      <c r="D902" s="171">
        <v>0.15</v>
      </c>
      <c r="E902" s="172">
        <v>1</v>
      </c>
      <c r="F902" s="172">
        <v>0.1</v>
      </c>
      <c r="G902" s="156">
        <f t="shared" si="32"/>
        <v>0.1</v>
      </c>
      <c r="H902" s="152" t="str">
        <f t="shared" si="31"/>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902" s="193"/>
    </row>
    <row r="903" spans="1:9" s="154" customFormat="1" ht="49.9" hidden="1" customHeight="1" outlineLevel="1" x14ac:dyDescent="0.25">
      <c r="A903" s="631"/>
      <c r="B903" s="148" t="s">
        <v>444</v>
      </c>
      <c r="C903" s="49" t="s">
        <v>441</v>
      </c>
      <c r="D903" s="171">
        <v>0.15</v>
      </c>
      <c r="E903" s="149">
        <v>362</v>
      </c>
      <c r="F903" s="149">
        <v>1</v>
      </c>
      <c r="G903" s="156">
        <f t="shared" si="32"/>
        <v>2.7624309392265192E-3</v>
      </c>
      <c r="H903" s="152" t="str">
        <f t="shared" si="31"/>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903" s="193"/>
    </row>
    <row r="904" spans="1:9" s="154" customFormat="1" ht="49.9" hidden="1" customHeight="1" outlineLevel="1" x14ac:dyDescent="0.25">
      <c r="A904" s="631"/>
      <c r="B904" s="148" t="s">
        <v>445</v>
      </c>
      <c r="C904" s="49" t="s">
        <v>441</v>
      </c>
      <c r="D904" s="171">
        <v>0.15</v>
      </c>
      <c r="E904" s="172">
        <v>1</v>
      </c>
      <c r="F904" s="174">
        <v>1</v>
      </c>
      <c r="G904" s="156">
        <f t="shared" si="32"/>
        <v>1</v>
      </c>
      <c r="H904" s="152" t="str">
        <f t="shared" si="31"/>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904" s="193"/>
    </row>
    <row r="905" spans="1:9" s="154" customFormat="1" ht="49.9" hidden="1" customHeight="1" outlineLevel="1" x14ac:dyDescent="0.25">
      <c r="A905" s="631"/>
      <c r="B905" s="148" t="s">
        <v>446</v>
      </c>
      <c r="C905" s="49" t="s">
        <v>441</v>
      </c>
      <c r="D905" s="171">
        <v>0.15</v>
      </c>
      <c r="E905" s="173">
        <v>234</v>
      </c>
      <c r="F905" s="173">
        <v>18</v>
      </c>
      <c r="G905" s="156">
        <f t="shared" si="32"/>
        <v>7.6923076923076927E-2</v>
      </c>
      <c r="H905" s="152" t="str">
        <f t="shared" si="31"/>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905" s="193"/>
    </row>
    <row r="906" spans="1:9" s="154" customFormat="1" ht="49.9" hidden="1" customHeight="1" outlineLevel="1" x14ac:dyDescent="0.25">
      <c r="A906" s="631"/>
      <c r="B906" s="148" t="s">
        <v>447</v>
      </c>
      <c r="C906" s="49" t="s">
        <v>441</v>
      </c>
      <c r="D906" s="171">
        <v>0.1</v>
      </c>
      <c r="E906" s="172">
        <v>1</v>
      </c>
      <c r="F906" s="174">
        <v>1</v>
      </c>
      <c r="G906" s="156">
        <f t="shared" si="32"/>
        <v>1</v>
      </c>
      <c r="H906" s="152" t="str">
        <f t="shared" si="31"/>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906" s="193"/>
    </row>
    <row r="907" spans="1:9" s="154" customFormat="1" ht="49.9" hidden="1" customHeight="1" outlineLevel="1" x14ac:dyDescent="0.25">
      <c r="A907" s="630" t="s">
        <v>130</v>
      </c>
      <c r="B907" s="148" t="s">
        <v>440</v>
      </c>
      <c r="C907" s="49" t="s">
        <v>441</v>
      </c>
      <c r="D907" s="171">
        <v>0.15</v>
      </c>
      <c r="E907" s="149">
        <v>20</v>
      </c>
      <c r="F907" s="149">
        <v>20</v>
      </c>
      <c r="G907" s="156">
        <f t="shared" si="32"/>
        <v>1</v>
      </c>
      <c r="H907" s="152" t="str">
        <f t="shared" si="31"/>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907" s="193"/>
    </row>
    <row r="908" spans="1:9" s="154" customFormat="1" ht="49.9" hidden="1" customHeight="1" outlineLevel="1" x14ac:dyDescent="0.25">
      <c r="A908" s="631"/>
      <c r="B908" s="148" t="s">
        <v>442</v>
      </c>
      <c r="C908" s="49" t="s">
        <v>441</v>
      </c>
      <c r="D908" s="171">
        <v>0.15</v>
      </c>
      <c r="E908" s="172">
        <v>4</v>
      </c>
      <c r="F908" s="172">
        <v>0.9</v>
      </c>
      <c r="G908" s="156">
        <f t="shared" si="32"/>
        <v>0.22500000000000001</v>
      </c>
      <c r="H908" s="152" t="str">
        <f t="shared" si="31"/>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908" s="193"/>
    </row>
    <row r="909" spans="1:9" s="154" customFormat="1" ht="49.9" hidden="1" customHeight="1" outlineLevel="1" x14ac:dyDescent="0.25">
      <c r="A909" s="631"/>
      <c r="B909" s="148" t="s">
        <v>443</v>
      </c>
      <c r="C909" s="49" t="s">
        <v>441</v>
      </c>
      <c r="D909" s="171">
        <v>0.15</v>
      </c>
      <c r="E909" s="172">
        <v>1</v>
      </c>
      <c r="F909" s="172">
        <v>0.01</v>
      </c>
      <c r="G909" s="156">
        <f t="shared" si="32"/>
        <v>0.01</v>
      </c>
      <c r="H909" s="152" t="str">
        <f t="shared" si="31"/>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909" s="193"/>
    </row>
    <row r="910" spans="1:9" s="154" customFormat="1" ht="49.9" hidden="1" customHeight="1" outlineLevel="1" x14ac:dyDescent="0.25">
      <c r="A910" s="631"/>
      <c r="B910" s="148" t="s">
        <v>444</v>
      </c>
      <c r="C910" s="49" t="s">
        <v>441</v>
      </c>
      <c r="D910" s="171">
        <v>0.15</v>
      </c>
      <c r="E910" s="149">
        <v>362</v>
      </c>
      <c r="F910" s="149">
        <v>65</v>
      </c>
      <c r="G910" s="156">
        <f t="shared" si="32"/>
        <v>0.17955801104972377</v>
      </c>
      <c r="H910" s="152" t="str">
        <f t="shared" si="31"/>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910" s="193"/>
    </row>
    <row r="911" spans="1:9" s="154" customFormat="1" ht="49.9" hidden="1" customHeight="1" outlineLevel="1" x14ac:dyDescent="0.25">
      <c r="A911" s="631"/>
      <c r="B911" s="148" t="s">
        <v>445</v>
      </c>
      <c r="C911" s="49" t="s">
        <v>441</v>
      </c>
      <c r="D911" s="171">
        <v>0.15</v>
      </c>
      <c r="E911" s="172">
        <v>1</v>
      </c>
      <c r="F911" s="174">
        <v>1</v>
      </c>
      <c r="G911" s="156">
        <f t="shared" si="32"/>
        <v>1</v>
      </c>
      <c r="H911" s="152" t="str">
        <f t="shared" si="31"/>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911" s="193"/>
    </row>
    <row r="912" spans="1:9" s="154" customFormat="1" ht="49.9" hidden="1" customHeight="1" outlineLevel="1" x14ac:dyDescent="0.25">
      <c r="A912" s="631"/>
      <c r="B912" s="148" t="s">
        <v>446</v>
      </c>
      <c r="C912" s="49" t="s">
        <v>441</v>
      </c>
      <c r="D912" s="171">
        <v>0.15</v>
      </c>
      <c r="E912" s="172">
        <v>234</v>
      </c>
      <c r="F912" s="173">
        <v>146</v>
      </c>
      <c r="G912" s="156">
        <f t="shared" si="32"/>
        <v>0.62393162393162394</v>
      </c>
      <c r="H912" s="152" t="str">
        <f t="shared" si="31"/>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912" s="193"/>
    </row>
    <row r="913" spans="1:9" s="154" customFormat="1" ht="49.9" hidden="1" customHeight="1" outlineLevel="1" x14ac:dyDescent="0.25">
      <c r="A913" s="631"/>
      <c r="B913" s="148" t="s">
        <v>447</v>
      </c>
      <c r="C913" s="49" t="s">
        <v>441</v>
      </c>
      <c r="D913" s="171">
        <v>0.1</v>
      </c>
      <c r="E913" s="172">
        <v>1</v>
      </c>
      <c r="F913" s="174">
        <v>1</v>
      </c>
      <c r="G913" s="156">
        <f t="shared" si="32"/>
        <v>1</v>
      </c>
      <c r="H913" s="152" t="str">
        <f t="shared" si="31"/>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913" s="193"/>
    </row>
    <row r="914" spans="1:9" s="154" customFormat="1" ht="49.9" hidden="1" customHeight="1" outlineLevel="1" x14ac:dyDescent="0.25">
      <c r="A914" s="585" t="s">
        <v>131</v>
      </c>
      <c r="B914" s="148" t="s">
        <v>440</v>
      </c>
      <c r="C914" s="49" t="s">
        <v>441</v>
      </c>
      <c r="D914" s="156">
        <v>0.15</v>
      </c>
      <c r="E914" s="149">
        <v>20</v>
      </c>
      <c r="F914" s="149">
        <v>20</v>
      </c>
      <c r="G914" s="156">
        <f t="shared" si="32"/>
        <v>1</v>
      </c>
      <c r="H914" s="152" t="str">
        <f t="shared" si="31"/>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914" s="193"/>
    </row>
    <row r="915" spans="1:9" s="154" customFormat="1" ht="49.9" hidden="1" customHeight="1" outlineLevel="1" x14ac:dyDescent="0.25">
      <c r="A915" s="585"/>
      <c r="B915" s="148" t="s">
        <v>442</v>
      </c>
      <c r="C915" s="49" t="s">
        <v>441</v>
      </c>
      <c r="D915" s="156">
        <v>0.15</v>
      </c>
      <c r="E915" s="172">
        <v>4</v>
      </c>
      <c r="F915" s="172">
        <v>1</v>
      </c>
      <c r="G915" s="156">
        <f t="shared" si="32"/>
        <v>0.25</v>
      </c>
      <c r="H915" s="152" t="str">
        <f t="shared" si="31"/>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915" s="193"/>
    </row>
    <row r="916" spans="1:9" s="154" customFormat="1" ht="49.9" hidden="1" customHeight="1" outlineLevel="1" x14ac:dyDescent="0.25">
      <c r="A916" s="585"/>
      <c r="B916" s="148" t="s">
        <v>443</v>
      </c>
      <c r="C916" s="49" t="s">
        <v>441</v>
      </c>
      <c r="D916" s="156">
        <v>0.15</v>
      </c>
      <c r="E916" s="172">
        <v>1</v>
      </c>
      <c r="F916" s="172">
        <v>0.16819999999999999</v>
      </c>
      <c r="G916" s="156">
        <f t="shared" si="32"/>
        <v>0.16819999999999999</v>
      </c>
      <c r="H916" s="152" t="str">
        <f t="shared" si="31"/>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916" s="193"/>
    </row>
    <row r="917" spans="1:9" s="154" customFormat="1" ht="49.9" hidden="1" customHeight="1" outlineLevel="1" x14ac:dyDescent="0.25">
      <c r="A917" s="585"/>
      <c r="B917" s="148" t="s">
        <v>444</v>
      </c>
      <c r="C917" s="49" t="s">
        <v>441</v>
      </c>
      <c r="D917" s="156">
        <v>0.15</v>
      </c>
      <c r="E917" s="149">
        <v>362</v>
      </c>
      <c r="F917" s="149">
        <v>120</v>
      </c>
      <c r="G917" s="156">
        <f t="shared" si="32"/>
        <v>0.33149171270718231</v>
      </c>
      <c r="H917" s="152" t="str">
        <f t="shared" si="31"/>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917" s="193"/>
    </row>
    <row r="918" spans="1:9" s="154" customFormat="1" ht="49.9" hidden="1" customHeight="1" outlineLevel="1" x14ac:dyDescent="0.25">
      <c r="A918" s="585"/>
      <c r="B918" s="148" t="s">
        <v>445</v>
      </c>
      <c r="C918" s="49" t="s">
        <v>441</v>
      </c>
      <c r="D918" s="156">
        <v>0.15</v>
      </c>
      <c r="E918" s="172">
        <v>1</v>
      </c>
      <c r="F918" s="172">
        <v>1</v>
      </c>
      <c r="G918" s="156">
        <f t="shared" si="32"/>
        <v>1</v>
      </c>
      <c r="H918" s="152" t="str">
        <f t="shared" si="31"/>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918" s="193"/>
    </row>
    <row r="919" spans="1:9" s="154" customFormat="1" ht="49.9" hidden="1" customHeight="1" outlineLevel="1" x14ac:dyDescent="0.25">
      <c r="A919" s="585"/>
      <c r="B919" s="148" t="s">
        <v>446</v>
      </c>
      <c r="C919" s="49" t="s">
        <v>441</v>
      </c>
      <c r="D919" s="156">
        <v>0.15</v>
      </c>
      <c r="E919" s="172">
        <v>234</v>
      </c>
      <c r="F919" s="172">
        <v>37</v>
      </c>
      <c r="G919" s="156">
        <f t="shared" si="32"/>
        <v>0.15811965811965811</v>
      </c>
      <c r="H919" s="152" t="str">
        <f t="shared" si="31"/>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919" s="193"/>
    </row>
    <row r="920" spans="1:9" s="154" customFormat="1" ht="49.9" hidden="1" customHeight="1" outlineLevel="1" x14ac:dyDescent="0.25">
      <c r="A920" s="585"/>
      <c r="B920" s="148" t="s">
        <v>447</v>
      </c>
      <c r="C920" s="49" t="s">
        <v>441</v>
      </c>
      <c r="D920" s="156">
        <v>0.1</v>
      </c>
      <c r="E920" s="172">
        <v>1</v>
      </c>
      <c r="F920" s="172">
        <v>1</v>
      </c>
      <c r="G920" s="156">
        <f t="shared" si="32"/>
        <v>1</v>
      </c>
      <c r="H920" s="152" t="str">
        <f t="shared" si="31"/>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920" s="193"/>
    </row>
    <row r="921" spans="1:9" s="154" customFormat="1" ht="49.9" hidden="1" customHeight="1" outlineLevel="1" x14ac:dyDescent="0.25">
      <c r="A921" s="632" t="s">
        <v>132</v>
      </c>
      <c r="B921" s="148" t="s">
        <v>440</v>
      </c>
      <c r="C921" s="49" t="s">
        <v>441</v>
      </c>
      <c r="D921" s="156">
        <v>0.15</v>
      </c>
      <c r="E921" s="149">
        <v>20</v>
      </c>
      <c r="F921" s="149">
        <v>20</v>
      </c>
      <c r="G921" s="156">
        <f t="shared" si="32"/>
        <v>1</v>
      </c>
      <c r="H921" s="155" t="str">
        <f t="shared" si="31"/>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921" s="193"/>
    </row>
    <row r="922" spans="1:9" s="154" customFormat="1" ht="49.9" hidden="1" customHeight="1" outlineLevel="1" x14ac:dyDescent="0.25">
      <c r="A922" s="632"/>
      <c r="B922" s="148" t="s">
        <v>442</v>
      </c>
      <c r="C922" s="49" t="s">
        <v>441</v>
      </c>
      <c r="D922" s="156">
        <v>0.15</v>
      </c>
      <c r="E922" s="172">
        <v>4</v>
      </c>
      <c r="F922" s="172">
        <v>1</v>
      </c>
      <c r="G922" s="156">
        <f t="shared" si="32"/>
        <v>0.25</v>
      </c>
      <c r="H922" s="155" t="str">
        <f t="shared" si="31"/>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922" s="193"/>
    </row>
    <row r="923" spans="1:9" s="154" customFormat="1" ht="49.9" hidden="1" customHeight="1" outlineLevel="1" x14ac:dyDescent="0.25">
      <c r="A923" s="632"/>
      <c r="B923" s="148" t="s">
        <v>443</v>
      </c>
      <c r="C923" s="49" t="s">
        <v>441</v>
      </c>
      <c r="D923" s="156">
        <v>0.15</v>
      </c>
      <c r="E923" s="172">
        <v>1</v>
      </c>
      <c r="F923" s="172">
        <v>0.20399999999999999</v>
      </c>
      <c r="G923" s="156">
        <f t="shared" si="32"/>
        <v>0.20399999999999999</v>
      </c>
      <c r="H923" s="155" t="str">
        <f t="shared" si="31"/>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923" s="193"/>
    </row>
    <row r="924" spans="1:9" s="154" customFormat="1" ht="49.9" hidden="1" customHeight="1" outlineLevel="1" x14ac:dyDescent="0.25">
      <c r="A924" s="632"/>
      <c r="B924" s="148" t="s">
        <v>444</v>
      </c>
      <c r="C924" s="49" t="s">
        <v>441</v>
      </c>
      <c r="D924" s="156">
        <v>0.15</v>
      </c>
      <c r="E924" s="149">
        <v>362</v>
      </c>
      <c r="F924" s="149">
        <v>120</v>
      </c>
      <c r="G924" s="156">
        <f t="shared" si="32"/>
        <v>0.33149171270718231</v>
      </c>
      <c r="H924" s="155" t="str">
        <f t="shared" si="31"/>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924" s="193"/>
    </row>
    <row r="925" spans="1:9" s="154" customFormat="1" ht="49.9" hidden="1" customHeight="1" outlineLevel="1" x14ac:dyDescent="0.25">
      <c r="A925" s="632"/>
      <c r="B925" s="148" t="s">
        <v>445</v>
      </c>
      <c r="C925" s="49" t="s">
        <v>441</v>
      </c>
      <c r="D925" s="156">
        <v>0.15</v>
      </c>
      <c r="E925" s="172">
        <v>1</v>
      </c>
      <c r="F925" s="172">
        <v>1</v>
      </c>
      <c r="G925" s="156">
        <f t="shared" si="32"/>
        <v>1</v>
      </c>
      <c r="H925" s="155" t="str">
        <f t="shared" si="31"/>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925" s="193"/>
    </row>
    <row r="926" spans="1:9" s="154" customFormat="1" ht="49.9" hidden="1" customHeight="1" outlineLevel="1" x14ac:dyDescent="0.25">
      <c r="A926" s="632"/>
      <c r="B926" s="148" t="s">
        <v>446</v>
      </c>
      <c r="C926" s="49" t="s">
        <v>441</v>
      </c>
      <c r="D926" s="156">
        <v>0.15</v>
      </c>
      <c r="E926" s="172">
        <v>234</v>
      </c>
      <c r="F926" s="172">
        <v>0</v>
      </c>
      <c r="G926" s="156">
        <f t="shared" si="32"/>
        <v>0</v>
      </c>
      <c r="H926" s="155" t="str">
        <f t="shared" si="31"/>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926" s="193"/>
    </row>
    <row r="927" spans="1:9" s="154" customFormat="1" ht="49.9" hidden="1" customHeight="1" outlineLevel="1" x14ac:dyDescent="0.25">
      <c r="A927" s="597"/>
      <c r="B927" s="148" t="s">
        <v>447</v>
      </c>
      <c r="C927" s="49" t="s">
        <v>441</v>
      </c>
      <c r="D927" s="156">
        <v>0.1</v>
      </c>
      <c r="E927" s="172">
        <v>1</v>
      </c>
      <c r="F927" s="172">
        <v>1</v>
      </c>
      <c r="G927" s="156">
        <f t="shared" si="32"/>
        <v>1</v>
      </c>
      <c r="H927" s="155" t="str">
        <f t="shared" si="31"/>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927" s="193"/>
    </row>
    <row r="928" spans="1:9" s="154" customFormat="1" ht="55.15" hidden="1" customHeight="1" outlineLevel="1" x14ac:dyDescent="0.25">
      <c r="A928" s="633" t="s">
        <v>133</v>
      </c>
      <c r="B928" s="148" t="s">
        <v>440</v>
      </c>
      <c r="C928" s="49" t="s">
        <v>441</v>
      </c>
      <c r="D928" s="156">
        <v>0.15</v>
      </c>
      <c r="E928" s="149">
        <v>20</v>
      </c>
      <c r="F928" s="149">
        <v>20</v>
      </c>
      <c r="G928" s="156">
        <f t="shared" si="32"/>
        <v>1</v>
      </c>
      <c r="H928" s="152" t="s">
        <v>398</v>
      </c>
      <c r="I928" s="193"/>
    </row>
    <row r="929" spans="1:9" s="154" customFormat="1" ht="55.15" hidden="1" customHeight="1" outlineLevel="1" x14ac:dyDescent="0.25">
      <c r="A929" s="632"/>
      <c r="B929" s="148" t="s">
        <v>442</v>
      </c>
      <c r="C929" s="49" t="s">
        <v>441</v>
      </c>
      <c r="D929" s="156">
        <v>0.15</v>
      </c>
      <c r="E929" s="172">
        <v>4</v>
      </c>
      <c r="F929" s="172">
        <v>4</v>
      </c>
      <c r="G929" s="156">
        <f t="shared" si="32"/>
        <v>1</v>
      </c>
      <c r="H929" s="152" t="s">
        <v>399</v>
      </c>
      <c r="I929" s="193"/>
    </row>
    <row r="930" spans="1:9" s="154" customFormat="1" ht="55.15" hidden="1" customHeight="1" outlineLevel="1" x14ac:dyDescent="0.25">
      <c r="A930" s="632"/>
      <c r="B930" s="148" t="s">
        <v>443</v>
      </c>
      <c r="C930" s="49" t="s">
        <v>441</v>
      </c>
      <c r="D930" s="156">
        <v>0.15</v>
      </c>
      <c r="E930" s="172">
        <v>1</v>
      </c>
      <c r="F930" s="172">
        <v>1</v>
      </c>
      <c r="G930" s="156">
        <f t="shared" si="32"/>
        <v>1</v>
      </c>
      <c r="H930" s="152" t="s">
        <v>400</v>
      </c>
      <c r="I930" s="193"/>
    </row>
    <row r="931" spans="1:9" s="154" customFormat="1" ht="55.15" hidden="1" customHeight="1" outlineLevel="1" x14ac:dyDescent="0.25">
      <c r="A931" s="632"/>
      <c r="B931" s="148" t="s">
        <v>444</v>
      </c>
      <c r="C931" s="49" t="s">
        <v>441</v>
      </c>
      <c r="D931" s="156">
        <v>0.15</v>
      </c>
      <c r="E931" s="149">
        <v>362</v>
      </c>
      <c r="F931" s="149">
        <v>362</v>
      </c>
      <c r="G931" s="156">
        <f t="shared" si="32"/>
        <v>1</v>
      </c>
      <c r="H931" s="152" t="s">
        <v>401</v>
      </c>
      <c r="I931" s="193"/>
    </row>
    <row r="932" spans="1:9" s="154" customFormat="1" ht="55.15" hidden="1" customHeight="1" outlineLevel="1" x14ac:dyDescent="0.25">
      <c r="A932" s="632"/>
      <c r="B932" s="148" t="s">
        <v>445</v>
      </c>
      <c r="C932" s="49" t="s">
        <v>441</v>
      </c>
      <c r="D932" s="156">
        <v>0.15</v>
      </c>
      <c r="E932" s="172">
        <v>1</v>
      </c>
      <c r="F932" s="172">
        <v>1</v>
      </c>
      <c r="G932" s="156">
        <f t="shared" si="32"/>
        <v>1</v>
      </c>
      <c r="H932" s="152" t="s">
        <v>402</v>
      </c>
      <c r="I932" s="193"/>
    </row>
    <row r="933" spans="1:9" s="154" customFormat="1" ht="55.15" hidden="1" customHeight="1" outlineLevel="1" x14ac:dyDescent="0.25">
      <c r="A933" s="632"/>
      <c r="B933" s="148" t="s">
        <v>446</v>
      </c>
      <c r="C933" s="49" t="s">
        <v>441</v>
      </c>
      <c r="D933" s="156">
        <v>0.15</v>
      </c>
      <c r="E933" s="172">
        <v>1292</v>
      </c>
      <c r="F933" s="172">
        <v>1292</v>
      </c>
      <c r="G933" s="156">
        <f t="shared" si="32"/>
        <v>1</v>
      </c>
      <c r="H933" s="152" t="s">
        <v>403</v>
      </c>
      <c r="I933" s="193"/>
    </row>
    <row r="934" spans="1:9" s="154" customFormat="1" ht="55.15" hidden="1" customHeight="1" outlineLevel="1" x14ac:dyDescent="0.25">
      <c r="A934" s="597"/>
      <c r="B934" s="148" t="s">
        <v>447</v>
      </c>
      <c r="C934" s="49" t="s">
        <v>441</v>
      </c>
      <c r="D934" s="156">
        <v>0.1</v>
      </c>
      <c r="E934" s="172">
        <v>1</v>
      </c>
      <c r="F934" s="172">
        <v>1</v>
      </c>
      <c r="G934" s="156">
        <f t="shared" si="32"/>
        <v>1</v>
      </c>
      <c r="H934" s="152" t="s">
        <v>404</v>
      </c>
      <c r="I934" s="193"/>
    </row>
    <row r="935" spans="1:9" collapsed="1" x14ac:dyDescent="0.25"/>
    <row r="936" spans="1:9" ht="25.5" customHeight="1" x14ac:dyDescent="0.3">
      <c r="A936" s="627" t="s">
        <v>199</v>
      </c>
      <c r="B936" s="628"/>
      <c r="C936" s="628"/>
      <c r="D936" s="628"/>
      <c r="E936" s="628"/>
      <c r="F936" s="628"/>
      <c r="G936" s="628"/>
      <c r="H936" s="629"/>
    </row>
    <row r="937" spans="1:9" ht="53.25" customHeight="1" x14ac:dyDescent="0.25">
      <c r="A937" s="150" t="s">
        <v>49</v>
      </c>
      <c r="B937" s="39" t="s">
        <v>182</v>
      </c>
      <c r="C937" s="43" t="s">
        <v>148</v>
      </c>
      <c r="D937" s="43" t="s">
        <v>156</v>
      </c>
      <c r="E937" s="43" t="s">
        <v>201</v>
      </c>
      <c r="F937" s="43" t="s">
        <v>202</v>
      </c>
      <c r="G937" s="43" t="s">
        <v>203</v>
      </c>
      <c r="H937" s="39" t="s">
        <v>171</v>
      </c>
    </row>
    <row r="938" spans="1:9" ht="49.9" hidden="1" customHeight="1" outlineLevel="1" x14ac:dyDescent="0.25">
      <c r="A938" s="621" t="s">
        <v>135</v>
      </c>
      <c r="B938" s="148" t="s">
        <v>440</v>
      </c>
      <c r="C938" s="49" t="s">
        <v>441</v>
      </c>
      <c r="D938" s="156">
        <v>0.15</v>
      </c>
      <c r="E938" s="149">
        <v>20</v>
      </c>
      <c r="F938" s="149">
        <v>20</v>
      </c>
      <c r="G938" s="156">
        <f t="shared" ref="G938:G966" si="33">F938/E938</f>
        <v>1</v>
      </c>
      <c r="H938" s="152" t="s">
        <v>398</v>
      </c>
      <c r="I938" s="199"/>
    </row>
    <row r="939" spans="1:9" ht="49.9" hidden="1" customHeight="1" outlineLevel="1" x14ac:dyDescent="0.25">
      <c r="A939" s="622"/>
      <c r="B939" s="148" t="s">
        <v>442</v>
      </c>
      <c r="C939" s="49" t="s">
        <v>441</v>
      </c>
      <c r="D939" s="156">
        <v>0.15</v>
      </c>
      <c r="E939" s="172">
        <v>8</v>
      </c>
      <c r="F939" s="172">
        <v>0.2</v>
      </c>
      <c r="G939" s="156">
        <f t="shared" si="33"/>
        <v>2.5000000000000001E-2</v>
      </c>
      <c r="H939" s="152" t="s">
        <v>399</v>
      </c>
      <c r="I939" s="199"/>
    </row>
    <row r="940" spans="1:9" ht="49.9" hidden="1" customHeight="1" outlineLevel="1" x14ac:dyDescent="0.25">
      <c r="A940" s="622"/>
      <c r="B940" s="148" t="s">
        <v>443</v>
      </c>
      <c r="C940" s="49" t="s">
        <v>441</v>
      </c>
      <c r="D940" s="156">
        <v>0.15</v>
      </c>
      <c r="E940" s="172">
        <v>2</v>
      </c>
      <c r="F940" s="172">
        <v>0.15</v>
      </c>
      <c r="G940" s="156">
        <f t="shared" si="33"/>
        <v>7.4999999999999997E-2</v>
      </c>
      <c r="H940" s="152" t="s">
        <v>400</v>
      </c>
      <c r="I940" s="199"/>
    </row>
    <row r="941" spans="1:9" ht="49.9" hidden="1" customHeight="1" outlineLevel="1" x14ac:dyDescent="0.25">
      <c r="A941" s="622"/>
      <c r="B941" s="148" t="s">
        <v>444</v>
      </c>
      <c r="C941" s="49" t="s">
        <v>441</v>
      </c>
      <c r="D941" s="156">
        <v>0.15</v>
      </c>
      <c r="E941" s="149">
        <v>362</v>
      </c>
      <c r="F941" s="149">
        <v>10</v>
      </c>
      <c r="G941" s="156">
        <f t="shared" si="33"/>
        <v>2.7624309392265192E-2</v>
      </c>
      <c r="H941" s="152" t="s">
        <v>401</v>
      </c>
      <c r="I941" s="199"/>
    </row>
    <row r="942" spans="1:9" ht="49.9" hidden="1" customHeight="1" outlineLevel="1" x14ac:dyDescent="0.25">
      <c r="A942" s="622"/>
      <c r="B942" s="148" t="s">
        <v>445</v>
      </c>
      <c r="C942" s="49" t="s">
        <v>441</v>
      </c>
      <c r="D942" s="156">
        <v>0.15</v>
      </c>
      <c r="E942" s="172">
        <v>1</v>
      </c>
      <c r="F942" s="172">
        <v>1</v>
      </c>
      <c r="G942" s="156">
        <f t="shared" si="33"/>
        <v>1</v>
      </c>
      <c r="H942" s="152" t="s">
        <v>402</v>
      </c>
      <c r="I942" s="199"/>
    </row>
    <row r="943" spans="1:9" ht="49.9" hidden="1" customHeight="1" outlineLevel="1" x14ac:dyDescent="0.25">
      <c r="A943" s="622"/>
      <c r="B943" s="148" t="s">
        <v>446</v>
      </c>
      <c r="C943" s="49" t="s">
        <v>441</v>
      </c>
      <c r="D943" s="156">
        <v>0.15</v>
      </c>
      <c r="E943" s="172">
        <v>759</v>
      </c>
      <c r="F943" s="172">
        <v>278</v>
      </c>
      <c r="G943" s="156">
        <f t="shared" si="33"/>
        <v>0.3662714097496706</v>
      </c>
      <c r="H943" s="152" t="s">
        <v>403</v>
      </c>
      <c r="I943" s="199"/>
    </row>
    <row r="944" spans="1:9" ht="49.9" hidden="1" customHeight="1" outlineLevel="1" x14ac:dyDescent="0.25">
      <c r="A944" s="623"/>
      <c r="B944" s="148" t="s">
        <v>447</v>
      </c>
      <c r="C944" s="49" t="s">
        <v>441</v>
      </c>
      <c r="D944" s="156">
        <v>0.1</v>
      </c>
      <c r="E944" s="172">
        <v>1</v>
      </c>
      <c r="F944" s="172">
        <v>1</v>
      </c>
      <c r="G944" s="156">
        <f t="shared" si="33"/>
        <v>1</v>
      </c>
      <c r="H944" s="152" t="s">
        <v>404</v>
      </c>
      <c r="I944" s="199"/>
    </row>
    <row r="945" spans="1:9" ht="49.9" hidden="1" customHeight="1" outlineLevel="1" x14ac:dyDescent="0.25">
      <c r="A945" s="618" t="s">
        <v>136</v>
      </c>
      <c r="B945" s="148" t="s">
        <v>440</v>
      </c>
      <c r="C945" s="49" t="s">
        <v>441</v>
      </c>
      <c r="D945" s="156">
        <v>0.15</v>
      </c>
      <c r="E945" s="149">
        <v>20</v>
      </c>
      <c r="F945" s="149">
        <v>20</v>
      </c>
      <c r="G945" s="156">
        <f t="shared" si="33"/>
        <v>1</v>
      </c>
      <c r="H945" s="152" t="s">
        <v>405</v>
      </c>
      <c r="I945" s="199"/>
    </row>
    <row r="946" spans="1:9" ht="49.9" hidden="1" customHeight="1" outlineLevel="1" x14ac:dyDescent="0.25">
      <c r="A946" s="619"/>
      <c r="B946" s="148" t="s">
        <v>442</v>
      </c>
      <c r="C946" s="49" t="s">
        <v>441</v>
      </c>
      <c r="D946" s="156">
        <v>0.15</v>
      </c>
      <c r="E946" s="172">
        <v>8</v>
      </c>
      <c r="F946" s="172">
        <v>0.45</v>
      </c>
      <c r="G946" s="156">
        <f t="shared" si="33"/>
        <v>5.6250000000000001E-2</v>
      </c>
      <c r="H946" s="152" t="s">
        <v>406</v>
      </c>
      <c r="I946" s="199"/>
    </row>
    <row r="947" spans="1:9" ht="49.9" hidden="1" customHeight="1" outlineLevel="1" x14ac:dyDescent="0.25">
      <c r="A947" s="619"/>
      <c r="B947" s="148" t="s">
        <v>443</v>
      </c>
      <c r="C947" s="49" t="s">
        <v>441</v>
      </c>
      <c r="D947" s="156">
        <v>0.15</v>
      </c>
      <c r="E947" s="172">
        <v>2</v>
      </c>
      <c r="F947" s="172">
        <v>0.26</v>
      </c>
      <c r="G947" s="156">
        <f t="shared" si="33"/>
        <v>0.13</v>
      </c>
      <c r="H947" s="152" t="s">
        <v>407</v>
      </c>
      <c r="I947" s="199"/>
    </row>
    <row r="948" spans="1:9" ht="49.9" hidden="1" customHeight="1" outlineLevel="1" x14ac:dyDescent="0.25">
      <c r="A948" s="619"/>
      <c r="B948" s="148" t="s">
        <v>444</v>
      </c>
      <c r="C948" s="49" t="s">
        <v>441</v>
      </c>
      <c r="D948" s="156">
        <v>0.15</v>
      </c>
      <c r="E948" s="149">
        <v>362</v>
      </c>
      <c r="F948" s="149">
        <v>16</v>
      </c>
      <c r="G948" s="156">
        <f t="shared" si="33"/>
        <v>4.4198895027624308E-2</v>
      </c>
      <c r="H948" s="152" t="s">
        <v>455</v>
      </c>
      <c r="I948" s="199"/>
    </row>
    <row r="949" spans="1:9" ht="49.9" hidden="1" customHeight="1" outlineLevel="1" x14ac:dyDescent="0.25">
      <c r="A949" s="619"/>
      <c r="B949" s="148" t="s">
        <v>445</v>
      </c>
      <c r="C949" s="49" t="s">
        <v>441</v>
      </c>
      <c r="D949" s="156">
        <v>0.15</v>
      </c>
      <c r="E949" s="172">
        <v>1</v>
      </c>
      <c r="F949" s="172">
        <v>1</v>
      </c>
      <c r="G949" s="156">
        <f t="shared" si="33"/>
        <v>1</v>
      </c>
      <c r="H949" s="152" t="s">
        <v>409</v>
      </c>
      <c r="I949" s="199"/>
    </row>
    <row r="950" spans="1:9" ht="49.9" hidden="1" customHeight="1" outlineLevel="1" x14ac:dyDescent="0.25">
      <c r="A950" s="619"/>
      <c r="B950" s="148" t="s">
        <v>446</v>
      </c>
      <c r="C950" s="49" t="s">
        <v>441</v>
      </c>
      <c r="D950" s="156">
        <v>0.15</v>
      </c>
      <c r="E950" s="172">
        <v>759</v>
      </c>
      <c r="F950" s="172">
        <v>489</v>
      </c>
      <c r="G950" s="156">
        <f t="shared" si="33"/>
        <v>0.64426877470355737</v>
      </c>
      <c r="H950" s="152" t="s">
        <v>410</v>
      </c>
      <c r="I950" s="199"/>
    </row>
    <row r="951" spans="1:9" ht="49.9" hidden="1" customHeight="1" outlineLevel="1" x14ac:dyDescent="0.25">
      <c r="A951" s="620"/>
      <c r="B951" s="148" t="s">
        <v>447</v>
      </c>
      <c r="C951" s="49" t="s">
        <v>441</v>
      </c>
      <c r="D951" s="156">
        <v>0.1</v>
      </c>
      <c r="E951" s="172">
        <v>1</v>
      </c>
      <c r="F951" s="172">
        <v>1</v>
      </c>
      <c r="G951" s="156">
        <f t="shared" si="33"/>
        <v>1</v>
      </c>
      <c r="H951" s="152" t="s">
        <v>411</v>
      </c>
      <c r="I951" s="199"/>
    </row>
    <row r="952" spans="1:9" ht="49.9" hidden="1" customHeight="1" outlineLevel="1" x14ac:dyDescent="0.25">
      <c r="A952" s="618" t="s">
        <v>137</v>
      </c>
      <c r="B952" s="148" t="s">
        <v>440</v>
      </c>
      <c r="C952" s="49" t="s">
        <v>441</v>
      </c>
      <c r="D952" s="156">
        <v>0.15</v>
      </c>
      <c r="E952" s="149">
        <v>20</v>
      </c>
      <c r="F952" s="149">
        <v>20</v>
      </c>
      <c r="G952" s="156">
        <f t="shared" si="33"/>
        <v>1</v>
      </c>
      <c r="H952" s="169" t="s">
        <v>412</v>
      </c>
      <c r="I952" s="199"/>
    </row>
    <row r="953" spans="1:9" ht="49.9" hidden="1" customHeight="1" outlineLevel="1" x14ac:dyDescent="0.25">
      <c r="A953" s="619"/>
      <c r="B953" s="148" t="s">
        <v>442</v>
      </c>
      <c r="C953" s="49" t="s">
        <v>441</v>
      </c>
      <c r="D953" s="156">
        <v>0.15</v>
      </c>
      <c r="E953" s="172">
        <v>8</v>
      </c>
      <c r="F953" s="172">
        <v>1</v>
      </c>
      <c r="G953" s="156">
        <f t="shared" si="33"/>
        <v>0.125</v>
      </c>
      <c r="H953" s="169" t="s">
        <v>413</v>
      </c>
      <c r="I953" s="199"/>
    </row>
    <row r="954" spans="1:9" ht="49.9" hidden="1" customHeight="1" outlineLevel="1" x14ac:dyDescent="0.25">
      <c r="A954" s="619"/>
      <c r="B954" s="148" t="s">
        <v>443</v>
      </c>
      <c r="C954" s="49" t="s">
        <v>441</v>
      </c>
      <c r="D954" s="156">
        <v>0.15</v>
      </c>
      <c r="E954" s="172">
        <v>2</v>
      </c>
      <c r="F954" s="172">
        <v>0.36</v>
      </c>
      <c r="G954" s="156">
        <f t="shared" si="33"/>
        <v>0.18</v>
      </c>
      <c r="H954" s="169" t="s">
        <v>414</v>
      </c>
      <c r="I954" s="199"/>
    </row>
    <row r="955" spans="1:9" ht="49.9" hidden="1" customHeight="1" outlineLevel="1" x14ac:dyDescent="0.25">
      <c r="A955" s="619"/>
      <c r="B955" s="148" t="s">
        <v>444</v>
      </c>
      <c r="C955" s="49" t="s">
        <v>441</v>
      </c>
      <c r="D955" s="156">
        <v>0.15</v>
      </c>
      <c r="E955" s="149">
        <v>362</v>
      </c>
      <c r="F955" s="149">
        <v>16</v>
      </c>
      <c r="G955" s="156">
        <f t="shared" si="33"/>
        <v>4.4198895027624308E-2</v>
      </c>
      <c r="H955" s="169" t="s">
        <v>415</v>
      </c>
      <c r="I955" s="199"/>
    </row>
    <row r="956" spans="1:9" ht="49.9" hidden="1" customHeight="1" outlineLevel="1" x14ac:dyDescent="0.25">
      <c r="A956" s="619"/>
      <c r="B956" s="148" t="s">
        <v>445</v>
      </c>
      <c r="C956" s="49" t="s">
        <v>441</v>
      </c>
      <c r="D956" s="156">
        <v>0.15</v>
      </c>
      <c r="E956" s="172">
        <v>1</v>
      </c>
      <c r="F956" s="172">
        <v>1</v>
      </c>
      <c r="G956" s="156">
        <f t="shared" si="33"/>
        <v>1</v>
      </c>
      <c r="H956" s="169" t="s">
        <v>416</v>
      </c>
      <c r="I956" s="199"/>
    </row>
    <row r="957" spans="1:9" ht="49.9" hidden="1" customHeight="1" outlineLevel="1" x14ac:dyDescent="0.25">
      <c r="A957" s="619"/>
      <c r="B957" s="148" t="s">
        <v>446</v>
      </c>
      <c r="C957" s="49" t="s">
        <v>441</v>
      </c>
      <c r="D957" s="156">
        <v>0.15</v>
      </c>
      <c r="E957" s="172">
        <v>4707</v>
      </c>
      <c r="F957" s="172">
        <v>1326</v>
      </c>
      <c r="G957" s="156">
        <f t="shared" si="33"/>
        <v>0.28170809432759719</v>
      </c>
      <c r="H957" s="169" t="s">
        <v>417</v>
      </c>
      <c r="I957" s="199"/>
    </row>
    <row r="958" spans="1:9" ht="49.9" hidden="1" customHeight="1" outlineLevel="1" x14ac:dyDescent="0.25">
      <c r="A958" s="620"/>
      <c r="B958" s="148" t="s">
        <v>447</v>
      </c>
      <c r="C958" s="49" t="s">
        <v>441</v>
      </c>
      <c r="D958" s="156">
        <v>0.1</v>
      </c>
      <c r="E958" s="172">
        <v>1</v>
      </c>
      <c r="F958" s="172">
        <v>1</v>
      </c>
      <c r="G958" s="156">
        <f t="shared" si="33"/>
        <v>1</v>
      </c>
      <c r="H958" s="169" t="s">
        <v>418</v>
      </c>
      <c r="I958" s="199"/>
    </row>
    <row r="959" spans="1:9" ht="49.9" hidden="1" customHeight="1" outlineLevel="1" x14ac:dyDescent="0.25">
      <c r="A959" s="618" t="s">
        <v>138</v>
      </c>
      <c r="B959" s="148" t="s">
        <v>440</v>
      </c>
      <c r="C959" s="49" t="s">
        <v>441</v>
      </c>
      <c r="D959" s="156">
        <v>0.15</v>
      </c>
      <c r="E959" s="149">
        <v>20</v>
      </c>
      <c r="F959" s="149">
        <v>20</v>
      </c>
      <c r="G959" s="156">
        <f t="shared" si="33"/>
        <v>1</v>
      </c>
      <c r="H959" s="169"/>
      <c r="I959" s="199"/>
    </row>
    <row r="960" spans="1:9" ht="49.9" hidden="1" customHeight="1" outlineLevel="1" x14ac:dyDescent="0.25">
      <c r="A960" s="619"/>
      <c r="B960" s="148" t="s">
        <v>442</v>
      </c>
      <c r="C960" s="49" t="s">
        <v>441</v>
      </c>
      <c r="D960" s="156">
        <v>0.15</v>
      </c>
      <c r="E960" s="172">
        <v>6</v>
      </c>
      <c r="F960" s="172">
        <v>1.6</v>
      </c>
      <c r="G960" s="156">
        <f t="shared" si="33"/>
        <v>0.26666666666666666</v>
      </c>
      <c r="H960" s="169"/>
      <c r="I960" s="199"/>
    </row>
    <row r="961" spans="1:9" ht="49.9" hidden="1" customHeight="1" outlineLevel="1" x14ac:dyDescent="0.25">
      <c r="A961" s="619"/>
      <c r="B961" s="148" t="s">
        <v>443</v>
      </c>
      <c r="C961" s="49" t="s">
        <v>441</v>
      </c>
      <c r="D961" s="156">
        <v>0.15</v>
      </c>
      <c r="E961" s="172">
        <v>1</v>
      </c>
      <c r="F961" s="172">
        <v>0.51</v>
      </c>
      <c r="G961" s="156">
        <f t="shared" si="33"/>
        <v>0.51</v>
      </c>
      <c r="H961" s="169"/>
      <c r="I961" s="199"/>
    </row>
    <row r="962" spans="1:9" ht="49.9" hidden="1" customHeight="1" outlineLevel="1" x14ac:dyDescent="0.25">
      <c r="A962" s="619"/>
      <c r="B962" s="148" t="s">
        <v>444</v>
      </c>
      <c r="C962" s="49" t="s">
        <v>441</v>
      </c>
      <c r="D962" s="156">
        <v>0.15</v>
      </c>
      <c r="E962" s="149">
        <v>362</v>
      </c>
      <c r="F962" s="149">
        <v>16</v>
      </c>
      <c r="G962" s="156">
        <f t="shared" si="33"/>
        <v>4.4198895027624308E-2</v>
      </c>
      <c r="H962" s="169"/>
      <c r="I962" s="199"/>
    </row>
    <row r="963" spans="1:9" ht="49.9" hidden="1" customHeight="1" outlineLevel="1" x14ac:dyDescent="0.25">
      <c r="A963" s="619"/>
      <c r="B963" s="148" t="s">
        <v>445</v>
      </c>
      <c r="C963" s="49" t="s">
        <v>441</v>
      </c>
      <c r="D963" s="156">
        <v>0.15</v>
      </c>
      <c r="E963" s="172">
        <v>1</v>
      </c>
      <c r="F963" s="172">
        <v>1</v>
      </c>
      <c r="G963" s="156">
        <f t="shared" si="33"/>
        <v>1</v>
      </c>
      <c r="H963" s="169"/>
      <c r="I963" s="199"/>
    </row>
    <row r="964" spans="1:9" ht="49.9" hidden="1" customHeight="1" outlineLevel="1" x14ac:dyDescent="0.25">
      <c r="A964" s="619"/>
      <c r="B964" s="148" t="s">
        <v>446</v>
      </c>
      <c r="C964" s="49" t="s">
        <v>441</v>
      </c>
      <c r="D964" s="156">
        <v>0.15</v>
      </c>
      <c r="E964" s="172">
        <v>4707</v>
      </c>
      <c r="F964" s="172">
        <v>1501</v>
      </c>
      <c r="G964" s="156">
        <f t="shared" si="33"/>
        <v>0.31888676439345653</v>
      </c>
      <c r="H964" s="169"/>
      <c r="I964" s="199"/>
    </row>
    <row r="965" spans="1:9" ht="49.9" hidden="1" customHeight="1" outlineLevel="1" x14ac:dyDescent="0.25">
      <c r="A965" s="620"/>
      <c r="B965" s="148" t="s">
        <v>447</v>
      </c>
      <c r="C965" s="49" t="s">
        <v>441</v>
      </c>
      <c r="D965" s="156">
        <v>0.1</v>
      </c>
      <c r="E965" s="172">
        <v>528678000</v>
      </c>
      <c r="F965" s="172">
        <v>516118000</v>
      </c>
      <c r="G965" s="156">
        <f t="shared" si="33"/>
        <v>0.97624262783773863</v>
      </c>
      <c r="H965" s="40"/>
      <c r="I965" s="199"/>
    </row>
    <row r="966" spans="1:9" ht="49.9" hidden="1" customHeight="1" outlineLevel="1" x14ac:dyDescent="0.25">
      <c r="A966" s="618" t="s">
        <v>139</v>
      </c>
      <c r="B966" s="148" t="s">
        <v>440</v>
      </c>
      <c r="C966" s="49" t="s">
        <v>441</v>
      </c>
      <c r="D966" s="156">
        <v>0.15</v>
      </c>
      <c r="E966" s="149">
        <v>20</v>
      </c>
      <c r="F966" s="149">
        <v>20</v>
      </c>
      <c r="G966" s="156">
        <f t="shared" si="33"/>
        <v>1</v>
      </c>
      <c r="H966" s="170" t="s">
        <v>456</v>
      </c>
      <c r="I966" s="199"/>
    </row>
    <row r="967" spans="1:9" ht="49.9" hidden="1" customHeight="1" outlineLevel="1" x14ac:dyDescent="0.25">
      <c r="A967" s="619"/>
      <c r="B967" s="148" t="s">
        <v>442</v>
      </c>
      <c r="C967" s="49" t="s">
        <v>441</v>
      </c>
      <c r="D967" s="156">
        <v>0.15</v>
      </c>
      <c r="E967" s="172">
        <v>8</v>
      </c>
      <c r="F967" s="172">
        <v>2.4</v>
      </c>
      <c r="G967" s="156">
        <f t="shared" ref="G967:G979" si="34">F967/E967</f>
        <v>0.3</v>
      </c>
      <c r="H967" s="170" t="s">
        <v>449</v>
      </c>
      <c r="I967" s="199"/>
    </row>
    <row r="968" spans="1:9" ht="49.9" hidden="1" customHeight="1" outlineLevel="1" x14ac:dyDescent="0.25">
      <c r="A968" s="619"/>
      <c r="B968" s="148" t="s">
        <v>443</v>
      </c>
      <c r="C968" s="49" t="s">
        <v>441</v>
      </c>
      <c r="D968" s="156">
        <v>0.15</v>
      </c>
      <c r="E968" s="172">
        <v>2</v>
      </c>
      <c r="F968" s="172">
        <v>0.65</v>
      </c>
      <c r="G968" s="156">
        <f t="shared" si="34"/>
        <v>0.32500000000000001</v>
      </c>
      <c r="H968" s="170" t="s">
        <v>457</v>
      </c>
      <c r="I968" s="199"/>
    </row>
    <row r="969" spans="1:9" ht="49.9" hidden="1" customHeight="1" outlineLevel="1" x14ac:dyDescent="0.25">
      <c r="A969" s="619"/>
      <c r="B969" s="148" t="s">
        <v>444</v>
      </c>
      <c r="C969" s="49" t="s">
        <v>441</v>
      </c>
      <c r="D969" s="156">
        <v>0.15</v>
      </c>
      <c r="E969" s="149">
        <v>766</v>
      </c>
      <c r="F969" s="149">
        <v>357</v>
      </c>
      <c r="G969" s="156">
        <f t="shared" si="34"/>
        <v>0.4660574412532637</v>
      </c>
      <c r="H969" s="170" t="s">
        <v>458</v>
      </c>
      <c r="I969" s="199"/>
    </row>
    <row r="970" spans="1:9" ht="49.9" hidden="1" customHeight="1" outlineLevel="1" x14ac:dyDescent="0.25">
      <c r="A970" s="619"/>
      <c r="B970" s="148" t="s">
        <v>445</v>
      </c>
      <c r="C970" s="49" t="s">
        <v>441</v>
      </c>
      <c r="D970" s="156">
        <v>0.15</v>
      </c>
      <c r="E970" s="172">
        <v>1</v>
      </c>
      <c r="F970" s="172">
        <v>1</v>
      </c>
      <c r="G970" s="156">
        <f t="shared" si="34"/>
        <v>1</v>
      </c>
      <c r="H970" s="170" t="s">
        <v>459</v>
      </c>
      <c r="I970" s="199"/>
    </row>
    <row r="971" spans="1:9" ht="49.9" hidden="1" customHeight="1" outlineLevel="1" x14ac:dyDescent="0.25">
      <c r="A971" s="619"/>
      <c r="B971" s="148" t="s">
        <v>446</v>
      </c>
      <c r="C971" s="49" t="s">
        <v>441</v>
      </c>
      <c r="D971" s="156">
        <v>0.15</v>
      </c>
      <c r="E971" s="172">
        <v>4707</v>
      </c>
      <c r="F971" s="172">
        <v>2706</v>
      </c>
      <c r="G971" s="156">
        <f t="shared" si="34"/>
        <v>0.57488846398980242</v>
      </c>
      <c r="H971" s="170" t="s">
        <v>460</v>
      </c>
      <c r="I971" s="199"/>
    </row>
    <row r="972" spans="1:9" ht="49.9" hidden="1" customHeight="1" outlineLevel="1" x14ac:dyDescent="0.25">
      <c r="A972" s="620"/>
      <c r="B972" s="148" t="s">
        <v>447</v>
      </c>
      <c r="C972" s="49" t="s">
        <v>441</v>
      </c>
      <c r="D972" s="156">
        <v>0.1</v>
      </c>
      <c r="E972" s="175">
        <v>1</v>
      </c>
      <c r="F972" s="175">
        <v>1</v>
      </c>
      <c r="G972" s="156">
        <f t="shared" si="34"/>
        <v>1</v>
      </c>
      <c r="H972" s="170" t="s">
        <v>454</v>
      </c>
      <c r="I972" s="199"/>
    </row>
    <row r="973" spans="1:9" ht="49.9" hidden="1" customHeight="1" outlineLevel="1" x14ac:dyDescent="0.25">
      <c r="A973" s="618" t="s">
        <v>140</v>
      </c>
      <c r="B973" s="148" t="s">
        <v>440</v>
      </c>
      <c r="C973" s="49" t="s">
        <v>441</v>
      </c>
      <c r="D973" s="156">
        <v>0.15</v>
      </c>
      <c r="E973" s="149">
        <v>20</v>
      </c>
      <c r="F973" s="149">
        <v>20</v>
      </c>
      <c r="G973" s="156">
        <f>F973/E973</f>
        <v>1</v>
      </c>
      <c r="H973" s="170" t="s">
        <v>467</v>
      </c>
    </row>
    <row r="974" spans="1:9" ht="49.9" hidden="1" customHeight="1" outlineLevel="1" x14ac:dyDescent="0.25">
      <c r="A974" s="619"/>
      <c r="B974" s="148" t="s">
        <v>442</v>
      </c>
      <c r="C974" s="49" t="s">
        <v>441</v>
      </c>
      <c r="D974" s="156">
        <v>0.15</v>
      </c>
      <c r="E974" s="172">
        <v>8</v>
      </c>
      <c r="F974" s="172">
        <v>3</v>
      </c>
      <c r="G974" s="156">
        <f t="shared" si="34"/>
        <v>0.375</v>
      </c>
      <c r="H974" s="170" t="s">
        <v>340</v>
      </c>
    </row>
    <row r="975" spans="1:9" ht="49.9" hidden="1" customHeight="1" outlineLevel="1" x14ac:dyDescent="0.25">
      <c r="A975" s="619"/>
      <c r="B975" s="148" t="s">
        <v>443</v>
      </c>
      <c r="C975" s="49" t="s">
        <v>441</v>
      </c>
      <c r="D975" s="156">
        <v>0.15</v>
      </c>
      <c r="E975" s="172">
        <v>2</v>
      </c>
      <c r="F975" s="172">
        <v>1</v>
      </c>
      <c r="G975" s="156">
        <f t="shared" si="34"/>
        <v>0.5</v>
      </c>
      <c r="H975" s="170" t="s">
        <v>468</v>
      </c>
    </row>
    <row r="976" spans="1:9" ht="49.9" hidden="1" customHeight="1" outlineLevel="1" x14ac:dyDescent="0.25">
      <c r="A976" s="619"/>
      <c r="B976" s="148" t="s">
        <v>444</v>
      </c>
      <c r="C976" s="49" t="s">
        <v>441</v>
      </c>
      <c r="D976" s="156">
        <v>0.15</v>
      </c>
      <c r="E976" s="149">
        <v>766</v>
      </c>
      <c r="F976" s="149">
        <v>463</v>
      </c>
      <c r="G976" s="156">
        <f t="shared" si="34"/>
        <v>0.6044386422976501</v>
      </c>
      <c r="H976" s="170" t="s">
        <v>469</v>
      </c>
    </row>
    <row r="977" spans="1:8" ht="49.9" hidden="1" customHeight="1" outlineLevel="1" x14ac:dyDescent="0.25">
      <c r="A977" s="619"/>
      <c r="B977" s="148" t="s">
        <v>445</v>
      </c>
      <c r="C977" s="49" t="s">
        <v>441</v>
      </c>
      <c r="D977" s="156">
        <v>0.15</v>
      </c>
      <c r="E977" s="172">
        <v>1</v>
      </c>
      <c r="F977" s="172">
        <v>1</v>
      </c>
      <c r="G977" s="156">
        <f t="shared" si="34"/>
        <v>1</v>
      </c>
      <c r="H977" s="170" t="s">
        <v>464</v>
      </c>
    </row>
    <row r="978" spans="1:8" ht="49.9" hidden="1" customHeight="1" outlineLevel="1" x14ac:dyDescent="0.25">
      <c r="A978" s="619"/>
      <c r="B978" s="148" t="s">
        <v>446</v>
      </c>
      <c r="C978" s="49" t="s">
        <v>441</v>
      </c>
      <c r="D978" s="156">
        <v>0.15</v>
      </c>
      <c r="E978" s="172">
        <v>4707</v>
      </c>
      <c r="F978" s="172">
        <v>3504</v>
      </c>
      <c r="G978" s="156">
        <f t="shared" si="34"/>
        <v>0.74442319949012115</v>
      </c>
      <c r="H978" s="170" t="s">
        <v>465</v>
      </c>
    </row>
    <row r="979" spans="1:8" ht="49.9" hidden="1" customHeight="1" outlineLevel="1" x14ac:dyDescent="0.25">
      <c r="A979" s="620"/>
      <c r="B979" s="148" t="s">
        <v>447</v>
      </c>
      <c r="C979" s="49" t="s">
        <v>441</v>
      </c>
      <c r="D979" s="156">
        <v>0.1</v>
      </c>
      <c r="E979" s="175">
        <v>1</v>
      </c>
      <c r="F979" s="175">
        <v>0.92</v>
      </c>
      <c r="G979" s="156">
        <f t="shared" si="34"/>
        <v>0.92</v>
      </c>
      <c r="H979" s="170" t="s">
        <v>466</v>
      </c>
    </row>
    <row r="980" spans="1:8" ht="49.9" hidden="1" customHeight="1" outlineLevel="1" x14ac:dyDescent="0.25">
      <c r="A980" s="618" t="s">
        <v>128</v>
      </c>
      <c r="B980" s="148" t="s">
        <v>440</v>
      </c>
      <c r="C980" s="49" t="s">
        <v>441</v>
      </c>
      <c r="D980" s="156">
        <v>0.15</v>
      </c>
      <c r="E980" s="149">
        <v>20</v>
      </c>
      <c r="F980" s="149">
        <v>20</v>
      </c>
      <c r="G980" s="156">
        <f>F980/E980</f>
        <v>1</v>
      </c>
      <c r="H980" s="181" t="s">
        <v>472</v>
      </c>
    </row>
    <row r="981" spans="1:8" ht="49.9" hidden="1" customHeight="1" outlineLevel="1" x14ac:dyDescent="0.25">
      <c r="A981" s="619"/>
      <c r="B981" s="148" t="s">
        <v>442</v>
      </c>
      <c r="C981" s="49" t="s">
        <v>441</v>
      </c>
      <c r="D981" s="156">
        <v>0.15</v>
      </c>
      <c r="E981" s="172">
        <v>8</v>
      </c>
      <c r="F981" s="172">
        <v>3.8</v>
      </c>
      <c r="G981" s="156">
        <f t="shared" ref="G981:G986" si="35">F981/E981</f>
        <v>0.47499999999999998</v>
      </c>
      <c r="H981" s="181" t="s">
        <v>473</v>
      </c>
    </row>
    <row r="982" spans="1:8" ht="49.9" hidden="1" customHeight="1" outlineLevel="1" x14ac:dyDescent="0.25">
      <c r="A982" s="619"/>
      <c r="B982" s="148" t="s">
        <v>443</v>
      </c>
      <c r="C982" s="49" t="s">
        <v>441</v>
      </c>
      <c r="D982" s="156">
        <v>0.15</v>
      </c>
      <c r="E982" s="172">
        <v>2</v>
      </c>
      <c r="F982" s="172">
        <v>1.26</v>
      </c>
      <c r="G982" s="156">
        <f t="shared" si="35"/>
        <v>0.63</v>
      </c>
      <c r="H982" s="181" t="s">
        <v>474</v>
      </c>
    </row>
    <row r="983" spans="1:8" ht="49.9" hidden="1" customHeight="1" outlineLevel="1" x14ac:dyDescent="0.25">
      <c r="A983" s="619"/>
      <c r="B983" s="148" t="s">
        <v>444</v>
      </c>
      <c r="C983" s="49" t="s">
        <v>441</v>
      </c>
      <c r="D983" s="156">
        <v>0.15</v>
      </c>
      <c r="E983" s="149">
        <v>766</v>
      </c>
      <c r="F983" s="149">
        <v>440</v>
      </c>
      <c r="G983" s="156">
        <f t="shared" si="35"/>
        <v>0.5744125326370757</v>
      </c>
      <c r="H983" s="170" t="s">
        <v>479</v>
      </c>
    </row>
    <row r="984" spans="1:8" ht="49.9" hidden="1" customHeight="1" outlineLevel="1" x14ac:dyDescent="0.25">
      <c r="A984" s="619"/>
      <c r="B984" s="148" t="s">
        <v>445</v>
      </c>
      <c r="C984" s="49" t="s">
        <v>441</v>
      </c>
      <c r="D984" s="156">
        <v>0.15</v>
      </c>
      <c r="E984" s="172">
        <v>1</v>
      </c>
      <c r="F984" s="172">
        <v>1.17</v>
      </c>
      <c r="G984" s="156">
        <f t="shared" si="35"/>
        <v>1.17</v>
      </c>
      <c r="H984" s="181" t="s">
        <v>475</v>
      </c>
    </row>
    <row r="985" spans="1:8" ht="49.9" hidden="1" customHeight="1" outlineLevel="1" x14ac:dyDescent="0.25">
      <c r="A985" s="619"/>
      <c r="B985" s="148" t="s">
        <v>446</v>
      </c>
      <c r="C985" s="49" t="s">
        <v>441</v>
      </c>
      <c r="D985" s="156">
        <v>0.15</v>
      </c>
      <c r="E985" s="172">
        <v>4707</v>
      </c>
      <c r="F985" s="172">
        <v>3769</v>
      </c>
      <c r="G985" s="156">
        <f t="shared" si="35"/>
        <v>0.80072232844699387</v>
      </c>
      <c r="H985" s="181" t="s">
        <v>476</v>
      </c>
    </row>
    <row r="986" spans="1:8" ht="49.9" hidden="1" customHeight="1" outlineLevel="1" x14ac:dyDescent="0.25">
      <c r="A986" s="620"/>
      <c r="B986" s="148" t="s">
        <v>447</v>
      </c>
      <c r="C986" s="49" t="s">
        <v>441</v>
      </c>
      <c r="D986" s="156">
        <v>0.1</v>
      </c>
      <c r="E986" s="175">
        <v>1</v>
      </c>
      <c r="F986" s="175">
        <v>1</v>
      </c>
      <c r="G986" s="156">
        <f t="shared" si="35"/>
        <v>1</v>
      </c>
      <c r="H986" s="181" t="s">
        <v>477</v>
      </c>
    </row>
    <row r="987" spans="1:8" ht="40.15" hidden="1" customHeight="1" outlineLevel="1" x14ac:dyDescent="0.25">
      <c r="A987" s="618" t="s">
        <v>129</v>
      </c>
      <c r="B987" s="148" t="s">
        <v>440</v>
      </c>
      <c r="C987" s="49" t="s">
        <v>441</v>
      </c>
      <c r="D987" s="156">
        <v>0.15</v>
      </c>
      <c r="E987" s="149">
        <v>20</v>
      </c>
      <c r="F987" s="149">
        <v>20</v>
      </c>
      <c r="G987" s="156">
        <f>F987/E987</f>
        <v>1</v>
      </c>
      <c r="H987" s="181" t="s">
        <v>472</v>
      </c>
    </row>
    <row r="988" spans="1:8" ht="40.15" hidden="1" customHeight="1" outlineLevel="1" x14ac:dyDescent="0.25">
      <c r="A988" s="619"/>
      <c r="B988" s="148" t="s">
        <v>442</v>
      </c>
      <c r="C988" s="49" t="s">
        <v>441</v>
      </c>
      <c r="D988" s="156">
        <v>0.15</v>
      </c>
      <c r="E988" s="172">
        <v>8</v>
      </c>
      <c r="F988" s="172">
        <v>4.5999999999999996</v>
      </c>
      <c r="G988" s="156">
        <f t="shared" ref="G988:G993" si="36">F988/E988</f>
        <v>0.57499999999999996</v>
      </c>
      <c r="H988" s="181" t="s">
        <v>473</v>
      </c>
    </row>
    <row r="989" spans="1:8" ht="40.15" hidden="1" customHeight="1" outlineLevel="1" x14ac:dyDescent="0.25">
      <c r="A989" s="619"/>
      <c r="B989" s="148" t="s">
        <v>443</v>
      </c>
      <c r="C989" s="49" t="s">
        <v>441</v>
      </c>
      <c r="D989" s="156">
        <v>0.15</v>
      </c>
      <c r="E989" s="172">
        <v>2</v>
      </c>
      <c r="F989" s="172">
        <v>1.39</v>
      </c>
      <c r="G989" s="156">
        <f t="shared" si="36"/>
        <v>0.69499999999999995</v>
      </c>
      <c r="H989" s="181" t="s">
        <v>474</v>
      </c>
    </row>
    <row r="990" spans="1:8" ht="40.15" hidden="1" customHeight="1" outlineLevel="1" x14ac:dyDescent="0.25">
      <c r="A990" s="619"/>
      <c r="B990" s="148" t="s">
        <v>444</v>
      </c>
      <c r="C990" s="49" t="s">
        <v>441</v>
      </c>
      <c r="D990" s="156">
        <v>0.15</v>
      </c>
      <c r="E990" s="149">
        <v>766</v>
      </c>
      <c r="F990" s="149">
        <v>529</v>
      </c>
      <c r="G990" s="156">
        <f t="shared" si="36"/>
        <v>0.69060052219321144</v>
      </c>
      <c r="H990" s="170" t="s">
        <v>479</v>
      </c>
    </row>
    <row r="991" spans="1:8" ht="40.15" hidden="1" customHeight="1" outlineLevel="1" x14ac:dyDescent="0.25">
      <c r="A991" s="619"/>
      <c r="B991" s="148" t="s">
        <v>445</v>
      </c>
      <c r="C991" s="49" t="s">
        <v>441</v>
      </c>
      <c r="D991" s="156">
        <v>0.15</v>
      </c>
      <c r="E991" s="172">
        <v>1</v>
      </c>
      <c r="F991" s="172">
        <v>1.67</v>
      </c>
      <c r="G991" s="156">
        <f t="shared" si="36"/>
        <v>1.67</v>
      </c>
      <c r="H991" s="181" t="s">
        <v>475</v>
      </c>
    </row>
    <row r="992" spans="1:8" ht="40.15" hidden="1" customHeight="1" outlineLevel="1" x14ac:dyDescent="0.25">
      <c r="A992" s="619"/>
      <c r="B992" s="148" t="s">
        <v>446</v>
      </c>
      <c r="C992" s="49" t="s">
        <v>441</v>
      </c>
      <c r="D992" s="156">
        <v>0.15</v>
      </c>
      <c r="E992" s="172">
        <v>4707</v>
      </c>
      <c r="F992" s="172">
        <v>3972</v>
      </c>
      <c r="G992" s="156">
        <f t="shared" si="36"/>
        <v>0.84384958572339075</v>
      </c>
      <c r="H992" s="181" t="s">
        <v>476</v>
      </c>
    </row>
    <row r="993" spans="1:8" ht="40.15" hidden="1" customHeight="1" outlineLevel="1" x14ac:dyDescent="0.25">
      <c r="A993" s="620"/>
      <c r="B993" s="148" t="s">
        <v>447</v>
      </c>
      <c r="C993" s="49" t="s">
        <v>441</v>
      </c>
      <c r="D993" s="156">
        <v>0.1</v>
      </c>
      <c r="E993" s="175">
        <v>1</v>
      </c>
      <c r="F993" s="175">
        <v>1</v>
      </c>
      <c r="G993" s="156">
        <f t="shared" si="36"/>
        <v>1</v>
      </c>
      <c r="H993" s="181" t="s">
        <v>477</v>
      </c>
    </row>
    <row r="994" spans="1:8" ht="40.15" hidden="1" customHeight="1" outlineLevel="1" x14ac:dyDescent="0.25">
      <c r="A994" s="618" t="s">
        <v>130</v>
      </c>
      <c r="B994" s="148" t="s">
        <v>440</v>
      </c>
      <c r="C994" s="49" t="s">
        <v>441</v>
      </c>
      <c r="D994" s="156">
        <v>0.15</v>
      </c>
      <c r="E994" s="149">
        <v>20</v>
      </c>
      <c r="F994" s="149">
        <v>20</v>
      </c>
      <c r="G994" s="156">
        <f>F994/E994</f>
        <v>1</v>
      </c>
      <c r="H994" s="201" t="s">
        <v>492</v>
      </c>
    </row>
    <row r="995" spans="1:8" ht="40.15" hidden="1" customHeight="1" outlineLevel="1" x14ac:dyDescent="0.25">
      <c r="A995" s="619"/>
      <c r="B995" s="148" t="s">
        <v>442</v>
      </c>
      <c r="C995" s="49" t="s">
        <v>441</v>
      </c>
      <c r="D995" s="156">
        <v>0.15</v>
      </c>
      <c r="E995" s="172">
        <v>8</v>
      </c>
      <c r="F995" s="172">
        <v>5.65</v>
      </c>
      <c r="G995" s="156">
        <f t="shared" ref="G995:G1014" si="37">F995/E995</f>
        <v>0.70625000000000004</v>
      </c>
      <c r="H995" s="201" t="s">
        <v>490</v>
      </c>
    </row>
    <row r="996" spans="1:8" ht="40.15" hidden="1" customHeight="1" outlineLevel="1" x14ac:dyDescent="0.25">
      <c r="A996" s="619"/>
      <c r="B996" s="148" t="s">
        <v>443</v>
      </c>
      <c r="C996" s="49" t="s">
        <v>441</v>
      </c>
      <c r="D996" s="156">
        <v>0.15</v>
      </c>
      <c r="E996" s="172">
        <v>2</v>
      </c>
      <c r="F996" s="172">
        <v>1.56</v>
      </c>
      <c r="G996" s="156">
        <f t="shared" si="37"/>
        <v>0.78</v>
      </c>
      <c r="H996" s="201" t="s">
        <v>491</v>
      </c>
    </row>
    <row r="997" spans="1:8" ht="40.15" hidden="1" customHeight="1" outlineLevel="1" x14ac:dyDescent="0.25">
      <c r="A997" s="619"/>
      <c r="B997" s="148" t="s">
        <v>444</v>
      </c>
      <c r="C997" s="49" t="s">
        <v>441</v>
      </c>
      <c r="D997" s="156">
        <v>0.15</v>
      </c>
      <c r="E997" s="149">
        <v>766</v>
      </c>
      <c r="F997" s="149">
        <v>622</v>
      </c>
      <c r="G997" s="156">
        <f t="shared" si="37"/>
        <v>0.81201044386422971</v>
      </c>
      <c r="H997" s="201" t="s">
        <v>488</v>
      </c>
    </row>
    <row r="998" spans="1:8" ht="40.15" hidden="1" customHeight="1" outlineLevel="1" x14ac:dyDescent="0.25">
      <c r="A998" s="619"/>
      <c r="B998" s="148" t="s">
        <v>445</v>
      </c>
      <c r="C998" s="49" t="s">
        <v>441</v>
      </c>
      <c r="D998" s="156">
        <v>0.15</v>
      </c>
      <c r="E998" s="172">
        <v>1</v>
      </c>
      <c r="F998" s="172">
        <v>1</v>
      </c>
      <c r="G998" s="156">
        <f t="shared" si="37"/>
        <v>1</v>
      </c>
      <c r="H998" s="201" t="s">
        <v>489</v>
      </c>
    </row>
    <row r="999" spans="1:8" ht="40.15" hidden="1" customHeight="1" outlineLevel="1" x14ac:dyDescent="0.25">
      <c r="A999" s="619"/>
      <c r="B999" s="148" t="s">
        <v>446</v>
      </c>
      <c r="C999" s="49" t="s">
        <v>441</v>
      </c>
      <c r="D999" s="156">
        <v>0.15</v>
      </c>
      <c r="E999" s="172">
        <v>4707</v>
      </c>
      <c r="F999" s="172">
        <v>3972</v>
      </c>
      <c r="G999" s="156">
        <f t="shared" si="37"/>
        <v>0.84384958572339075</v>
      </c>
      <c r="H999" s="201" t="s">
        <v>487</v>
      </c>
    </row>
    <row r="1000" spans="1:8" ht="40.15" hidden="1" customHeight="1" outlineLevel="1" x14ac:dyDescent="0.25">
      <c r="A1000" s="620"/>
      <c r="B1000" s="148" t="s">
        <v>447</v>
      </c>
      <c r="C1000" s="49" t="s">
        <v>441</v>
      </c>
      <c r="D1000" s="156">
        <v>0.1</v>
      </c>
      <c r="E1000" s="175">
        <v>1</v>
      </c>
      <c r="F1000" s="175">
        <v>1</v>
      </c>
      <c r="G1000" s="156">
        <f t="shared" si="37"/>
        <v>1</v>
      </c>
      <c r="H1000" s="201" t="s">
        <v>493</v>
      </c>
    </row>
    <row r="1001" spans="1:8" ht="49.9" hidden="1" customHeight="1" outlineLevel="1" x14ac:dyDescent="0.25">
      <c r="A1001" s="618" t="s">
        <v>131</v>
      </c>
      <c r="B1001" s="148" t="s">
        <v>440</v>
      </c>
      <c r="C1001" s="49" t="s">
        <v>441</v>
      </c>
      <c r="D1001" s="156">
        <v>0.15</v>
      </c>
      <c r="E1001" s="149">
        <v>20</v>
      </c>
      <c r="F1001" s="149">
        <v>20</v>
      </c>
      <c r="G1001" s="156">
        <f>F1001/E1001</f>
        <v>1</v>
      </c>
      <c r="H1001" s="201" t="s">
        <v>519</v>
      </c>
    </row>
    <row r="1002" spans="1:8" ht="49.9" hidden="1" customHeight="1" outlineLevel="1" x14ac:dyDescent="0.25">
      <c r="A1002" s="619"/>
      <c r="B1002" s="148" t="s">
        <v>442</v>
      </c>
      <c r="C1002" s="49" t="s">
        <v>441</v>
      </c>
      <c r="D1002" s="156">
        <v>0.15</v>
      </c>
      <c r="E1002" s="172">
        <v>8</v>
      </c>
      <c r="F1002" s="172">
        <v>6.5</v>
      </c>
      <c r="G1002" s="156">
        <f t="shared" si="37"/>
        <v>0.8125</v>
      </c>
      <c r="H1002" s="201" t="s">
        <v>503</v>
      </c>
    </row>
    <row r="1003" spans="1:8" ht="49.9" hidden="1" customHeight="1" outlineLevel="1" x14ac:dyDescent="0.25">
      <c r="A1003" s="619"/>
      <c r="B1003" s="148" t="s">
        <v>443</v>
      </c>
      <c r="C1003" s="49" t="s">
        <v>441</v>
      </c>
      <c r="D1003" s="156">
        <v>0.15</v>
      </c>
      <c r="E1003" s="172">
        <v>2</v>
      </c>
      <c r="F1003" s="172">
        <v>1.77</v>
      </c>
      <c r="G1003" s="156">
        <f>F1003/E1003</f>
        <v>0.88500000000000001</v>
      </c>
      <c r="H1003" s="201" t="s">
        <v>504</v>
      </c>
    </row>
    <row r="1004" spans="1:8" ht="49.9" hidden="1" customHeight="1" outlineLevel="1" x14ac:dyDescent="0.25">
      <c r="A1004" s="619"/>
      <c r="B1004" s="148" t="s">
        <v>444</v>
      </c>
      <c r="C1004" s="49" t="s">
        <v>441</v>
      </c>
      <c r="D1004" s="156">
        <v>0.15</v>
      </c>
      <c r="E1004" s="149">
        <v>766</v>
      </c>
      <c r="F1004" s="149">
        <v>691</v>
      </c>
      <c r="G1004" s="156">
        <f t="shared" si="37"/>
        <v>0.90208877284595301</v>
      </c>
      <c r="H1004" s="201" t="s">
        <v>505</v>
      </c>
    </row>
    <row r="1005" spans="1:8" ht="49.9" hidden="1" customHeight="1" outlineLevel="1" x14ac:dyDescent="0.25">
      <c r="A1005" s="619"/>
      <c r="B1005" s="148" t="s">
        <v>445</v>
      </c>
      <c r="C1005" s="49" t="s">
        <v>441</v>
      </c>
      <c r="D1005" s="156">
        <v>0.15</v>
      </c>
      <c r="E1005" s="172">
        <v>1</v>
      </c>
      <c r="F1005" s="172">
        <v>1</v>
      </c>
      <c r="G1005" s="156">
        <f t="shared" si="37"/>
        <v>1</v>
      </c>
      <c r="H1005" s="170" t="s">
        <v>495</v>
      </c>
    </row>
    <row r="1006" spans="1:8" ht="49.9" hidden="1" customHeight="1" outlineLevel="1" x14ac:dyDescent="0.25">
      <c r="A1006" s="619"/>
      <c r="B1006" s="148" t="s">
        <v>446</v>
      </c>
      <c r="C1006" s="49" t="s">
        <v>441</v>
      </c>
      <c r="D1006" s="156">
        <v>0.15</v>
      </c>
      <c r="E1006" s="172">
        <v>4707</v>
      </c>
      <c r="F1006" s="172">
        <v>4841</v>
      </c>
      <c r="G1006" s="156">
        <f t="shared" si="37"/>
        <v>1.0284682387932866</v>
      </c>
      <c r="H1006" s="170" t="s">
        <v>501</v>
      </c>
    </row>
    <row r="1007" spans="1:8" ht="49.9" hidden="1" customHeight="1" outlineLevel="1" x14ac:dyDescent="0.25">
      <c r="A1007" s="620"/>
      <c r="B1007" s="148" t="s">
        <v>447</v>
      </c>
      <c r="C1007" s="49" t="s">
        <v>441</v>
      </c>
      <c r="D1007" s="156">
        <v>0.1</v>
      </c>
      <c r="E1007" s="175">
        <v>1</v>
      </c>
      <c r="F1007" s="175">
        <v>1</v>
      </c>
      <c r="G1007" s="156">
        <f t="shared" si="37"/>
        <v>1</v>
      </c>
      <c r="H1007" s="201" t="s">
        <v>493</v>
      </c>
    </row>
    <row r="1008" spans="1:8" ht="49.9" hidden="1" customHeight="1" outlineLevel="1" x14ac:dyDescent="0.25">
      <c r="A1008" s="624" t="s">
        <v>132</v>
      </c>
      <c r="B1008" s="148" t="s">
        <v>440</v>
      </c>
      <c r="C1008" s="49" t="s">
        <v>441</v>
      </c>
      <c r="D1008" s="156">
        <v>0.15</v>
      </c>
      <c r="E1008" s="149">
        <v>20</v>
      </c>
      <c r="F1008" s="149">
        <v>20</v>
      </c>
      <c r="G1008" s="156">
        <f>F1008/E1008</f>
        <v>1</v>
      </c>
      <c r="H1008" s="201" t="s">
        <v>516</v>
      </c>
    </row>
    <row r="1009" spans="1:8" ht="49.9" hidden="1" customHeight="1" outlineLevel="1" x14ac:dyDescent="0.25">
      <c r="A1009" s="625"/>
      <c r="B1009" s="148" t="s">
        <v>442</v>
      </c>
      <c r="C1009" s="49" t="s">
        <v>441</v>
      </c>
      <c r="D1009" s="156">
        <v>0.15</v>
      </c>
      <c r="E1009" s="172">
        <v>8</v>
      </c>
      <c r="F1009" s="172">
        <v>7.1</v>
      </c>
      <c r="G1009" s="156">
        <f t="shared" si="37"/>
        <v>0.88749999999999996</v>
      </c>
      <c r="H1009" s="201" t="s">
        <v>513</v>
      </c>
    </row>
    <row r="1010" spans="1:8" ht="49.9" hidden="1" customHeight="1" outlineLevel="1" x14ac:dyDescent="0.25">
      <c r="A1010" s="625"/>
      <c r="B1010" s="148" t="s">
        <v>443</v>
      </c>
      <c r="C1010" s="49" t="s">
        <v>441</v>
      </c>
      <c r="D1010" s="156">
        <v>0.15</v>
      </c>
      <c r="E1010" s="172">
        <v>2</v>
      </c>
      <c r="F1010" s="172">
        <v>1.94</v>
      </c>
      <c r="G1010" s="156">
        <f>F1010/E1010</f>
        <v>0.97</v>
      </c>
      <c r="H1010" s="201" t="s">
        <v>518</v>
      </c>
    </row>
    <row r="1011" spans="1:8" ht="49.9" hidden="1" customHeight="1" outlineLevel="1" x14ac:dyDescent="0.25">
      <c r="A1011" s="625"/>
      <c r="B1011" s="148" t="s">
        <v>444</v>
      </c>
      <c r="C1011" s="49" t="s">
        <v>441</v>
      </c>
      <c r="D1011" s="156">
        <v>0.15</v>
      </c>
      <c r="E1011" s="149">
        <v>766</v>
      </c>
      <c r="F1011" s="149">
        <v>756</v>
      </c>
      <c r="G1011" s="156">
        <f t="shared" si="37"/>
        <v>0.98694516971279378</v>
      </c>
      <c r="H1011" s="201" t="s">
        <v>520</v>
      </c>
    </row>
    <row r="1012" spans="1:8" ht="49.9" hidden="1" customHeight="1" outlineLevel="1" x14ac:dyDescent="0.25">
      <c r="A1012" s="625"/>
      <c r="B1012" s="148" t="s">
        <v>445</v>
      </c>
      <c r="C1012" s="49" t="s">
        <v>441</v>
      </c>
      <c r="D1012" s="156">
        <v>0.15</v>
      </c>
      <c r="E1012" s="172">
        <v>1</v>
      </c>
      <c r="F1012" s="172">
        <v>1</v>
      </c>
      <c r="G1012" s="156">
        <f t="shared" si="37"/>
        <v>1</v>
      </c>
      <c r="H1012" s="201" t="s">
        <v>514</v>
      </c>
    </row>
    <row r="1013" spans="1:8" ht="49.9" hidden="1" customHeight="1" outlineLevel="1" x14ac:dyDescent="0.25">
      <c r="A1013" s="625"/>
      <c r="B1013" s="148" t="s">
        <v>446</v>
      </c>
      <c r="C1013" s="49" t="s">
        <v>441</v>
      </c>
      <c r="D1013" s="156">
        <v>0.15</v>
      </c>
      <c r="E1013" s="172">
        <v>4707</v>
      </c>
      <c r="F1013" s="172">
        <v>4898</v>
      </c>
      <c r="G1013" s="156">
        <f t="shared" si="37"/>
        <v>1.040577862757595</v>
      </c>
      <c r="H1013" s="201" t="s">
        <v>517</v>
      </c>
    </row>
    <row r="1014" spans="1:8" ht="49.9" hidden="1" customHeight="1" outlineLevel="1" x14ac:dyDescent="0.25">
      <c r="A1014" s="626"/>
      <c r="B1014" s="148" t="s">
        <v>447</v>
      </c>
      <c r="C1014" s="49" t="s">
        <v>441</v>
      </c>
      <c r="D1014" s="156">
        <v>0.1</v>
      </c>
      <c r="E1014" s="175">
        <v>1</v>
      </c>
      <c r="F1014" s="175">
        <v>1</v>
      </c>
      <c r="G1014" s="156">
        <f t="shared" si="37"/>
        <v>1</v>
      </c>
      <c r="H1014" s="201" t="s">
        <v>515</v>
      </c>
    </row>
    <row r="1015" spans="1:8" hidden="1" outlineLevel="1" x14ac:dyDescent="0.25">
      <c r="A1015" s="40" t="s">
        <v>133</v>
      </c>
      <c r="B1015" s="215"/>
      <c r="C1015" s="215"/>
      <c r="D1015" s="215"/>
      <c r="E1015" s="215"/>
      <c r="F1015" s="215"/>
      <c r="G1015" s="215" t="e">
        <f>F1015/E1015</f>
        <v>#DIV/0!</v>
      </c>
      <c r="H1015" s="215"/>
    </row>
    <row r="1016" spans="1:8" collapsed="1" x14ac:dyDescent="0.25"/>
    <row r="1017" spans="1:8" ht="20.25" x14ac:dyDescent="0.3">
      <c r="A1017" s="627" t="s">
        <v>186</v>
      </c>
      <c r="B1017" s="628"/>
      <c r="C1017" s="628"/>
      <c r="D1017" s="628"/>
      <c r="E1017" s="628"/>
      <c r="F1017" s="628"/>
      <c r="G1017" s="628"/>
      <c r="H1017" s="629"/>
    </row>
    <row r="1018" spans="1:8" ht="54.75" customHeight="1" x14ac:dyDescent="0.25">
      <c r="A1018" s="150" t="s">
        <v>61</v>
      </c>
      <c r="B1018" s="39" t="s">
        <v>182</v>
      </c>
      <c r="C1018" s="43" t="s">
        <v>148</v>
      </c>
      <c r="D1018" s="43" t="s">
        <v>159</v>
      </c>
      <c r="E1018" s="43" t="s">
        <v>187</v>
      </c>
      <c r="F1018" s="43" t="s">
        <v>188</v>
      </c>
      <c r="G1018" s="43" t="s">
        <v>189</v>
      </c>
      <c r="H1018" s="39" t="s">
        <v>171</v>
      </c>
    </row>
    <row r="1019" spans="1:8" ht="49.9" customHeight="1" x14ac:dyDescent="0.25">
      <c r="A1019" s="618" t="s">
        <v>135</v>
      </c>
      <c r="B1019" s="148" t="s">
        <v>440</v>
      </c>
      <c r="C1019" s="49" t="s">
        <v>441</v>
      </c>
      <c r="D1019" s="156">
        <v>0.15</v>
      </c>
      <c r="E1019" s="149">
        <v>20</v>
      </c>
      <c r="F1019" s="149">
        <v>20</v>
      </c>
      <c r="G1019" s="156">
        <f>F1019/E1019</f>
        <v>1</v>
      </c>
      <c r="H1019" s="222" t="s">
        <v>527</v>
      </c>
    </row>
    <row r="1020" spans="1:8" ht="49.9" customHeight="1" x14ac:dyDescent="0.25">
      <c r="A1020" s="619"/>
      <c r="B1020" s="148" t="s">
        <v>442</v>
      </c>
      <c r="C1020" s="49" t="s">
        <v>441</v>
      </c>
      <c r="D1020" s="156">
        <v>0.15</v>
      </c>
      <c r="E1020" s="172">
        <v>6</v>
      </c>
      <c r="F1020" s="172">
        <v>0</v>
      </c>
      <c r="G1020" s="156">
        <f t="shared" ref="G1020:G1025" si="38">F1020/E1020</f>
        <v>0</v>
      </c>
      <c r="H1020" s="222" t="s">
        <v>543</v>
      </c>
    </row>
    <row r="1021" spans="1:8" ht="49.9" customHeight="1" x14ac:dyDescent="0.25">
      <c r="A1021" s="619"/>
      <c r="B1021" s="148" t="s">
        <v>443</v>
      </c>
      <c r="C1021" s="49" t="s">
        <v>441</v>
      </c>
      <c r="D1021" s="156">
        <v>0.15</v>
      </c>
      <c r="E1021" s="172">
        <v>2</v>
      </c>
      <c r="F1021" s="172">
        <v>0</v>
      </c>
      <c r="G1021" s="156">
        <f t="shared" si="38"/>
        <v>0</v>
      </c>
      <c r="H1021" s="222" t="s">
        <v>544</v>
      </c>
    </row>
    <row r="1022" spans="1:8" ht="49.9" customHeight="1" x14ac:dyDescent="0.25">
      <c r="A1022" s="619"/>
      <c r="B1022" s="148" t="s">
        <v>444</v>
      </c>
      <c r="C1022" s="49" t="s">
        <v>441</v>
      </c>
      <c r="D1022" s="156">
        <v>0.15</v>
      </c>
      <c r="E1022" s="149">
        <v>1072</v>
      </c>
      <c r="F1022" s="149">
        <v>11</v>
      </c>
      <c r="G1022" s="156">
        <f t="shared" si="38"/>
        <v>1.0261194029850746E-2</v>
      </c>
      <c r="H1022" s="222" t="s">
        <v>535</v>
      </c>
    </row>
    <row r="1023" spans="1:8" ht="49.9" customHeight="1" x14ac:dyDescent="0.25">
      <c r="A1023" s="619"/>
      <c r="B1023" s="148" t="s">
        <v>445</v>
      </c>
      <c r="C1023" s="49" t="s">
        <v>441</v>
      </c>
      <c r="D1023" s="156">
        <v>0.15</v>
      </c>
      <c r="E1023" s="172">
        <v>1</v>
      </c>
      <c r="F1023" s="172">
        <v>1</v>
      </c>
      <c r="G1023" s="156">
        <f t="shared" si="38"/>
        <v>1</v>
      </c>
      <c r="H1023" s="222" t="s">
        <v>548</v>
      </c>
    </row>
    <row r="1024" spans="1:8" ht="49.9" customHeight="1" x14ac:dyDescent="0.25">
      <c r="A1024" s="619"/>
      <c r="B1024" s="148" t="s">
        <v>446</v>
      </c>
      <c r="C1024" s="49" t="s">
        <v>441</v>
      </c>
      <c r="D1024" s="156">
        <v>0.15</v>
      </c>
      <c r="E1024" s="172">
        <v>1097</v>
      </c>
      <c r="F1024" s="172">
        <v>0</v>
      </c>
      <c r="G1024" s="156">
        <f t="shared" si="38"/>
        <v>0</v>
      </c>
      <c r="H1024" s="222" t="s">
        <v>545</v>
      </c>
    </row>
    <row r="1025" spans="1:8" ht="49.9" customHeight="1" x14ac:dyDescent="0.25">
      <c r="A1025" s="620"/>
      <c r="B1025" s="148" t="s">
        <v>447</v>
      </c>
      <c r="C1025" s="49" t="s">
        <v>441</v>
      </c>
      <c r="D1025" s="156">
        <v>0.1</v>
      </c>
      <c r="E1025" s="175">
        <v>1</v>
      </c>
      <c r="F1025" s="175">
        <v>1</v>
      </c>
      <c r="G1025" s="156">
        <f t="shared" si="38"/>
        <v>1</v>
      </c>
      <c r="H1025" s="222" t="s">
        <v>546</v>
      </c>
    </row>
    <row r="1026" spans="1:8" ht="49.9" customHeight="1" x14ac:dyDescent="0.25">
      <c r="A1026" s="618" t="s">
        <v>136</v>
      </c>
      <c r="B1026" s="148" t="s">
        <v>440</v>
      </c>
      <c r="C1026" s="49" t="s">
        <v>441</v>
      </c>
      <c r="D1026" s="156">
        <v>0.15</v>
      </c>
      <c r="E1026" s="149">
        <v>20</v>
      </c>
      <c r="F1026" s="149">
        <v>20</v>
      </c>
      <c r="G1026" s="236">
        <f>F1026/E1026</f>
        <v>1</v>
      </c>
      <c r="H1026" s="170" t="s">
        <v>556</v>
      </c>
    </row>
    <row r="1027" spans="1:8" ht="49.9" customHeight="1" x14ac:dyDescent="0.25">
      <c r="A1027" s="619"/>
      <c r="B1027" s="148" t="s">
        <v>442</v>
      </c>
      <c r="C1027" s="49" t="s">
        <v>441</v>
      </c>
      <c r="D1027" s="156">
        <v>0.15</v>
      </c>
      <c r="E1027" s="172">
        <v>6</v>
      </c>
      <c r="F1027" s="172">
        <v>0.45</v>
      </c>
      <c r="G1027" s="236">
        <f t="shared" ref="G1027:G1032" si="39">F1027/E1027</f>
        <v>7.4999999999999997E-2</v>
      </c>
      <c r="H1027" s="170" t="s">
        <v>551</v>
      </c>
    </row>
    <row r="1028" spans="1:8" ht="49.9" customHeight="1" x14ac:dyDescent="0.25">
      <c r="A1028" s="619"/>
      <c r="B1028" s="148" t="s">
        <v>443</v>
      </c>
      <c r="C1028" s="49" t="s">
        <v>441</v>
      </c>
      <c r="D1028" s="156">
        <v>0.15</v>
      </c>
      <c r="E1028" s="172">
        <v>2</v>
      </c>
      <c r="F1028" s="172">
        <v>0.34</v>
      </c>
      <c r="G1028" s="236">
        <f t="shared" si="39"/>
        <v>0.17</v>
      </c>
      <c r="H1028" s="170" t="s">
        <v>552</v>
      </c>
    </row>
    <row r="1029" spans="1:8" ht="49.9" customHeight="1" x14ac:dyDescent="0.25">
      <c r="A1029" s="619"/>
      <c r="B1029" s="148" t="s">
        <v>444</v>
      </c>
      <c r="C1029" s="49" t="s">
        <v>441</v>
      </c>
      <c r="D1029" s="156">
        <v>0.15</v>
      </c>
      <c r="E1029" s="149">
        <v>1072</v>
      </c>
      <c r="F1029" s="149">
        <v>110</v>
      </c>
      <c r="G1029" s="236">
        <f t="shared" si="39"/>
        <v>0.10261194029850747</v>
      </c>
      <c r="H1029" s="170" t="s">
        <v>557</v>
      </c>
    </row>
    <row r="1030" spans="1:8" ht="49.9" customHeight="1" x14ac:dyDescent="0.25">
      <c r="A1030" s="619"/>
      <c r="B1030" s="148" t="s">
        <v>445</v>
      </c>
      <c r="C1030" s="49" t="s">
        <v>441</v>
      </c>
      <c r="D1030" s="156">
        <v>0.15</v>
      </c>
      <c r="E1030" s="172">
        <v>1</v>
      </c>
      <c r="F1030" s="172">
        <v>1</v>
      </c>
      <c r="G1030" s="236">
        <f t="shared" si="39"/>
        <v>1</v>
      </c>
      <c r="H1030" s="170" t="s">
        <v>554</v>
      </c>
    </row>
    <row r="1031" spans="1:8" ht="49.9" customHeight="1" x14ac:dyDescent="0.25">
      <c r="A1031" s="619"/>
      <c r="B1031" s="148" t="s">
        <v>446</v>
      </c>
      <c r="C1031" s="49" t="s">
        <v>441</v>
      </c>
      <c r="D1031" s="156">
        <v>0.15</v>
      </c>
      <c r="E1031" s="172">
        <v>1097</v>
      </c>
      <c r="F1031" s="172">
        <v>32</v>
      </c>
      <c r="G1031" s="236">
        <f t="shared" si="39"/>
        <v>2.9170464904284411E-2</v>
      </c>
      <c r="H1031" s="170" t="s">
        <v>550</v>
      </c>
    </row>
    <row r="1032" spans="1:8" ht="49.9" customHeight="1" x14ac:dyDescent="0.25">
      <c r="A1032" s="620"/>
      <c r="B1032" s="148" t="s">
        <v>447</v>
      </c>
      <c r="C1032" s="49" t="s">
        <v>441</v>
      </c>
      <c r="D1032" s="156">
        <v>0.1</v>
      </c>
      <c r="E1032" s="175">
        <v>1</v>
      </c>
      <c r="F1032" s="123">
        <v>1</v>
      </c>
      <c r="G1032" s="236">
        <f t="shared" si="39"/>
        <v>1</v>
      </c>
      <c r="H1032" s="170" t="s">
        <v>555</v>
      </c>
    </row>
    <row r="1033" spans="1:8" ht="49.9" customHeight="1" x14ac:dyDescent="0.25">
      <c r="A1033" s="618" t="s">
        <v>137</v>
      </c>
      <c r="B1033" s="148" t="s">
        <v>440</v>
      </c>
      <c r="C1033" s="49" t="s">
        <v>441</v>
      </c>
      <c r="D1033" s="156">
        <v>0.15</v>
      </c>
      <c r="E1033" s="149">
        <v>20</v>
      </c>
      <c r="F1033" s="149">
        <v>20</v>
      </c>
      <c r="G1033" s="156">
        <f>F1033/E1033</f>
        <v>1</v>
      </c>
      <c r="H1033" s="170" t="s">
        <v>560</v>
      </c>
    </row>
    <row r="1034" spans="1:8" ht="49.9" customHeight="1" x14ac:dyDescent="0.25">
      <c r="A1034" s="619"/>
      <c r="B1034" s="148" t="s">
        <v>442</v>
      </c>
      <c r="C1034" s="49" t="s">
        <v>441</v>
      </c>
      <c r="D1034" s="156">
        <v>0.15</v>
      </c>
      <c r="E1034" s="172">
        <v>6</v>
      </c>
      <c r="F1034" s="172">
        <v>1</v>
      </c>
      <c r="G1034" s="156">
        <f t="shared" ref="G1034:G1039" si="40">F1034/E1034</f>
        <v>0.16666666666666666</v>
      </c>
      <c r="H1034" s="170" t="s">
        <v>561</v>
      </c>
    </row>
    <row r="1035" spans="1:8" ht="49.9" customHeight="1" x14ac:dyDescent="0.25">
      <c r="A1035" s="619"/>
      <c r="B1035" s="148" t="s">
        <v>443</v>
      </c>
      <c r="C1035" s="49" t="s">
        <v>441</v>
      </c>
      <c r="D1035" s="156">
        <v>0.15</v>
      </c>
      <c r="E1035" s="172">
        <v>2</v>
      </c>
      <c r="F1035" s="172">
        <v>0.5</v>
      </c>
      <c r="G1035" s="156">
        <f t="shared" si="40"/>
        <v>0.25</v>
      </c>
      <c r="H1035" s="170" t="s">
        <v>562</v>
      </c>
    </row>
    <row r="1036" spans="1:8" ht="49.9" customHeight="1" x14ac:dyDescent="0.25">
      <c r="A1036" s="619"/>
      <c r="B1036" s="148" t="s">
        <v>444</v>
      </c>
      <c r="C1036" s="49" t="s">
        <v>441</v>
      </c>
      <c r="D1036" s="156">
        <v>0.15</v>
      </c>
      <c r="E1036" s="149">
        <v>1072</v>
      </c>
      <c r="F1036" s="149">
        <v>196</v>
      </c>
      <c r="G1036" s="156">
        <f t="shared" si="40"/>
        <v>0.18283582089552239</v>
      </c>
      <c r="H1036" s="170" t="s">
        <v>564</v>
      </c>
    </row>
    <row r="1037" spans="1:8" ht="49.9" customHeight="1" x14ac:dyDescent="0.25">
      <c r="A1037" s="619"/>
      <c r="B1037" s="148" t="s">
        <v>445</v>
      </c>
      <c r="C1037" s="49" t="s">
        <v>441</v>
      </c>
      <c r="D1037" s="156">
        <v>0.15</v>
      </c>
      <c r="E1037" s="172">
        <v>1</v>
      </c>
      <c r="F1037" s="172">
        <v>1</v>
      </c>
      <c r="G1037" s="156">
        <f t="shared" si="40"/>
        <v>1</v>
      </c>
      <c r="H1037" s="170" t="s">
        <v>563</v>
      </c>
    </row>
    <row r="1038" spans="1:8" ht="49.9" customHeight="1" x14ac:dyDescent="0.25">
      <c r="A1038" s="619"/>
      <c r="B1038" s="148" t="s">
        <v>446</v>
      </c>
      <c r="C1038" s="49" t="s">
        <v>441</v>
      </c>
      <c r="D1038" s="156">
        <v>0.15</v>
      </c>
      <c r="E1038" s="172">
        <v>1097</v>
      </c>
      <c r="F1038" s="172">
        <v>87</v>
      </c>
      <c r="G1038" s="156">
        <f t="shared" si="40"/>
        <v>7.9307201458523241E-2</v>
      </c>
      <c r="H1038" s="170" t="s">
        <v>565</v>
      </c>
    </row>
    <row r="1039" spans="1:8" ht="49.9" customHeight="1" x14ac:dyDescent="0.25">
      <c r="A1039" s="620"/>
      <c r="B1039" s="148" t="s">
        <v>447</v>
      </c>
      <c r="C1039" s="49" t="s">
        <v>441</v>
      </c>
      <c r="D1039" s="156">
        <v>0.1</v>
      </c>
      <c r="E1039" s="175">
        <v>1</v>
      </c>
      <c r="F1039" s="123">
        <v>1</v>
      </c>
      <c r="G1039" s="156">
        <f t="shared" si="40"/>
        <v>1</v>
      </c>
      <c r="H1039" s="170" t="s">
        <v>566</v>
      </c>
    </row>
    <row r="1040" spans="1:8" ht="49.9" customHeight="1" x14ac:dyDescent="0.25">
      <c r="A1040" s="618" t="s">
        <v>138</v>
      </c>
      <c r="B1040" s="148" t="s">
        <v>440</v>
      </c>
      <c r="C1040" s="49" t="s">
        <v>441</v>
      </c>
      <c r="D1040" s="156">
        <v>0.15</v>
      </c>
      <c r="E1040" s="149">
        <v>20</v>
      </c>
      <c r="F1040" s="149">
        <v>20</v>
      </c>
      <c r="G1040" s="156">
        <f>F1040/E1040</f>
        <v>1</v>
      </c>
      <c r="H1040" s="170">
        <v>0</v>
      </c>
    </row>
    <row r="1041" spans="1:8" ht="49.9" customHeight="1" x14ac:dyDescent="0.25">
      <c r="A1041" s="619"/>
      <c r="B1041" s="148" t="s">
        <v>442</v>
      </c>
      <c r="C1041" s="49" t="s">
        <v>441</v>
      </c>
      <c r="D1041" s="156">
        <v>0.15</v>
      </c>
      <c r="E1041" s="172">
        <v>6</v>
      </c>
      <c r="F1041" s="172">
        <v>1.6</v>
      </c>
      <c r="G1041" s="156">
        <f t="shared" ref="G1041:G1046" si="41">F1041/E1041</f>
        <v>0.26666666666666666</v>
      </c>
      <c r="H1041" s="170" t="s">
        <v>570</v>
      </c>
    </row>
    <row r="1042" spans="1:8" ht="49.9" customHeight="1" x14ac:dyDescent="0.25">
      <c r="A1042" s="619"/>
      <c r="B1042" s="148" t="s">
        <v>443</v>
      </c>
      <c r="C1042" s="49" t="s">
        <v>441</v>
      </c>
      <c r="D1042" s="156">
        <v>0.15</v>
      </c>
      <c r="E1042" s="172">
        <v>2</v>
      </c>
      <c r="F1042" s="172">
        <v>0.5</v>
      </c>
      <c r="G1042" s="156">
        <f t="shared" si="41"/>
        <v>0.25</v>
      </c>
      <c r="H1042" s="170" t="s">
        <v>572</v>
      </c>
    </row>
    <row r="1043" spans="1:8" ht="49.9" customHeight="1" x14ac:dyDescent="0.25">
      <c r="A1043" s="619"/>
      <c r="B1043" s="148" t="s">
        <v>444</v>
      </c>
      <c r="C1043" s="49" t="s">
        <v>441</v>
      </c>
      <c r="D1043" s="156">
        <v>0.15</v>
      </c>
      <c r="E1043" s="149">
        <v>1072</v>
      </c>
      <c r="F1043" s="149">
        <v>196</v>
      </c>
      <c r="G1043" s="156">
        <f t="shared" si="41"/>
        <v>0.18283582089552239</v>
      </c>
      <c r="H1043" s="170" t="s">
        <v>571</v>
      </c>
    </row>
    <row r="1044" spans="1:8" ht="49.9" customHeight="1" x14ac:dyDescent="0.25">
      <c r="A1044" s="619"/>
      <c r="B1044" s="148" t="s">
        <v>445</v>
      </c>
      <c r="C1044" s="49" t="s">
        <v>441</v>
      </c>
      <c r="D1044" s="156">
        <v>0.15</v>
      </c>
      <c r="E1044" s="172">
        <v>1</v>
      </c>
      <c r="F1044" s="172">
        <v>1</v>
      </c>
      <c r="G1044" s="156">
        <f t="shared" si="41"/>
        <v>1</v>
      </c>
      <c r="H1044" s="170" t="s">
        <v>569</v>
      </c>
    </row>
    <row r="1045" spans="1:8" ht="49.9" customHeight="1" x14ac:dyDescent="0.25">
      <c r="A1045" s="619"/>
      <c r="B1045" s="148" t="s">
        <v>446</v>
      </c>
      <c r="C1045" s="49" t="s">
        <v>441</v>
      </c>
      <c r="D1045" s="156">
        <v>0.15</v>
      </c>
      <c r="E1045" s="172">
        <v>1097</v>
      </c>
      <c r="F1045" s="172">
        <v>87</v>
      </c>
      <c r="G1045" s="156">
        <f t="shared" si="41"/>
        <v>7.9307201458523241E-2</v>
      </c>
      <c r="H1045" s="170" t="s">
        <v>573</v>
      </c>
    </row>
    <row r="1046" spans="1:8" ht="49.9" customHeight="1" x14ac:dyDescent="0.25">
      <c r="A1046" s="620" t="s">
        <v>139</v>
      </c>
      <c r="B1046" s="148" t="s">
        <v>447</v>
      </c>
      <c r="C1046" s="49" t="s">
        <v>441</v>
      </c>
      <c r="D1046" s="156">
        <v>0.1</v>
      </c>
      <c r="E1046" s="175">
        <v>1</v>
      </c>
      <c r="F1046" s="123">
        <v>1</v>
      </c>
      <c r="G1046" s="156">
        <f t="shared" si="41"/>
        <v>1</v>
      </c>
      <c r="H1046" s="170" t="s">
        <v>567</v>
      </c>
    </row>
    <row r="1047" spans="1:8" ht="49.9" customHeight="1" x14ac:dyDescent="0.25">
      <c r="A1047" s="618" t="s">
        <v>139</v>
      </c>
      <c r="B1047" s="148" t="s">
        <v>440</v>
      </c>
      <c r="C1047" s="49" t="s">
        <v>441</v>
      </c>
      <c r="D1047" s="156">
        <v>0.15</v>
      </c>
      <c r="E1047" s="149">
        <v>20</v>
      </c>
      <c r="F1047" s="149">
        <v>20</v>
      </c>
      <c r="G1047" s="156">
        <f>F1047/E1047</f>
        <v>1</v>
      </c>
      <c r="H1047" s="170" t="s">
        <v>578</v>
      </c>
    </row>
    <row r="1048" spans="1:8" ht="49.9" customHeight="1" x14ac:dyDescent="0.25">
      <c r="A1048" s="619"/>
      <c r="B1048" s="148" t="s">
        <v>442</v>
      </c>
      <c r="C1048" s="49" t="s">
        <v>441</v>
      </c>
      <c r="D1048" s="156">
        <v>0.15</v>
      </c>
      <c r="E1048" s="172">
        <v>6</v>
      </c>
      <c r="F1048" s="172">
        <v>2.2999999999999998</v>
      </c>
      <c r="G1048" s="156">
        <f t="shared" ref="G1048:G1053" si="42">F1048/E1048</f>
        <v>0.3833333333333333</v>
      </c>
      <c r="H1048" s="170" t="s">
        <v>577</v>
      </c>
    </row>
    <row r="1049" spans="1:8" ht="49.9" customHeight="1" x14ac:dyDescent="0.25">
      <c r="A1049" s="619"/>
      <c r="B1049" s="148" t="s">
        <v>443</v>
      </c>
      <c r="C1049" s="49" t="s">
        <v>441</v>
      </c>
      <c r="D1049" s="156">
        <v>0.15</v>
      </c>
      <c r="E1049" s="172">
        <v>2</v>
      </c>
      <c r="F1049" s="172">
        <v>0.81</v>
      </c>
      <c r="G1049" s="156">
        <f t="shared" si="42"/>
        <v>0.40500000000000003</v>
      </c>
      <c r="H1049" s="170" t="s">
        <v>579</v>
      </c>
    </row>
    <row r="1050" spans="1:8" ht="49.9" customHeight="1" x14ac:dyDescent="0.25">
      <c r="A1050" s="619"/>
      <c r="B1050" s="148" t="s">
        <v>444</v>
      </c>
      <c r="C1050" s="49" t="s">
        <v>441</v>
      </c>
      <c r="D1050" s="156">
        <v>0.15</v>
      </c>
      <c r="E1050" s="149">
        <v>1072</v>
      </c>
      <c r="F1050" s="149">
        <v>466</v>
      </c>
      <c r="G1050" s="156">
        <f t="shared" si="42"/>
        <v>0.43470149253731344</v>
      </c>
      <c r="H1050" s="170" t="s">
        <v>575</v>
      </c>
    </row>
    <row r="1051" spans="1:8" ht="49.9" customHeight="1" x14ac:dyDescent="0.25">
      <c r="A1051" s="619"/>
      <c r="B1051" s="148" t="s">
        <v>445</v>
      </c>
      <c r="C1051" s="49" t="s">
        <v>441</v>
      </c>
      <c r="D1051" s="156">
        <v>0.15</v>
      </c>
      <c r="E1051" s="172">
        <v>1</v>
      </c>
      <c r="F1051" s="172">
        <v>1</v>
      </c>
      <c r="G1051" s="156">
        <f t="shared" si="42"/>
        <v>1</v>
      </c>
      <c r="H1051" s="170" t="s">
        <v>576</v>
      </c>
    </row>
    <row r="1052" spans="1:8" ht="49.9" customHeight="1" x14ac:dyDescent="0.25">
      <c r="A1052" s="619"/>
      <c r="B1052" s="148" t="s">
        <v>446</v>
      </c>
      <c r="C1052" s="49" t="s">
        <v>441</v>
      </c>
      <c r="D1052" s="156">
        <v>0.15</v>
      </c>
      <c r="E1052" s="172">
        <v>1097</v>
      </c>
      <c r="F1052" s="172">
        <v>460</v>
      </c>
      <c r="G1052" s="156">
        <f t="shared" si="42"/>
        <v>0.41932543299908842</v>
      </c>
      <c r="H1052" s="170" t="s">
        <v>574</v>
      </c>
    </row>
    <row r="1053" spans="1:8" ht="49.9" customHeight="1" x14ac:dyDescent="0.25">
      <c r="A1053" s="620"/>
      <c r="B1053" s="148" t="s">
        <v>447</v>
      </c>
      <c r="C1053" s="49" t="s">
        <v>441</v>
      </c>
      <c r="D1053" s="156">
        <v>0.1</v>
      </c>
      <c r="E1053" s="175">
        <v>1</v>
      </c>
      <c r="F1053" s="123">
        <v>1</v>
      </c>
      <c r="G1053" s="156">
        <f t="shared" si="42"/>
        <v>1</v>
      </c>
      <c r="H1053" s="170" t="s">
        <v>580</v>
      </c>
    </row>
    <row r="1054" spans="1:8" ht="49.9" customHeight="1" x14ac:dyDescent="0.25">
      <c r="A1054" s="618" t="s">
        <v>140</v>
      </c>
      <c r="B1054" s="148" t="s">
        <v>440</v>
      </c>
      <c r="C1054" s="49" t="s">
        <v>441</v>
      </c>
      <c r="D1054" s="156">
        <v>0.15</v>
      </c>
      <c r="E1054" s="149">
        <v>20</v>
      </c>
      <c r="F1054" s="149">
        <v>20</v>
      </c>
      <c r="G1054" s="156">
        <f>F1054/E1054</f>
        <v>1</v>
      </c>
      <c r="H1054" s="170" t="s">
        <v>588</v>
      </c>
    </row>
    <row r="1055" spans="1:8" ht="49.9" customHeight="1" x14ac:dyDescent="0.25">
      <c r="A1055" s="619"/>
      <c r="B1055" s="148" t="s">
        <v>442</v>
      </c>
      <c r="C1055" s="49" t="s">
        <v>441</v>
      </c>
      <c r="D1055" s="156">
        <v>0.15</v>
      </c>
      <c r="E1055" s="172">
        <v>6</v>
      </c>
      <c r="F1055" s="172">
        <v>3</v>
      </c>
      <c r="G1055" s="156">
        <f t="shared" ref="G1055:G1060" si="43">F1055/E1055</f>
        <v>0.5</v>
      </c>
      <c r="H1055" s="170" t="s">
        <v>584</v>
      </c>
    </row>
    <row r="1056" spans="1:8" ht="49.9" customHeight="1" x14ac:dyDescent="0.25">
      <c r="A1056" s="619"/>
      <c r="B1056" s="148" t="s">
        <v>443</v>
      </c>
      <c r="C1056" s="49" t="s">
        <v>441</v>
      </c>
      <c r="D1056" s="156">
        <v>0.15</v>
      </c>
      <c r="E1056" s="172">
        <v>2</v>
      </c>
      <c r="F1056" s="172">
        <v>1</v>
      </c>
      <c r="G1056" s="156">
        <f t="shared" si="43"/>
        <v>0.5</v>
      </c>
      <c r="H1056" s="170" t="s">
        <v>587</v>
      </c>
    </row>
    <row r="1057" spans="1:8" ht="49.9" customHeight="1" x14ac:dyDescent="0.25">
      <c r="A1057" s="619"/>
      <c r="B1057" s="148" t="s">
        <v>444</v>
      </c>
      <c r="C1057" s="49" t="s">
        <v>441</v>
      </c>
      <c r="D1057" s="156">
        <v>0.15</v>
      </c>
      <c r="E1057" s="149">
        <v>1072</v>
      </c>
      <c r="F1057" s="149">
        <v>579</v>
      </c>
      <c r="G1057" s="156">
        <f t="shared" si="43"/>
        <v>0.54011194029850751</v>
      </c>
      <c r="H1057" s="170" t="s">
        <v>583</v>
      </c>
    </row>
    <row r="1058" spans="1:8" ht="49.9" customHeight="1" x14ac:dyDescent="0.25">
      <c r="A1058" s="619"/>
      <c r="B1058" s="148" t="s">
        <v>445</v>
      </c>
      <c r="C1058" s="49" t="s">
        <v>441</v>
      </c>
      <c r="D1058" s="156">
        <v>0.15</v>
      </c>
      <c r="E1058" s="172">
        <v>1</v>
      </c>
      <c r="F1058" s="172">
        <v>1</v>
      </c>
      <c r="G1058" s="156">
        <f t="shared" si="43"/>
        <v>1</v>
      </c>
      <c r="H1058" s="170" t="s">
        <v>586</v>
      </c>
    </row>
    <row r="1059" spans="1:8" ht="49.9" customHeight="1" x14ac:dyDescent="0.25">
      <c r="A1059" s="619"/>
      <c r="B1059" s="148" t="s">
        <v>446</v>
      </c>
      <c r="C1059" s="49" t="s">
        <v>441</v>
      </c>
      <c r="D1059" s="156">
        <v>0.15</v>
      </c>
      <c r="E1059" s="172">
        <v>1097</v>
      </c>
      <c r="F1059" s="172">
        <v>547</v>
      </c>
      <c r="G1059" s="156">
        <f t="shared" si="43"/>
        <v>0.49863263445761169</v>
      </c>
      <c r="H1059" s="170" t="s">
        <v>585</v>
      </c>
    </row>
    <row r="1060" spans="1:8" ht="49.9" customHeight="1" x14ac:dyDescent="0.25">
      <c r="A1060" s="620"/>
      <c r="B1060" s="148" t="s">
        <v>447</v>
      </c>
      <c r="C1060" s="49" t="s">
        <v>441</v>
      </c>
      <c r="D1060" s="156">
        <v>0.1</v>
      </c>
      <c r="E1060" s="175">
        <v>1</v>
      </c>
      <c r="F1060" s="123">
        <v>1</v>
      </c>
      <c r="G1060" s="156">
        <f t="shared" si="43"/>
        <v>1</v>
      </c>
      <c r="H1060" s="170" t="s">
        <v>582</v>
      </c>
    </row>
    <row r="1061" spans="1:8" ht="49.9" customHeight="1" x14ac:dyDescent="0.25">
      <c r="A1061" s="618" t="s">
        <v>128</v>
      </c>
      <c r="B1061" s="148" t="s">
        <v>440</v>
      </c>
      <c r="C1061" s="49" t="s">
        <v>441</v>
      </c>
      <c r="D1061" s="156">
        <v>0.15</v>
      </c>
      <c r="E1061" s="149">
        <v>20</v>
      </c>
      <c r="F1061" s="149">
        <v>20</v>
      </c>
      <c r="G1061" s="156">
        <f>F1061/E1061</f>
        <v>1</v>
      </c>
      <c r="H1061" s="170" t="s">
        <v>592</v>
      </c>
    </row>
    <row r="1062" spans="1:8" ht="49.9" customHeight="1" x14ac:dyDescent="0.25">
      <c r="A1062" s="619"/>
      <c r="B1062" s="148" t="s">
        <v>442</v>
      </c>
      <c r="C1062" s="49" t="s">
        <v>441</v>
      </c>
      <c r="D1062" s="156">
        <v>0.15</v>
      </c>
      <c r="E1062" s="172">
        <v>6</v>
      </c>
      <c r="F1062" s="172">
        <v>3.3</v>
      </c>
      <c r="G1062" s="156">
        <f t="shared" ref="G1062:G1067" si="44">F1062/E1062</f>
        <v>0.54999999999999993</v>
      </c>
      <c r="H1062" s="170" t="s">
        <v>593</v>
      </c>
    </row>
    <row r="1063" spans="1:8" ht="49.9" customHeight="1" x14ac:dyDescent="0.25">
      <c r="A1063" s="619"/>
      <c r="B1063" s="148" t="s">
        <v>443</v>
      </c>
      <c r="C1063" s="49" t="s">
        <v>441</v>
      </c>
      <c r="D1063" s="156">
        <v>0.15</v>
      </c>
      <c r="E1063" s="172">
        <v>2</v>
      </c>
      <c r="F1063" s="172">
        <v>1.17</v>
      </c>
      <c r="G1063" s="156">
        <f t="shared" si="44"/>
        <v>0.58499999999999996</v>
      </c>
      <c r="H1063" s="170" t="s">
        <v>594</v>
      </c>
    </row>
    <row r="1064" spans="1:8" ht="49.9" customHeight="1" x14ac:dyDescent="0.25">
      <c r="A1064" s="619"/>
      <c r="B1064" s="148" t="s">
        <v>444</v>
      </c>
      <c r="C1064" s="49" t="s">
        <v>441</v>
      </c>
      <c r="D1064" s="156">
        <v>0.15</v>
      </c>
      <c r="E1064" s="149">
        <v>1072</v>
      </c>
      <c r="F1064" s="149">
        <v>699</v>
      </c>
      <c r="G1064" s="156">
        <f t="shared" si="44"/>
        <v>0.65205223880597019</v>
      </c>
      <c r="H1064" s="170" t="s">
        <v>590</v>
      </c>
    </row>
    <row r="1065" spans="1:8" ht="49.9" customHeight="1" x14ac:dyDescent="0.25">
      <c r="A1065" s="619"/>
      <c r="B1065" s="148" t="s">
        <v>445</v>
      </c>
      <c r="C1065" s="49" t="s">
        <v>441</v>
      </c>
      <c r="D1065" s="156">
        <v>0.15</v>
      </c>
      <c r="E1065" s="172">
        <v>1</v>
      </c>
      <c r="F1065" s="172">
        <v>1</v>
      </c>
      <c r="G1065" s="156">
        <f t="shared" si="44"/>
        <v>1</v>
      </c>
      <c r="H1065" s="170" t="s">
        <v>591</v>
      </c>
    </row>
    <row r="1066" spans="1:8" ht="49.9" customHeight="1" x14ac:dyDescent="0.25">
      <c r="A1066" s="619"/>
      <c r="B1066" s="148" t="s">
        <v>446</v>
      </c>
      <c r="C1066" s="49" t="s">
        <v>441</v>
      </c>
      <c r="D1066" s="156">
        <v>0.15</v>
      </c>
      <c r="E1066" s="172">
        <v>1097</v>
      </c>
      <c r="F1066" s="172">
        <v>612</v>
      </c>
      <c r="G1066" s="156">
        <f t="shared" si="44"/>
        <v>0.55788514129443934</v>
      </c>
      <c r="H1066" s="170" t="s">
        <v>589</v>
      </c>
    </row>
    <row r="1067" spans="1:8" ht="49.9" customHeight="1" x14ac:dyDescent="0.25">
      <c r="A1067" s="620"/>
      <c r="B1067" s="148" t="s">
        <v>447</v>
      </c>
      <c r="C1067" s="49" t="s">
        <v>441</v>
      </c>
      <c r="D1067" s="156">
        <v>0.1</v>
      </c>
      <c r="E1067" s="175">
        <v>1</v>
      </c>
      <c r="F1067" s="123">
        <v>1</v>
      </c>
      <c r="G1067" s="156">
        <f t="shared" si="44"/>
        <v>1</v>
      </c>
      <c r="H1067" s="170" t="s">
        <v>595</v>
      </c>
    </row>
    <row r="1068" spans="1:8" ht="49.9" customHeight="1" x14ac:dyDescent="0.25">
      <c r="A1068" s="618" t="s">
        <v>129</v>
      </c>
      <c r="B1068" s="148" t="s">
        <v>440</v>
      </c>
      <c r="C1068" s="49" t="s">
        <v>441</v>
      </c>
      <c r="D1068" s="156">
        <v>0.15</v>
      </c>
      <c r="E1068" s="149">
        <v>20</v>
      </c>
      <c r="F1068" s="149">
        <v>20</v>
      </c>
      <c r="G1068" s="156">
        <f>F1068/E1068</f>
        <v>1</v>
      </c>
      <c r="H1068" s="222" t="s">
        <v>602</v>
      </c>
    </row>
    <row r="1069" spans="1:8" ht="49.9" customHeight="1" x14ac:dyDescent="0.25">
      <c r="A1069" s="619"/>
      <c r="B1069" s="148" t="s">
        <v>442</v>
      </c>
      <c r="C1069" s="49" t="s">
        <v>441</v>
      </c>
      <c r="D1069" s="156">
        <v>0.15</v>
      </c>
      <c r="E1069" s="172">
        <v>6</v>
      </c>
      <c r="F1069" s="172"/>
      <c r="G1069" s="156">
        <f t="shared" ref="G1069:G1074" si="45">F1069/E1069</f>
        <v>0</v>
      </c>
      <c r="H1069" s="222" t="s">
        <v>598</v>
      </c>
    </row>
    <row r="1070" spans="1:8" ht="49.9" customHeight="1" x14ac:dyDescent="0.25">
      <c r="A1070" s="619"/>
      <c r="B1070" s="148" t="s">
        <v>443</v>
      </c>
      <c r="C1070" s="49" t="s">
        <v>441</v>
      </c>
      <c r="D1070" s="156">
        <v>0.15</v>
      </c>
      <c r="E1070" s="172">
        <v>2</v>
      </c>
      <c r="F1070" s="172"/>
      <c r="G1070" s="156">
        <f t="shared" si="45"/>
        <v>0</v>
      </c>
      <c r="H1070" s="222" t="s">
        <v>601</v>
      </c>
    </row>
    <row r="1071" spans="1:8" ht="49.9" customHeight="1" x14ac:dyDescent="0.25">
      <c r="A1071" s="619"/>
      <c r="B1071" s="148" t="s">
        <v>444</v>
      </c>
      <c r="C1071" s="49" t="s">
        <v>441</v>
      </c>
      <c r="D1071" s="156">
        <v>0.15</v>
      </c>
      <c r="E1071" s="149">
        <v>1072</v>
      </c>
      <c r="F1071" s="149"/>
      <c r="G1071" s="156">
        <f t="shared" si="45"/>
        <v>0</v>
      </c>
      <c r="H1071" s="222" t="s">
        <v>597</v>
      </c>
    </row>
    <row r="1072" spans="1:8" ht="49.9" customHeight="1" x14ac:dyDescent="0.25">
      <c r="A1072" s="619"/>
      <c r="B1072" s="148" t="s">
        <v>445</v>
      </c>
      <c r="C1072" s="49" t="s">
        <v>441</v>
      </c>
      <c r="D1072" s="156">
        <v>0.15</v>
      </c>
      <c r="E1072" s="172">
        <v>1</v>
      </c>
      <c r="F1072" s="172">
        <v>1</v>
      </c>
      <c r="G1072" s="156">
        <f t="shared" si="45"/>
        <v>1</v>
      </c>
      <c r="H1072" s="222" t="s">
        <v>599</v>
      </c>
    </row>
    <row r="1073" spans="1:8" ht="49.9" customHeight="1" x14ac:dyDescent="0.25">
      <c r="A1073" s="619"/>
      <c r="B1073" s="148" t="s">
        <v>446</v>
      </c>
      <c r="C1073" s="49" t="s">
        <v>441</v>
      </c>
      <c r="D1073" s="156">
        <v>0.15</v>
      </c>
      <c r="E1073" s="172">
        <v>1097</v>
      </c>
      <c r="F1073" s="172"/>
      <c r="G1073" s="156">
        <f t="shared" si="45"/>
        <v>0</v>
      </c>
      <c r="H1073" s="222" t="s">
        <v>596</v>
      </c>
    </row>
    <row r="1074" spans="1:8" ht="49.9" customHeight="1" x14ac:dyDescent="0.25">
      <c r="A1074" s="620"/>
      <c r="B1074" s="148" t="s">
        <v>447</v>
      </c>
      <c r="C1074" s="49" t="s">
        <v>441</v>
      </c>
      <c r="D1074" s="156">
        <v>0.1</v>
      </c>
      <c r="E1074" s="175">
        <v>1</v>
      </c>
      <c r="F1074" s="123">
        <v>1</v>
      </c>
      <c r="G1074" s="156">
        <f t="shared" si="45"/>
        <v>1</v>
      </c>
      <c r="H1074" s="222" t="s">
        <v>600</v>
      </c>
    </row>
    <row r="1075" spans="1:8" ht="49.9" customHeight="1" x14ac:dyDescent="0.25">
      <c r="A1075" s="618" t="s">
        <v>130</v>
      </c>
      <c r="B1075" s="148" t="s">
        <v>440</v>
      </c>
      <c r="C1075" s="49" t="s">
        <v>441</v>
      </c>
      <c r="D1075" s="156">
        <v>0.15</v>
      </c>
      <c r="E1075" s="149">
        <v>20</v>
      </c>
      <c r="F1075" s="149">
        <v>20</v>
      </c>
      <c r="G1075" s="156">
        <f>F1075/E1075</f>
        <v>1</v>
      </c>
      <c r="H1075" s="222" t="s">
        <v>607</v>
      </c>
    </row>
    <row r="1076" spans="1:8" ht="49.9" customHeight="1" x14ac:dyDescent="0.25">
      <c r="A1076" s="619"/>
      <c r="B1076" s="148" t="s">
        <v>442</v>
      </c>
      <c r="C1076" s="49" t="s">
        <v>441</v>
      </c>
      <c r="D1076" s="156">
        <v>0.15</v>
      </c>
      <c r="E1076" s="172">
        <v>6</v>
      </c>
      <c r="F1076" s="172">
        <v>4.0999999999999996</v>
      </c>
      <c r="G1076" s="156">
        <f t="shared" ref="G1076:G1081" si="46">F1076/E1076</f>
        <v>0.68333333333333324</v>
      </c>
      <c r="H1076" s="222" t="s">
        <v>606</v>
      </c>
    </row>
    <row r="1077" spans="1:8" ht="49.9" customHeight="1" x14ac:dyDescent="0.25">
      <c r="A1077" s="619"/>
      <c r="B1077" s="148" t="s">
        <v>443</v>
      </c>
      <c r="C1077" s="49" t="s">
        <v>441</v>
      </c>
      <c r="D1077" s="156">
        <v>0.15</v>
      </c>
      <c r="E1077" s="172">
        <v>2</v>
      </c>
      <c r="F1077" s="172">
        <v>1.51</v>
      </c>
      <c r="G1077" s="156">
        <f t="shared" si="46"/>
        <v>0.755</v>
      </c>
      <c r="H1077" s="222" t="s">
        <v>608</v>
      </c>
    </row>
    <row r="1078" spans="1:8" ht="49.9" customHeight="1" x14ac:dyDescent="0.25">
      <c r="A1078" s="619"/>
      <c r="B1078" s="148" t="s">
        <v>444</v>
      </c>
      <c r="C1078" s="49" t="s">
        <v>441</v>
      </c>
      <c r="D1078" s="156">
        <v>0.15</v>
      </c>
      <c r="E1078" s="149">
        <v>1072</v>
      </c>
      <c r="F1078" s="149">
        <v>1082</v>
      </c>
      <c r="G1078" s="156">
        <f t="shared" si="46"/>
        <v>1.0093283582089552</v>
      </c>
      <c r="H1078" s="222" t="s">
        <v>605</v>
      </c>
    </row>
    <row r="1079" spans="1:8" ht="49.9" customHeight="1" x14ac:dyDescent="0.25">
      <c r="A1079" s="619"/>
      <c r="B1079" s="148" t="s">
        <v>445</v>
      </c>
      <c r="C1079" s="49" t="s">
        <v>441</v>
      </c>
      <c r="D1079" s="156">
        <v>0.15</v>
      </c>
      <c r="E1079" s="172">
        <v>1</v>
      </c>
      <c r="F1079" s="172">
        <v>1</v>
      </c>
      <c r="G1079" s="156">
        <f t="shared" si="46"/>
        <v>1</v>
      </c>
      <c r="H1079" s="222" t="s">
        <v>599</v>
      </c>
    </row>
    <row r="1080" spans="1:8" ht="49.9" customHeight="1" x14ac:dyDescent="0.25">
      <c r="A1080" s="619"/>
      <c r="B1080" s="148" t="s">
        <v>446</v>
      </c>
      <c r="C1080" s="49" t="s">
        <v>441</v>
      </c>
      <c r="D1080" s="156">
        <v>0.15</v>
      </c>
      <c r="E1080" s="172">
        <v>1097</v>
      </c>
      <c r="F1080" s="172">
        <v>882</v>
      </c>
      <c r="G1080" s="156">
        <f t="shared" si="46"/>
        <v>0.80401093892433906</v>
      </c>
      <c r="H1080" s="222" t="s">
        <v>604</v>
      </c>
    </row>
    <row r="1081" spans="1:8" ht="49.9" customHeight="1" x14ac:dyDescent="0.25">
      <c r="A1081" s="620"/>
      <c r="B1081" s="148" t="s">
        <v>447</v>
      </c>
      <c r="C1081" s="49" t="s">
        <v>441</v>
      </c>
      <c r="D1081" s="156">
        <v>0.1</v>
      </c>
      <c r="E1081" s="175">
        <v>1</v>
      </c>
      <c r="F1081" s="123">
        <v>1</v>
      </c>
      <c r="G1081" s="156">
        <f t="shared" si="46"/>
        <v>1</v>
      </c>
      <c r="H1081" s="222" t="s">
        <v>603</v>
      </c>
    </row>
    <row r="1082" spans="1:8" ht="49.9" customHeight="1" x14ac:dyDescent="0.25">
      <c r="A1082" s="618" t="s">
        <v>131</v>
      </c>
      <c r="B1082" s="148" t="s">
        <v>440</v>
      </c>
      <c r="C1082" s="49" t="s">
        <v>441</v>
      </c>
      <c r="D1082" s="156">
        <v>0.15</v>
      </c>
      <c r="E1082" s="149">
        <v>20</v>
      </c>
      <c r="F1082" s="149">
        <v>20</v>
      </c>
      <c r="G1082" s="156">
        <f>F1082/E1082</f>
        <v>1</v>
      </c>
      <c r="H1082" s="222" t="s">
        <v>612</v>
      </c>
    </row>
    <row r="1083" spans="1:8" ht="49.9" customHeight="1" x14ac:dyDescent="0.25">
      <c r="A1083" s="619"/>
      <c r="B1083" s="148" t="s">
        <v>442</v>
      </c>
      <c r="C1083" s="49" t="s">
        <v>441</v>
      </c>
      <c r="D1083" s="156">
        <v>0.15</v>
      </c>
      <c r="E1083" s="172">
        <v>6</v>
      </c>
      <c r="F1083" s="172">
        <v>4.7</v>
      </c>
      <c r="G1083" s="156">
        <f t="shared" ref="G1083:G1095" si="47">F1083/E1083</f>
        <v>0.78333333333333333</v>
      </c>
      <c r="H1083" s="222" t="s">
        <v>613</v>
      </c>
    </row>
    <row r="1084" spans="1:8" ht="49.9" customHeight="1" x14ac:dyDescent="0.25">
      <c r="A1084" s="619"/>
      <c r="B1084" s="148" t="s">
        <v>443</v>
      </c>
      <c r="C1084" s="49" t="s">
        <v>441</v>
      </c>
      <c r="D1084" s="156">
        <v>0.15</v>
      </c>
      <c r="E1084" s="172">
        <v>2</v>
      </c>
      <c r="F1084" s="172">
        <v>1.68</v>
      </c>
      <c r="G1084" s="156">
        <f t="shared" si="47"/>
        <v>0.84</v>
      </c>
      <c r="H1084" s="222">
        <v>0</v>
      </c>
    </row>
    <row r="1085" spans="1:8" ht="49.9" customHeight="1" x14ac:dyDescent="0.25">
      <c r="A1085" s="619"/>
      <c r="B1085" s="148" t="s">
        <v>444</v>
      </c>
      <c r="C1085" s="49" t="s">
        <v>441</v>
      </c>
      <c r="D1085" s="156">
        <v>0.15</v>
      </c>
      <c r="E1085" s="149">
        <v>1072</v>
      </c>
      <c r="F1085" s="149">
        <v>1022</v>
      </c>
      <c r="G1085" s="156">
        <f t="shared" si="47"/>
        <v>0.95335820895522383</v>
      </c>
      <c r="H1085" s="222" t="s">
        <v>610</v>
      </c>
    </row>
    <row r="1086" spans="1:8" ht="49.9" customHeight="1" x14ac:dyDescent="0.25">
      <c r="A1086" s="619"/>
      <c r="B1086" s="148" t="s">
        <v>445</v>
      </c>
      <c r="C1086" s="49" t="s">
        <v>441</v>
      </c>
      <c r="D1086" s="156">
        <v>0.15</v>
      </c>
      <c r="E1086" s="172">
        <v>1</v>
      </c>
      <c r="F1086" s="172">
        <v>1</v>
      </c>
      <c r="G1086" s="156">
        <f t="shared" si="47"/>
        <v>1</v>
      </c>
      <c r="H1086" s="222" t="s">
        <v>611</v>
      </c>
    </row>
    <row r="1087" spans="1:8" ht="49.9" customHeight="1" x14ac:dyDescent="0.25">
      <c r="A1087" s="619"/>
      <c r="B1087" s="148" t="s">
        <v>446</v>
      </c>
      <c r="C1087" s="49" t="s">
        <v>441</v>
      </c>
      <c r="D1087" s="156">
        <v>0.15</v>
      </c>
      <c r="E1087" s="172">
        <v>1097</v>
      </c>
      <c r="F1087" s="172">
        <v>985</v>
      </c>
      <c r="G1087" s="156">
        <f t="shared" si="47"/>
        <v>0.89790337283500454</v>
      </c>
      <c r="H1087" s="222" t="s">
        <v>609</v>
      </c>
    </row>
    <row r="1088" spans="1:8" ht="49.9" customHeight="1" x14ac:dyDescent="0.25">
      <c r="A1088" s="620"/>
      <c r="B1088" s="148" t="s">
        <v>447</v>
      </c>
      <c r="C1088" s="49" t="s">
        <v>441</v>
      </c>
      <c r="D1088" s="156">
        <v>0.1</v>
      </c>
      <c r="E1088" s="175">
        <v>1</v>
      </c>
      <c r="F1088" s="123">
        <v>1</v>
      </c>
      <c r="G1088" s="156">
        <f t="shared" si="47"/>
        <v>1</v>
      </c>
      <c r="H1088" s="222" t="s">
        <v>614</v>
      </c>
    </row>
    <row r="1089" spans="1:8" ht="49.9" customHeight="1" x14ac:dyDescent="0.25">
      <c r="A1089" s="618" t="s">
        <v>132</v>
      </c>
      <c r="B1089" s="148" t="s">
        <v>440</v>
      </c>
      <c r="C1089" s="49" t="s">
        <v>441</v>
      </c>
      <c r="D1089" s="156">
        <v>0.15</v>
      </c>
      <c r="E1089" s="149">
        <v>20</v>
      </c>
      <c r="F1089" s="149">
        <v>20</v>
      </c>
      <c r="G1089" s="156">
        <f t="shared" si="47"/>
        <v>1</v>
      </c>
      <c r="H1089" s="170" t="s">
        <v>621</v>
      </c>
    </row>
    <row r="1090" spans="1:8" ht="49.9" customHeight="1" x14ac:dyDescent="0.25">
      <c r="A1090" s="619"/>
      <c r="B1090" s="148" t="s">
        <v>442</v>
      </c>
      <c r="C1090" s="49" t="s">
        <v>441</v>
      </c>
      <c r="D1090" s="156">
        <v>0.15</v>
      </c>
      <c r="E1090" s="172">
        <v>6</v>
      </c>
      <c r="F1090" s="172">
        <v>5.4</v>
      </c>
      <c r="G1090" s="156">
        <f t="shared" si="47"/>
        <v>0.9</v>
      </c>
      <c r="H1090" s="170" t="s">
        <v>623</v>
      </c>
    </row>
    <row r="1091" spans="1:8" ht="49.9" customHeight="1" x14ac:dyDescent="0.25">
      <c r="A1091" s="619"/>
      <c r="B1091" s="148" t="s">
        <v>443</v>
      </c>
      <c r="C1091" s="49" t="s">
        <v>441</v>
      </c>
      <c r="D1091" s="156">
        <v>0.15</v>
      </c>
      <c r="E1091" s="172">
        <v>2</v>
      </c>
      <c r="F1091" s="172">
        <v>1.87</v>
      </c>
      <c r="G1091" s="156">
        <f t="shared" si="47"/>
        <v>0.93500000000000005</v>
      </c>
      <c r="H1091" s="170" t="s">
        <v>624</v>
      </c>
    </row>
    <row r="1092" spans="1:8" ht="49.9" customHeight="1" x14ac:dyDescent="0.25">
      <c r="A1092" s="619"/>
      <c r="B1092" s="148" t="s">
        <v>444</v>
      </c>
      <c r="C1092" s="49" t="s">
        <v>441</v>
      </c>
      <c r="D1092" s="156">
        <v>0.15</v>
      </c>
      <c r="E1092" s="149">
        <v>1072</v>
      </c>
      <c r="F1092" s="172">
        <v>1139</v>
      </c>
      <c r="G1092" s="156">
        <f t="shared" si="47"/>
        <v>1.0625</v>
      </c>
      <c r="H1092" s="170" t="s">
        <v>616</v>
      </c>
    </row>
    <row r="1093" spans="1:8" ht="49.9" customHeight="1" x14ac:dyDescent="0.25">
      <c r="A1093" s="619"/>
      <c r="B1093" s="148" t="s">
        <v>445</v>
      </c>
      <c r="C1093" s="49" t="s">
        <v>441</v>
      </c>
      <c r="D1093" s="156">
        <v>0.15</v>
      </c>
      <c r="E1093" s="172">
        <v>1</v>
      </c>
      <c r="F1093" s="172">
        <v>1</v>
      </c>
      <c r="G1093" s="156">
        <f t="shared" si="47"/>
        <v>1</v>
      </c>
      <c r="H1093" s="170" t="s">
        <v>618</v>
      </c>
    </row>
    <row r="1094" spans="1:8" ht="49.9" customHeight="1" x14ac:dyDescent="0.25">
      <c r="A1094" s="619"/>
      <c r="B1094" s="148" t="s">
        <v>446</v>
      </c>
      <c r="C1094" s="49" t="s">
        <v>441</v>
      </c>
      <c r="D1094" s="156">
        <v>0.15</v>
      </c>
      <c r="E1094" s="172">
        <v>1097</v>
      </c>
      <c r="F1094" s="172">
        <v>1079</v>
      </c>
      <c r="G1094" s="156">
        <f t="shared" si="47"/>
        <v>0.98359161349134006</v>
      </c>
      <c r="H1094" s="170" t="s">
        <v>617</v>
      </c>
    </row>
    <row r="1095" spans="1:8" ht="49.9" customHeight="1" x14ac:dyDescent="0.25">
      <c r="A1095" s="620"/>
      <c r="B1095" s="148" t="s">
        <v>447</v>
      </c>
      <c r="C1095" s="49" t="s">
        <v>441</v>
      </c>
      <c r="D1095" s="156">
        <v>0.1</v>
      </c>
      <c r="E1095" s="175">
        <v>1</v>
      </c>
      <c r="F1095" s="123">
        <v>1</v>
      </c>
      <c r="G1095" s="156">
        <f t="shared" si="47"/>
        <v>1</v>
      </c>
      <c r="H1095" s="170" t="s">
        <v>619</v>
      </c>
    </row>
    <row r="1096" spans="1:8" ht="49.9" customHeight="1" x14ac:dyDescent="0.25">
      <c r="A1096" s="618" t="s">
        <v>133</v>
      </c>
      <c r="B1096" s="148" t="s">
        <v>440</v>
      </c>
      <c r="C1096" s="49" t="s">
        <v>441</v>
      </c>
      <c r="D1096" s="156">
        <v>0.15</v>
      </c>
      <c r="E1096" s="149">
        <v>20</v>
      </c>
      <c r="F1096" s="149">
        <v>20</v>
      </c>
      <c r="G1096" s="156">
        <f t="shared" ref="G1096:G1102" si="48">F1096/E1096</f>
        <v>1</v>
      </c>
      <c r="H1096" s="170" t="s">
        <v>653</v>
      </c>
    </row>
    <row r="1097" spans="1:8" ht="49.9" customHeight="1" x14ac:dyDescent="0.25">
      <c r="A1097" s="619"/>
      <c r="B1097" s="148" t="s">
        <v>442</v>
      </c>
      <c r="C1097" s="49" t="s">
        <v>441</v>
      </c>
      <c r="D1097" s="156">
        <v>0.15</v>
      </c>
      <c r="E1097" s="172">
        <v>6</v>
      </c>
      <c r="F1097" s="172">
        <v>6</v>
      </c>
      <c r="G1097" s="156">
        <f t="shared" si="48"/>
        <v>1</v>
      </c>
      <c r="H1097" s="170" t="s">
        <v>637</v>
      </c>
    </row>
    <row r="1098" spans="1:8" ht="49.9" customHeight="1" x14ac:dyDescent="0.25">
      <c r="A1098" s="619"/>
      <c r="B1098" s="148" t="s">
        <v>443</v>
      </c>
      <c r="C1098" s="49" t="s">
        <v>441</v>
      </c>
      <c r="D1098" s="156">
        <v>0.15</v>
      </c>
      <c r="E1098" s="172">
        <v>2</v>
      </c>
      <c r="F1098" s="172">
        <v>2</v>
      </c>
      <c r="G1098" s="156">
        <f t="shared" si="48"/>
        <v>1</v>
      </c>
      <c r="H1098" s="170" t="s">
        <v>625</v>
      </c>
    </row>
    <row r="1099" spans="1:8" ht="49.9" customHeight="1" x14ac:dyDescent="0.25">
      <c r="A1099" s="619"/>
      <c r="B1099" s="148" t="s">
        <v>444</v>
      </c>
      <c r="C1099" s="49" t="s">
        <v>441</v>
      </c>
      <c r="D1099" s="156">
        <v>0.15</v>
      </c>
      <c r="E1099" s="149">
        <v>1072</v>
      </c>
      <c r="F1099" s="172">
        <v>1202</v>
      </c>
      <c r="G1099" s="156">
        <f t="shared" si="48"/>
        <v>1.1212686567164178</v>
      </c>
      <c r="H1099" s="170" t="s">
        <v>630</v>
      </c>
    </row>
    <row r="1100" spans="1:8" ht="49.9" customHeight="1" x14ac:dyDescent="0.25">
      <c r="A1100" s="619"/>
      <c r="B1100" s="148" t="s">
        <v>445</v>
      </c>
      <c r="C1100" s="49" t="s">
        <v>441</v>
      </c>
      <c r="D1100" s="156">
        <v>0.15</v>
      </c>
      <c r="E1100" s="172">
        <v>1</v>
      </c>
      <c r="F1100" s="172">
        <v>1</v>
      </c>
      <c r="G1100" s="156">
        <f t="shared" si="48"/>
        <v>1</v>
      </c>
      <c r="H1100" s="170" t="s">
        <v>636</v>
      </c>
    </row>
    <row r="1101" spans="1:8" ht="49.9" customHeight="1" x14ac:dyDescent="0.25">
      <c r="A1101" s="619"/>
      <c r="B1101" s="148" t="s">
        <v>446</v>
      </c>
      <c r="C1101" s="49" t="s">
        <v>441</v>
      </c>
      <c r="D1101" s="156">
        <v>0.15</v>
      </c>
      <c r="E1101" s="172">
        <v>1097</v>
      </c>
      <c r="F1101" s="172">
        <v>1234</v>
      </c>
      <c r="G1101" s="156">
        <f t="shared" si="48"/>
        <v>1.1248860528714677</v>
      </c>
      <c r="H1101" s="170" t="s">
        <v>631</v>
      </c>
    </row>
    <row r="1102" spans="1:8" ht="49.9" customHeight="1" x14ac:dyDescent="0.25">
      <c r="A1102" s="620"/>
      <c r="B1102" s="148" t="s">
        <v>447</v>
      </c>
      <c r="C1102" s="49" t="s">
        <v>441</v>
      </c>
      <c r="D1102" s="156">
        <v>0.1</v>
      </c>
      <c r="E1102" s="175">
        <v>1</v>
      </c>
      <c r="F1102" s="123">
        <v>1</v>
      </c>
      <c r="G1102" s="156">
        <f t="shared" si="48"/>
        <v>1</v>
      </c>
      <c r="H1102" s="170" t="s">
        <v>648</v>
      </c>
    </row>
    <row r="1104" spans="1:8" ht="20.25" hidden="1" x14ac:dyDescent="0.3">
      <c r="A1104" s="627" t="s">
        <v>190</v>
      </c>
      <c r="B1104" s="628"/>
      <c r="C1104" s="628"/>
      <c r="D1104" s="628"/>
      <c r="E1104" s="628"/>
      <c r="F1104" s="628"/>
      <c r="G1104" s="628"/>
      <c r="H1104" s="629"/>
    </row>
    <row r="1105" spans="1:8" ht="52.5" hidden="1" customHeight="1" x14ac:dyDescent="0.25">
      <c r="A1105" s="150" t="s">
        <v>62</v>
      </c>
      <c r="B1105" s="39" t="s">
        <v>182</v>
      </c>
      <c r="C1105" s="43" t="s">
        <v>148</v>
      </c>
      <c r="D1105" s="43" t="s">
        <v>162</v>
      </c>
      <c r="E1105" s="43" t="s">
        <v>191</v>
      </c>
      <c r="F1105" s="43" t="s">
        <v>192</v>
      </c>
      <c r="G1105" s="43" t="s">
        <v>193</v>
      </c>
      <c r="H1105" s="39" t="s">
        <v>171</v>
      </c>
    </row>
    <row r="1106" spans="1:8" ht="16.5" hidden="1" customHeight="1" x14ac:dyDescent="0.25">
      <c r="A1106" s="40" t="s">
        <v>135</v>
      </c>
      <c r="B1106" s="40"/>
      <c r="C1106" s="40"/>
      <c r="D1106" s="40"/>
      <c r="E1106" s="40"/>
      <c r="F1106" s="40"/>
      <c r="G1106" s="40" t="e">
        <f>F1106/E1106</f>
        <v>#DIV/0!</v>
      </c>
      <c r="H1106" s="40"/>
    </row>
    <row r="1107" spans="1:8" ht="16.5" hidden="1" customHeight="1" x14ac:dyDescent="0.25">
      <c r="A1107" s="40" t="s">
        <v>136</v>
      </c>
      <c r="B1107" s="40"/>
      <c r="C1107" s="40"/>
      <c r="D1107" s="40"/>
      <c r="E1107" s="40"/>
      <c r="F1107" s="40"/>
      <c r="G1107" s="40" t="e">
        <f t="shared" ref="G1107:G1117" si="49">F1107/E1107</f>
        <v>#DIV/0!</v>
      </c>
      <c r="H1107" s="40"/>
    </row>
    <row r="1108" spans="1:8" ht="16.5" hidden="1" customHeight="1" x14ac:dyDescent="0.25">
      <c r="A1108" s="40" t="s">
        <v>137</v>
      </c>
      <c r="B1108" s="40"/>
      <c r="C1108" s="40"/>
      <c r="D1108" s="40"/>
      <c r="E1108" s="40"/>
      <c r="F1108" s="40"/>
      <c r="G1108" s="40" t="e">
        <f t="shared" si="49"/>
        <v>#DIV/0!</v>
      </c>
      <c r="H1108" s="40"/>
    </row>
    <row r="1109" spans="1:8" ht="16.5" hidden="1" customHeight="1" x14ac:dyDescent="0.25">
      <c r="A1109" s="40" t="s">
        <v>138</v>
      </c>
      <c r="B1109" s="40"/>
      <c r="C1109" s="40"/>
      <c r="D1109" s="40"/>
      <c r="E1109" s="40"/>
      <c r="F1109" s="40"/>
      <c r="G1109" s="40" t="e">
        <f t="shared" si="49"/>
        <v>#DIV/0!</v>
      </c>
      <c r="H1109" s="40"/>
    </row>
    <row r="1110" spans="1:8" ht="16.5" hidden="1" customHeight="1" x14ac:dyDescent="0.25">
      <c r="A1110" s="40" t="s">
        <v>139</v>
      </c>
      <c r="B1110" s="40"/>
      <c r="C1110" s="40"/>
      <c r="D1110" s="40"/>
      <c r="E1110" s="40"/>
      <c r="F1110" s="40"/>
      <c r="G1110" s="40" t="e">
        <f t="shared" si="49"/>
        <v>#DIV/0!</v>
      </c>
      <c r="H1110" s="40"/>
    </row>
    <row r="1111" spans="1:8" ht="16.5" hidden="1" customHeight="1" x14ac:dyDescent="0.25">
      <c r="A1111" s="40" t="s">
        <v>140</v>
      </c>
      <c r="B1111" s="40"/>
      <c r="C1111" s="40"/>
      <c r="D1111" s="40"/>
      <c r="E1111" s="40"/>
      <c r="F1111" s="40"/>
      <c r="G1111" s="40" t="e">
        <f t="shared" si="49"/>
        <v>#DIV/0!</v>
      </c>
      <c r="H1111" s="40"/>
    </row>
    <row r="1112" spans="1:8" hidden="1" x14ac:dyDescent="0.25">
      <c r="A1112" s="40" t="s">
        <v>128</v>
      </c>
      <c r="B1112" s="40"/>
      <c r="C1112" s="40"/>
      <c r="D1112" s="40"/>
      <c r="E1112" s="40"/>
      <c r="F1112" s="40"/>
      <c r="G1112" s="40" t="e">
        <f t="shared" si="49"/>
        <v>#DIV/0!</v>
      </c>
      <c r="H1112" s="40"/>
    </row>
    <row r="1113" spans="1:8" hidden="1" x14ac:dyDescent="0.25">
      <c r="A1113" s="40" t="s">
        <v>129</v>
      </c>
      <c r="B1113" s="40"/>
      <c r="C1113" s="40"/>
      <c r="D1113" s="40"/>
      <c r="E1113" s="40"/>
      <c r="F1113" s="40"/>
      <c r="G1113" s="40" t="e">
        <f t="shared" si="49"/>
        <v>#DIV/0!</v>
      </c>
      <c r="H1113" s="40"/>
    </row>
    <row r="1114" spans="1:8" hidden="1" x14ac:dyDescent="0.25">
      <c r="A1114" s="40" t="s">
        <v>130</v>
      </c>
      <c r="B1114" s="40"/>
      <c r="C1114" s="40"/>
      <c r="D1114" s="40"/>
      <c r="E1114" s="40"/>
      <c r="F1114" s="40"/>
      <c r="G1114" s="40" t="e">
        <f t="shared" si="49"/>
        <v>#DIV/0!</v>
      </c>
      <c r="H1114" s="40"/>
    </row>
    <row r="1115" spans="1:8" hidden="1" x14ac:dyDescent="0.25">
      <c r="A1115" s="40" t="s">
        <v>131</v>
      </c>
      <c r="B1115" s="40"/>
      <c r="C1115" s="40"/>
      <c r="D1115" s="40"/>
      <c r="E1115" s="40"/>
      <c r="F1115" s="40"/>
      <c r="G1115" s="40" t="e">
        <f t="shared" si="49"/>
        <v>#DIV/0!</v>
      </c>
      <c r="H1115" s="40"/>
    </row>
    <row r="1116" spans="1:8" hidden="1" x14ac:dyDescent="0.25">
      <c r="A1116" s="40" t="s">
        <v>132</v>
      </c>
      <c r="B1116" s="40"/>
      <c r="C1116" s="40"/>
      <c r="D1116" s="40"/>
      <c r="E1116" s="40"/>
      <c r="F1116" s="40"/>
      <c r="G1116" s="40" t="e">
        <f t="shared" si="49"/>
        <v>#DIV/0!</v>
      </c>
      <c r="H1116" s="40"/>
    </row>
    <row r="1117" spans="1:8" hidden="1" x14ac:dyDescent="0.25">
      <c r="A1117" s="40" t="s">
        <v>133</v>
      </c>
      <c r="B1117" s="40"/>
      <c r="C1117" s="40"/>
      <c r="D1117" s="40"/>
      <c r="E1117" s="40"/>
      <c r="F1117" s="40"/>
      <c r="G1117" s="40" t="e">
        <f t="shared" si="49"/>
        <v>#DIV/0!</v>
      </c>
      <c r="H1117" s="40"/>
    </row>
    <row r="1118" spans="1:8" hidden="1" x14ac:dyDescent="0.25"/>
    <row r="1119" spans="1:8" ht="20.25" hidden="1" x14ac:dyDescent="0.3">
      <c r="A1119" s="627" t="s">
        <v>194</v>
      </c>
      <c r="B1119" s="628"/>
      <c r="C1119" s="628"/>
      <c r="D1119" s="628"/>
      <c r="E1119" s="628"/>
      <c r="F1119" s="628"/>
      <c r="G1119" s="628"/>
      <c r="H1119" s="629"/>
    </row>
    <row r="1120" spans="1:8" ht="63.75" hidden="1" customHeight="1" x14ac:dyDescent="0.25">
      <c r="A1120" s="150" t="s">
        <v>63</v>
      </c>
      <c r="B1120" s="39" t="s">
        <v>182</v>
      </c>
      <c r="C1120" s="43" t="s">
        <v>148</v>
      </c>
      <c r="D1120" s="43" t="s">
        <v>165</v>
      </c>
      <c r="E1120" s="43" t="s">
        <v>195</v>
      </c>
      <c r="F1120" s="43" t="s">
        <v>196</v>
      </c>
      <c r="G1120" s="43" t="s">
        <v>197</v>
      </c>
      <c r="H1120" s="39" t="s">
        <v>171</v>
      </c>
    </row>
    <row r="1121" spans="1:38" hidden="1" x14ac:dyDescent="0.25">
      <c r="A1121" s="40" t="s">
        <v>135</v>
      </c>
      <c r="B1121" s="40"/>
      <c r="C1121" s="40"/>
      <c r="D1121" s="40"/>
      <c r="E1121" s="40"/>
      <c r="F1121" s="40"/>
      <c r="G1121" s="40" t="e">
        <f>F1121/E1121</f>
        <v>#DIV/0!</v>
      </c>
      <c r="H1121" s="40"/>
    </row>
    <row r="1122" spans="1:38" hidden="1" x14ac:dyDescent="0.25">
      <c r="A1122" s="40" t="s">
        <v>136</v>
      </c>
      <c r="B1122" s="40"/>
      <c r="C1122" s="40"/>
      <c r="D1122" s="40"/>
      <c r="E1122" s="40"/>
      <c r="F1122" s="40"/>
      <c r="G1122" s="40" t="e">
        <f t="shared" ref="G1122:G1132" si="50">F1122/E1122</f>
        <v>#DIV/0!</v>
      </c>
      <c r="H1122" s="40"/>
    </row>
    <row r="1123" spans="1:38" hidden="1" x14ac:dyDescent="0.25">
      <c r="A1123" s="40" t="s">
        <v>137</v>
      </c>
      <c r="B1123" s="40"/>
      <c r="C1123" s="40"/>
      <c r="D1123" s="40"/>
      <c r="E1123" s="40"/>
      <c r="F1123" s="40"/>
      <c r="G1123" s="40" t="e">
        <f t="shared" si="50"/>
        <v>#DIV/0!</v>
      </c>
      <c r="H1123" s="40"/>
    </row>
    <row r="1124" spans="1:38" hidden="1" x14ac:dyDescent="0.25">
      <c r="A1124" s="40" t="s">
        <v>138</v>
      </c>
      <c r="B1124" s="40"/>
      <c r="C1124" s="40"/>
      <c r="D1124" s="40"/>
      <c r="E1124" s="40"/>
      <c r="F1124" s="40"/>
      <c r="G1124" s="40" t="e">
        <f t="shared" si="50"/>
        <v>#DIV/0!</v>
      </c>
      <c r="H1124" s="40"/>
    </row>
    <row r="1125" spans="1:38" hidden="1" x14ac:dyDescent="0.25">
      <c r="A1125" s="40" t="s">
        <v>139</v>
      </c>
      <c r="B1125" s="40"/>
      <c r="C1125" s="40"/>
      <c r="D1125" s="40"/>
      <c r="E1125" s="40"/>
      <c r="F1125" s="40"/>
      <c r="G1125" s="40" t="e">
        <f t="shared" si="50"/>
        <v>#DIV/0!</v>
      </c>
      <c r="H1125" s="40"/>
    </row>
    <row r="1126" spans="1:38" hidden="1" x14ac:dyDescent="0.25">
      <c r="A1126" s="40" t="s">
        <v>140</v>
      </c>
      <c r="B1126" s="40"/>
      <c r="C1126" s="40"/>
      <c r="D1126" s="40"/>
      <c r="E1126" s="40"/>
      <c r="F1126" s="40"/>
      <c r="G1126" s="40" t="e">
        <f t="shared" si="50"/>
        <v>#DIV/0!</v>
      </c>
      <c r="H1126" s="40"/>
    </row>
    <row r="1127" spans="1:38" hidden="1" x14ac:dyDescent="0.25">
      <c r="A1127" s="40" t="s">
        <v>128</v>
      </c>
      <c r="B1127" s="40"/>
      <c r="C1127" s="40"/>
      <c r="D1127" s="40"/>
      <c r="E1127" s="40"/>
      <c r="F1127" s="40"/>
      <c r="G1127" s="40" t="e">
        <f t="shared" si="50"/>
        <v>#DIV/0!</v>
      </c>
      <c r="H1127" s="40"/>
    </row>
    <row r="1128" spans="1:38" hidden="1" x14ac:dyDescent="0.25">
      <c r="A1128" s="40" t="s">
        <v>129</v>
      </c>
      <c r="B1128" s="40"/>
      <c r="C1128" s="40"/>
      <c r="D1128" s="40"/>
      <c r="E1128" s="40"/>
      <c r="F1128" s="40"/>
      <c r="G1128" s="40" t="e">
        <f t="shared" si="50"/>
        <v>#DIV/0!</v>
      </c>
      <c r="H1128" s="40"/>
    </row>
    <row r="1129" spans="1:38" hidden="1" x14ac:dyDescent="0.25">
      <c r="A1129" s="40" t="s">
        <v>130</v>
      </c>
      <c r="B1129" s="40"/>
      <c r="C1129" s="40"/>
      <c r="D1129" s="40"/>
      <c r="E1129" s="40"/>
      <c r="F1129" s="40"/>
      <c r="G1129" s="40" t="e">
        <f t="shared" si="50"/>
        <v>#DIV/0!</v>
      </c>
      <c r="H1129" s="40"/>
    </row>
    <row r="1130" spans="1:38" hidden="1" x14ac:dyDescent="0.25">
      <c r="A1130" s="40" t="s">
        <v>131</v>
      </c>
      <c r="B1130" s="40"/>
      <c r="C1130" s="40"/>
      <c r="D1130" s="40"/>
      <c r="E1130" s="40"/>
      <c r="F1130" s="40"/>
      <c r="G1130" s="40" t="e">
        <f t="shared" si="50"/>
        <v>#DIV/0!</v>
      </c>
      <c r="H1130" s="40"/>
    </row>
    <row r="1131" spans="1:38" hidden="1" x14ac:dyDescent="0.25">
      <c r="A1131" s="40" t="s">
        <v>132</v>
      </c>
      <c r="B1131" s="40"/>
      <c r="C1131" s="40"/>
      <c r="D1131" s="40"/>
      <c r="E1131" s="40"/>
      <c r="F1131" s="40"/>
      <c r="G1131" s="40" t="e">
        <f t="shared" si="50"/>
        <v>#DIV/0!</v>
      </c>
      <c r="H1131" s="40"/>
    </row>
    <row r="1132" spans="1:38" ht="22.15" hidden="1" customHeight="1" x14ac:dyDescent="0.25">
      <c r="A1132" s="40" t="s">
        <v>133</v>
      </c>
      <c r="B1132" s="40"/>
      <c r="C1132" s="40"/>
      <c r="D1132" s="40"/>
      <c r="E1132" s="40"/>
      <c r="F1132" s="40"/>
      <c r="G1132" s="40" t="e">
        <f t="shared" si="50"/>
        <v>#DIV/0!</v>
      </c>
      <c r="H1132" s="40"/>
    </row>
    <row r="1133" spans="1:38" ht="26.25" customHeight="1" x14ac:dyDescent="0.25">
      <c r="A1133" s="22" t="s">
        <v>34</v>
      </c>
      <c r="B1133" s="20"/>
      <c r="C1133" s="20"/>
      <c r="D1133" s="21"/>
      <c r="E1133" s="54"/>
      <c r="F1133" s="21"/>
      <c r="G1133" s="21"/>
      <c r="H1133" s="21"/>
      <c r="I1133" s="21"/>
      <c r="J1133" s="21"/>
      <c r="K1133" s="21"/>
      <c r="L1133" s="21"/>
      <c r="M1133" s="21"/>
      <c r="N1133" s="21"/>
      <c r="O1133" s="21"/>
      <c r="P1133" s="20"/>
      <c r="Q1133" s="20"/>
      <c r="R1133" s="20"/>
      <c r="S1133" s="20"/>
      <c r="T1133" s="20"/>
      <c r="U1133" s="20"/>
      <c r="V1133" s="20"/>
      <c r="W1133" s="20"/>
      <c r="X1133" s="23"/>
      <c r="Y1133" s="23"/>
      <c r="Z1133" s="23"/>
      <c r="AA1133" s="23"/>
      <c r="AB1133" s="23"/>
      <c r="AC1133" s="23"/>
      <c r="AD1133" s="38"/>
      <c r="AE1133" s="38"/>
      <c r="AF1133" s="23"/>
      <c r="AG1133" s="23"/>
      <c r="AH1133" s="23"/>
      <c r="AI1133" s="23"/>
      <c r="AJ1133" s="23"/>
      <c r="AK1133" s="23"/>
      <c r="AL1133" s="38"/>
    </row>
    <row r="1134" spans="1:38" ht="43.5" customHeight="1" x14ac:dyDescent="0.25">
      <c r="A1134" s="209" t="s">
        <v>35</v>
      </c>
      <c r="B1134" s="433" t="s">
        <v>36</v>
      </c>
      <c r="C1134" s="434"/>
      <c r="D1134" s="434"/>
      <c r="E1134" s="434"/>
      <c r="F1134" s="434"/>
      <c r="G1134" s="434"/>
      <c r="H1134" s="435"/>
      <c r="I1134" s="436" t="s">
        <v>37</v>
      </c>
      <c r="J1134" s="437"/>
      <c r="K1134" s="437"/>
      <c r="L1134" s="437"/>
      <c r="M1134" s="437"/>
      <c r="N1134" s="437"/>
      <c r="O1134" s="438"/>
      <c r="P1134" s="20"/>
      <c r="Q1134" s="20"/>
      <c r="R1134" s="20"/>
      <c r="S1134" s="20"/>
      <c r="T1134" s="20"/>
      <c r="U1134" s="20"/>
      <c r="V1134" s="20"/>
      <c r="W1134" s="20"/>
      <c r="X1134" s="20"/>
      <c r="Y1134" s="20"/>
      <c r="Z1134" s="20"/>
      <c r="AA1134" s="20"/>
      <c r="AB1134" s="20"/>
      <c r="AC1134" s="20"/>
      <c r="AD1134" s="37"/>
      <c r="AE1134" s="37"/>
      <c r="AF1134" s="20"/>
      <c r="AG1134" s="20"/>
      <c r="AH1134" s="20"/>
      <c r="AI1134" s="20"/>
      <c r="AJ1134" s="20"/>
      <c r="AK1134" s="20"/>
      <c r="AL1134" s="37"/>
    </row>
    <row r="1135" spans="1:38" ht="15" customHeight="1" x14ac:dyDescent="0.25">
      <c r="A1135" s="210">
        <v>13</v>
      </c>
      <c r="B1135" s="439" t="s">
        <v>89</v>
      </c>
      <c r="C1135" s="439"/>
      <c r="D1135" s="439"/>
      <c r="E1135" s="439"/>
      <c r="F1135" s="439"/>
      <c r="G1135" s="439"/>
      <c r="H1135" s="439"/>
      <c r="I1135" s="439" t="s">
        <v>80</v>
      </c>
      <c r="J1135" s="439"/>
      <c r="K1135" s="439"/>
      <c r="L1135" s="439"/>
      <c r="M1135" s="439"/>
      <c r="N1135" s="439"/>
      <c r="O1135" s="439"/>
    </row>
    <row r="1136" spans="1:38" x14ac:dyDescent="0.25">
      <c r="A1136" s="210">
        <v>14</v>
      </c>
      <c r="B1136" s="439" t="s">
        <v>258</v>
      </c>
      <c r="C1136" s="439"/>
      <c r="D1136" s="439"/>
      <c r="E1136" s="439"/>
      <c r="F1136" s="439"/>
      <c r="G1136" s="439"/>
      <c r="H1136" s="439"/>
      <c r="I1136" s="440" t="s">
        <v>521</v>
      </c>
      <c r="J1136" s="440"/>
      <c r="K1136" s="440"/>
      <c r="L1136" s="440"/>
      <c r="M1136" s="440"/>
      <c r="N1136" s="440"/>
      <c r="O1136" s="440"/>
    </row>
  </sheetData>
  <mergeCells count="646">
    <mergeCell ref="A1096:A1102"/>
    <mergeCell ref="B610:B612"/>
    <mergeCell ref="C610:C612"/>
    <mergeCell ref="B851:B852"/>
    <mergeCell ref="C851:C852"/>
    <mergeCell ref="A846:A852"/>
    <mergeCell ref="A1089:A1095"/>
    <mergeCell ref="A716:A722"/>
    <mergeCell ref="A671:A677"/>
    <mergeCell ref="A751:A757"/>
    <mergeCell ref="A758:A764"/>
    <mergeCell ref="A783:A789"/>
    <mergeCell ref="C844:C845"/>
    <mergeCell ref="B832:B834"/>
    <mergeCell ref="C832:C834"/>
    <mergeCell ref="B837:B838"/>
    <mergeCell ref="A765:A771"/>
    <mergeCell ref="B765:B767"/>
    <mergeCell ref="A804:A810"/>
    <mergeCell ref="B702:B704"/>
    <mergeCell ref="C702:C704"/>
    <mergeCell ref="C770:C771"/>
    <mergeCell ref="C783:C785"/>
    <mergeCell ref="B788:B789"/>
    <mergeCell ref="C788:C789"/>
    <mergeCell ref="B790:B792"/>
    <mergeCell ref="B716:B718"/>
    <mergeCell ref="C716:C718"/>
    <mergeCell ref="B744:B746"/>
    <mergeCell ref="B749:B750"/>
    <mergeCell ref="B756:B757"/>
    <mergeCell ref="C756:C757"/>
    <mergeCell ref="B763:B764"/>
    <mergeCell ref="B776:B778"/>
    <mergeCell ref="B737:B739"/>
    <mergeCell ref="C721:C722"/>
    <mergeCell ref="C735:C736"/>
    <mergeCell ref="C751:C753"/>
    <mergeCell ref="B781:B782"/>
    <mergeCell ref="C781:C782"/>
    <mergeCell ref="B770:B771"/>
    <mergeCell ref="B758:B760"/>
    <mergeCell ref="C671:C673"/>
    <mergeCell ref="C664:C666"/>
    <mergeCell ref="B669:B670"/>
    <mergeCell ref="C669:C670"/>
    <mergeCell ref="C707:C708"/>
    <mergeCell ref="C763:C764"/>
    <mergeCell ref="B664:B666"/>
    <mergeCell ref="C758:C760"/>
    <mergeCell ref="C742:C743"/>
    <mergeCell ref="B714:B715"/>
    <mergeCell ref="B721:B722"/>
    <mergeCell ref="B709:B711"/>
    <mergeCell ref="B683:B684"/>
    <mergeCell ref="C683:C684"/>
    <mergeCell ref="B276:B277"/>
    <mergeCell ref="B281:B284"/>
    <mergeCell ref="A291:A303"/>
    <mergeCell ref="A263:A275"/>
    <mergeCell ref="B266:B269"/>
    <mergeCell ref="B270:B272"/>
    <mergeCell ref="A276:A288"/>
    <mergeCell ref="A790:A796"/>
    <mergeCell ref="C580:C581"/>
    <mergeCell ref="C676:C677"/>
    <mergeCell ref="A709:A715"/>
    <mergeCell ref="C709:C711"/>
    <mergeCell ref="C714:C715"/>
    <mergeCell ref="C690:C691"/>
    <mergeCell ref="A693:G693"/>
    <mergeCell ref="B678:B680"/>
    <mergeCell ref="C678:C680"/>
    <mergeCell ref="F603:F605"/>
    <mergeCell ref="B608:B609"/>
    <mergeCell ref="C608:C609"/>
    <mergeCell ref="D608:D609"/>
    <mergeCell ref="E608:E609"/>
    <mergeCell ref="F608:F609"/>
    <mergeCell ref="D610:D612"/>
    <mergeCell ref="F545:F546"/>
    <mergeCell ref="F515:F517"/>
    <mergeCell ref="D513:D514"/>
    <mergeCell ref="E513:E514"/>
    <mergeCell ref="F506:F507"/>
    <mergeCell ref="F508:F510"/>
    <mergeCell ref="D508:D510"/>
    <mergeCell ref="A250:A262"/>
    <mergeCell ref="B473:B475"/>
    <mergeCell ref="B508:B510"/>
    <mergeCell ref="A494:A500"/>
    <mergeCell ref="B492:B493"/>
    <mergeCell ref="B494:B496"/>
    <mergeCell ref="B253:B256"/>
    <mergeCell ref="B257:B259"/>
    <mergeCell ref="B261:B262"/>
    <mergeCell ref="A501:A507"/>
    <mergeCell ref="B294:B297"/>
    <mergeCell ref="B298:B300"/>
    <mergeCell ref="B302:B303"/>
    <mergeCell ref="A487:A493"/>
    <mergeCell ref="A508:A514"/>
    <mergeCell ref="A414:A420"/>
    <mergeCell ref="B285:B287"/>
    <mergeCell ref="A466:A472"/>
    <mergeCell ref="B466:B468"/>
    <mergeCell ref="B464:B465"/>
    <mergeCell ref="A473:A479"/>
    <mergeCell ref="F471:F472"/>
    <mergeCell ref="E466:E468"/>
    <mergeCell ref="F466:F468"/>
    <mergeCell ref="D471:D472"/>
    <mergeCell ref="D466:D468"/>
    <mergeCell ref="F464:F465"/>
    <mergeCell ref="E464:E465"/>
    <mergeCell ref="B315:B316"/>
    <mergeCell ref="B325:B329"/>
    <mergeCell ref="F520:F521"/>
    <mergeCell ref="F522:F524"/>
    <mergeCell ref="F499:F500"/>
    <mergeCell ref="E480:E482"/>
    <mergeCell ref="D499:D500"/>
    <mergeCell ref="E499:E500"/>
    <mergeCell ref="F487:F489"/>
    <mergeCell ref="C473:C475"/>
    <mergeCell ref="E508:E510"/>
    <mergeCell ref="C508:C510"/>
    <mergeCell ref="F473:F475"/>
    <mergeCell ref="F478:F479"/>
    <mergeCell ref="E473:E475"/>
    <mergeCell ref="D473:D475"/>
    <mergeCell ref="E520:E521"/>
    <mergeCell ref="D480:D482"/>
    <mergeCell ref="E485:E486"/>
    <mergeCell ref="C520:C521"/>
    <mergeCell ref="B506:B507"/>
    <mergeCell ref="C506:C507"/>
    <mergeCell ref="A450:L450"/>
    <mergeCell ref="A452:A458"/>
    <mergeCell ref="B318:B323"/>
    <mergeCell ref="B407:B409"/>
    <mergeCell ref="C407:C409"/>
    <mergeCell ref="B414:B416"/>
    <mergeCell ref="A304:A316"/>
    <mergeCell ref="F501:F503"/>
    <mergeCell ref="F492:F493"/>
    <mergeCell ref="F494:F496"/>
    <mergeCell ref="F480:F482"/>
    <mergeCell ref="F485:F486"/>
    <mergeCell ref="B344:B348"/>
    <mergeCell ref="B349:B351"/>
    <mergeCell ref="B353:B354"/>
    <mergeCell ref="E419:E420"/>
    <mergeCell ref="B435:B437"/>
    <mergeCell ref="C435:C437"/>
    <mergeCell ref="E414:E416"/>
    <mergeCell ref="D419:D420"/>
    <mergeCell ref="B307:B310"/>
    <mergeCell ref="C414:C416"/>
    <mergeCell ref="B421:B423"/>
    <mergeCell ref="D464:D465"/>
    <mergeCell ref="C452:C454"/>
    <mergeCell ref="A480:A486"/>
    <mergeCell ref="C657:C659"/>
    <mergeCell ref="B337:B342"/>
    <mergeCell ref="C421:C423"/>
    <mergeCell ref="C419:C420"/>
    <mergeCell ref="B356:B361"/>
    <mergeCell ref="B363:B367"/>
    <mergeCell ref="B368:B370"/>
    <mergeCell ref="B372:B373"/>
    <mergeCell ref="B485:B486"/>
    <mergeCell ref="C440:C441"/>
    <mergeCell ref="B545:B546"/>
    <mergeCell ref="C464:C465"/>
    <mergeCell ref="B480:B482"/>
    <mergeCell ref="C480:C482"/>
    <mergeCell ref="B487:B489"/>
    <mergeCell ref="C499:C500"/>
    <mergeCell ref="B442:B444"/>
    <mergeCell ref="C442:C444"/>
    <mergeCell ref="B601:B602"/>
    <mergeCell ref="C603:C605"/>
    <mergeCell ref="C596:C598"/>
    <mergeCell ref="C559:C560"/>
    <mergeCell ref="B499:B500"/>
    <mergeCell ref="C494:C496"/>
    <mergeCell ref="F615:F616"/>
    <mergeCell ref="A648:G648"/>
    <mergeCell ref="A702:A708"/>
    <mergeCell ref="C594:C595"/>
    <mergeCell ref="E610:E612"/>
    <mergeCell ref="A582:A588"/>
    <mergeCell ref="D596:D598"/>
    <mergeCell ref="C601:C602"/>
    <mergeCell ref="D601:D602"/>
    <mergeCell ref="B707:B708"/>
    <mergeCell ref="B700:B701"/>
    <mergeCell ref="F610:F612"/>
    <mergeCell ref="B615:B616"/>
    <mergeCell ref="C615:C616"/>
    <mergeCell ref="D615:D616"/>
    <mergeCell ref="E615:E616"/>
    <mergeCell ref="C655:C656"/>
    <mergeCell ref="B685:B687"/>
    <mergeCell ref="B655:B656"/>
    <mergeCell ref="D603:D605"/>
    <mergeCell ref="E603:E605"/>
    <mergeCell ref="C650:C652"/>
    <mergeCell ref="B657:B659"/>
    <mergeCell ref="D587:D588"/>
    <mergeCell ref="A554:A560"/>
    <mergeCell ref="A547:A553"/>
    <mergeCell ref="A561:A567"/>
    <mergeCell ref="C575:C577"/>
    <mergeCell ref="A568:A574"/>
    <mergeCell ref="A575:A581"/>
    <mergeCell ref="B573:B574"/>
    <mergeCell ref="B552:B553"/>
    <mergeCell ref="A589:A595"/>
    <mergeCell ref="B587:B588"/>
    <mergeCell ref="B594:B595"/>
    <mergeCell ref="C582:C584"/>
    <mergeCell ref="B580:B581"/>
    <mergeCell ref="C573:C574"/>
    <mergeCell ref="B575:B577"/>
    <mergeCell ref="B554:B556"/>
    <mergeCell ref="C554:C556"/>
    <mergeCell ref="C547:C549"/>
    <mergeCell ref="C566:C567"/>
    <mergeCell ref="B589:B591"/>
    <mergeCell ref="C589:C591"/>
    <mergeCell ref="B582:B584"/>
    <mergeCell ref="C587:C588"/>
    <mergeCell ref="B559:B560"/>
    <mergeCell ref="E587:E588"/>
    <mergeCell ref="D589:D591"/>
    <mergeCell ref="E568:E570"/>
    <mergeCell ref="F594:F595"/>
    <mergeCell ref="F568:F570"/>
    <mergeCell ref="B568:B570"/>
    <mergeCell ref="C568:C570"/>
    <mergeCell ref="D566:D567"/>
    <mergeCell ref="C561:C563"/>
    <mergeCell ref="B566:B567"/>
    <mergeCell ref="E566:E567"/>
    <mergeCell ref="F566:F567"/>
    <mergeCell ref="D561:D563"/>
    <mergeCell ref="E596:E598"/>
    <mergeCell ref="F582:F584"/>
    <mergeCell ref="F589:F591"/>
    <mergeCell ref="F587:F588"/>
    <mergeCell ref="E573:E574"/>
    <mergeCell ref="E575:E577"/>
    <mergeCell ref="D575:D577"/>
    <mergeCell ref="D582:D584"/>
    <mergeCell ref="F554:F556"/>
    <mergeCell ref="F559:F560"/>
    <mergeCell ref="E561:E563"/>
    <mergeCell ref="F561:F563"/>
    <mergeCell ref="F596:F598"/>
    <mergeCell ref="D568:D570"/>
    <mergeCell ref="D580:D581"/>
    <mergeCell ref="D594:D595"/>
    <mergeCell ref="E594:E595"/>
    <mergeCell ref="E580:E581"/>
    <mergeCell ref="F580:F581"/>
    <mergeCell ref="E589:E591"/>
    <mergeCell ref="E582:E584"/>
    <mergeCell ref="D573:D574"/>
    <mergeCell ref="F573:F574"/>
    <mergeCell ref="F575:F577"/>
    <mergeCell ref="D559:D560"/>
    <mergeCell ref="A211:A223"/>
    <mergeCell ref="A198:A210"/>
    <mergeCell ref="B201:B204"/>
    <mergeCell ref="B205:B207"/>
    <mergeCell ref="B209:B210"/>
    <mergeCell ref="C533:C535"/>
    <mergeCell ref="D533:D535"/>
    <mergeCell ref="B440:B441"/>
    <mergeCell ref="B240:B243"/>
    <mergeCell ref="B244:B246"/>
    <mergeCell ref="B248:B249"/>
    <mergeCell ref="B330:B332"/>
    <mergeCell ref="C412:C413"/>
    <mergeCell ref="B274:B275"/>
    <mergeCell ref="A405:L405"/>
    <mergeCell ref="A421:A427"/>
    <mergeCell ref="F428:F430"/>
    <mergeCell ref="C471:C472"/>
    <mergeCell ref="C466:C468"/>
    <mergeCell ref="C459:C461"/>
    <mergeCell ref="B471:B472"/>
    <mergeCell ref="E471:E472"/>
    <mergeCell ref="D506:D507"/>
    <mergeCell ref="A196:H196"/>
    <mergeCell ref="A148:A158"/>
    <mergeCell ref="A237:A249"/>
    <mergeCell ref="A390:H390"/>
    <mergeCell ref="B150:B152"/>
    <mergeCell ref="B153:B154"/>
    <mergeCell ref="B214:B217"/>
    <mergeCell ref="B156:B157"/>
    <mergeCell ref="A159:A169"/>
    <mergeCell ref="B161:B163"/>
    <mergeCell ref="B164:B165"/>
    <mergeCell ref="B167:B168"/>
    <mergeCell ref="A170:A181"/>
    <mergeCell ref="A182:A193"/>
    <mergeCell ref="B182:B183"/>
    <mergeCell ref="B185:B187"/>
    <mergeCell ref="B188:B189"/>
    <mergeCell ref="B191:B192"/>
    <mergeCell ref="B311:B313"/>
    <mergeCell ref="B218:B220"/>
    <mergeCell ref="B222:B223"/>
    <mergeCell ref="B289:B290"/>
    <mergeCell ref="B231:B233"/>
    <mergeCell ref="B235:B236"/>
    <mergeCell ref="A126:A136"/>
    <mergeCell ref="B117:B119"/>
    <mergeCell ref="B120:B121"/>
    <mergeCell ref="B123:B124"/>
    <mergeCell ref="A137:A147"/>
    <mergeCell ref="B139:B141"/>
    <mergeCell ref="B142:B143"/>
    <mergeCell ref="B145:B146"/>
    <mergeCell ref="B128:B130"/>
    <mergeCell ref="B131:B132"/>
    <mergeCell ref="B134:B135"/>
    <mergeCell ref="A115:A125"/>
    <mergeCell ref="A104:A114"/>
    <mergeCell ref="B106:B108"/>
    <mergeCell ref="B109:B110"/>
    <mergeCell ref="B112:B113"/>
    <mergeCell ref="A93:A103"/>
    <mergeCell ref="B95:B97"/>
    <mergeCell ref="B98:B99"/>
    <mergeCell ref="B101:B102"/>
    <mergeCell ref="A9:A18"/>
    <mergeCell ref="B10:B11"/>
    <mergeCell ref="A49:A58"/>
    <mergeCell ref="B50:B51"/>
    <mergeCell ref="B53:B54"/>
    <mergeCell ref="B55:B56"/>
    <mergeCell ref="A82:A92"/>
    <mergeCell ref="B84:B86"/>
    <mergeCell ref="B87:B88"/>
    <mergeCell ref="B90:B91"/>
    <mergeCell ref="B65:B66"/>
    <mergeCell ref="A70:H70"/>
    <mergeCell ref="A72:A81"/>
    <mergeCell ref="B73:B74"/>
    <mergeCell ref="B75:B76"/>
    <mergeCell ref="B77:B78"/>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13:B14"/>
    <mergeCell ref="B15:B16"/>
    <mergeCell ref="B35:B36"/>
    <mergeCell ref="A5:B5"/>
    <mergeCell ref="C5:L5"/>
    <mergeCell ref="A7:H7"/>
    <mergeCell ref="D494:D496"/>
    <mergeCell ref="E494:E496"/>
    <mergeCell ref="A59:A68"/>
    <mergeCell ref="B60:B61"/>
    <mergeCell ref="B63:B64"/>
    <mergeCell ref="F447:F448"/>
    <mergeCell ref="D459:D461"/>
    <mergeCell ref="E459:E461"/>
    <mergeCell ref="F459:F461"/>
    <mergeCell ref="F452:F454"/>
    <mergeCell ref="B457:B458"/>
    <mergeCell ref="F457:F458"/>
    <mergeCell ref="D447:D448"/>
    <mergeCell ref="C457:C458"/>
    <mergeCell ref="D457:D458"/>
    <mergeCell ref="E457:E458"/>
    <mergeCell ref="E447:E448"/>
    <mergeCell ref="E452:E454"/>
    <mergeCell ref="A224:A236"/>
    <mergeCell ref="B227:B230"/>
    <mergeCell ref="A442:A448"/>
    <mergeCell ref="A428:A434"/>
    <mergeCell ref="A459:A465"/>
    <mergeCell ref="B459:B461"/>
    <mergeCell ref="B447:B448"/>
    <mergeCell ref="B452:B454"/>
    <mergeCell ref="F440:F441"/>
    <mergeCell ref="F412:F413"/>
    <mergeCell ref="F414:F416"/>
    <mergeCell ref="F421:F423"/>
    <mergeCell ref="C447:C448"/>
    <mergeCell ref="E421:E423"/>
    <mergeCell ref="F419:F420"/>
    <mergeCell ref="D412:D413"/>
    <mergeCell ref="B419:B420"/>
    <mergeCell ref="D435:D437"/>
    <mergeCell ref="B412:B413"/>
    <mergeCell ref="E440:E441"/>
    <mergeCell ref="F442:F444"/>
    <mergeCell ref="E442:E444"/>
    <mergeCell ref="D442:D444"/>
    <mergeCell ref="A317:A335"/>
    <mergeCell ref="B334:B335"/>
    <mergeCell ref="A435:A441"/>
    <mergeCell ref="F433:F434"/>
    <mergeCell ref="B426:B427"/>
    <mergeCell ref="E412:E413"/>
    <mergeCell ref="E426:E427"/>
    <mergeCell ref="F426:F427"/>
    <mergeCell ref="C426:C427"/>
    <mergeCell ref="D426:D427"/>
    <mergeCell ref="B428:B430"/>
    <mergeCell ref="D428:D430"/>
    <mergeCell ref="E428:E430"/>
    <mergeCell ref="D421:D423"/>
    <mergeCell ref="D440:D441"/>
    <mergeCell ref="A407:A413"/>
    <mergeCell ref="A336:A354"/>
    <mergeCell ref="A355:A373"/>
    <mergeCell ref="D414:D416"/>
    <mergeCell ref="A375:H375"/>
    <mergeCell ref="F435:F437"/>
    <mergeCell ref="D407:D409"/>
    <mergeCell ref="E407:E409"/>
    <mergeCell ref="F407:F409"/>
    <mergeCell ref="B1136:H1136"/>
    <mergeCell ref="I1136:O1136"/>
    <mergeCell ref="B1134:H1134"/>
    <mergeCell ref="I1134:O1134"/>
    <mergeCell ref="B1135:H1135"/>
    <mergeCell ref="I1135:O1135"/>
    <mergeCell ref="E527:E528"/>
    <mergeCell ref="F527:F528"/>
    <mergeCell ref="A531:L531"/>
    <mergeCell ref="A618:L618"/>
    <mergeCell ref="A1104:H1104"/>
    <mergeCell ref="A1119:H1119"/>
    <mergeCell ref="A966:A972"/>
    <mergeCell ref="A973:A979"/>
    <mergeCell ref="A987:A993"/>
    <mergeCell ref="A980:A986"/>
    <mergeCell ref="A1001:A1007"/>
    <mergeCell ref="A1019:A1025"/>
    <mergeCell ref="A1026:A1032"/>
    <mergeCell ref="A1033:A1039"/>
    <mergeCell ref="A1017:H1017"/>
    <mergeCell ref="A1040:A1046"/>
    <mergeCell ref="C538:C539"/>
    <mergeCell ref="A533:A539"/>
    <mergeCell ref="F552:F553"/>
    <mergeCell ref="B513:B514"/>
    <mergeCell ref="D554:D556"/>
    <mergeCell ref="D552:D553"/>
    <mergeCell ref="E547:E549"/>
    <mergeCell ref="F547:F549"/>
    <mergeCell ref="C552:C553"/>
    <mergeCell ref="F533:F535"/>
    <mergeCell ref="F513:F514"/>
    <mergeCell ref="D540:D542"/>
    <mergeCell ref="F538:F539"/>
    <mergeCell ref="B547:B549"/>
    <mergeCell ref="C545:C546"/>
    <mergeCell ref="C527:C528"/>
    <mergeCell ref="D527:D528"/>
    <mergeCell ref="D522:D524"/>
    <mergeCell ref="F540:F542"/>
    <mergeCell ref="D545:D546"/>
    <mergeCell ref="E522:E524"/>
    <mergeCell ref="B515:B517"/>
    <mergeCell ref="C515:C517"/>
    <mergeCell ref="D515:D517"/>
    <mergeCell ref="D520:D521"/>
    <mergeCell ref="B520:B521"/>
    <mergeCell ref="A776:A782"/>
    <mergeCell ref="C776:C778"/>
    <mergeCell ref="A797:A803"/>
    <mergeCell ref="C723:C725"/>
    <mergeCell ref="B751:B753"/>
    <mergeCell ref="B742:B743"/>
    <mergeCell ref="A1054:A1060"/>
    <mergeCell ref="C744:C746"/>
    <mergeCell ref="C809:C810"/>
    <mergeCell ref="B783:B785"/>
    <mergeCell ref="B795:B796"/>
    <mergeCell ref="C795:C796"/>
    <mergeCell ref="B811:B813"/>
    <mergeCell ref="C816:C817"/>
    <mergeCell ref="A811:A817"/>
    <mergeCell ref="A774:G774"/>
    <mergeCell ref="A900:A906"/>
    <mergeCell ref="A907:A913"/>
    <mergeCell ref="A876:G876"/>
    <mergeCell ref="A861:G861"/>
    <mergeCell ref="B825:B827"/>
    <mergeCell ref="C825:C827"/>
    <mergeCell ref="C728:C729"/>
    <mergeCell ref="B723:B725"/>
    <mergeCell ref="F601:F602"/>
    <mergeCell ref="E601:E602"/>
    <mergeCell ref="B662:B663"/>
    <mergeCell ref="C662:C663"/>
    <mergeCell ref="C700:C701"/>
    <mergeCell ref="A678:A684"/>
    <mergeCell ref="C685:C687"/>
    <mergeCell ref="B690:B691"/>
    <mergeCell ref="B695:B697"/>
    <mergeCell ref="A685:A691"/>
    <mergeCell ref="B676:B677"/>
    <mergeCell ref="A610:A616"/>
    <mergeCell ref="A695:A701"/>
    <mergeCell ref="C695:C697"/>
    <mergeCell ref="A603:A609"/>
    <mergeCell ref="B603:B605"/>
    <mergeCell ref="A657:A663"/>
    <mergeCell ref="A664:A670"/>
    <mergeCell ref="B671:B673"/>
    <mergeCell ref="A633:L633"/>
    <mergeCell ref="A650:A656"/>
    <mergeCell ref="B650:B652"/>
    <mergeCell ref="A596:A602"/>
    <mergeCell ref="B596:B598"/>
    <mergeCell ref="A744:A750"/>
    <mergeCell ref="C765:C767"/>
    <mergeCell ref="C749:C750"/>
    <mergeCell ref="C730:C732"/>
    <mergeCell ref="B735:B736"/>
    <mergeCell ref="B730:B732"/>
    <mergeCell ref="C737:C739"/>
    <mergeCell ref="A730:A736"/>
    <mergeCell ref="A723:A729"/>
    <mergeCell ref="A737:A743"/>
    <mergeCell ref="B728:B729"/>
    <mergeCell ref="C804:C806"/>
    <mergeCell ref="C790:C792"/>
    <mergeCell ref="B809:B810"/>
    <mergeCell ref="B804:B806"/>
    <mergeCell ref="A994:A1000"/>
    <mergeCell ref="A959:A965"/>
    <mergeCell ref="A952:A958"/>
    <mergeCell ref="A921:A927"/>
    <mergeCell ref="A928:A934"/>
    <mergeCell ref="A936:H936"/>
    <mergeCell ref="B830:B831"/>
    <mergeCell ref="C830:C831"/>
    <mergeCell ref="A825:A831"/>
    <mergeCell ref="A839:A845"/>
    <mergeCell ref="B839:B841"/>
    <mergeCell ref="C839:C841"/>
    <mergeCell ref="B844:B845"/>
    <mergeCell ref="C837:C838"/>
    <mergeCell ref="A832:A838"/>
    <mergeCell ref="C797:C799"/>
    <mergeCell ref="B802:B803"/>
    <mergeCell ref="B846:B848"/>
    <mergeCell ref="C846:C848"/>
    <mergeCell ref="C802:C803"/>
    <mergeCell ref="A1082:A1088"/>
    <mergeCell ref="A1075:A1081"/>
    <mergeCell ref="C811:C813"/>
    <mergeCell ref="B816:B817"/>
    <mergeCell ref="A1068:A1074"/>
    <mergeCell ref="A938:A944"/>
    <mergeCell ref="A1008:A1014"/>
    <mergeCell ref="A891:H891"/>
    <mergeCell ref="A945:A951"/>
    <mergeCell ref="A818:A824"/>
    <mergeCell ref="B818:B820"/>
    <mergeCell ref="C818:C820"/>
    <mergeCell ref="B823:B824"/>
    <mergeCell ref="C823:C824"/>
    <mergeCell ref="A1061:A1067"/>
    <mergeCell ref="A1047:A1053"/>
    <mergeCell ref="A893:A899"/>
    <mergeCell ref="A853:A859"/>
    <mergeCell ref="B853:B855"/>
    <mergeCell ref="C853:C855"/>
    <mergeCell ref="B858:B859"/>
    <mergeCell ref="C858:C859"/>
    <mergeCell ref="B797:B799"/>
    <mergeCell ref="A914:A920"/>
    <mergeCell ref="B561:B563"/>
    <mergeCell ref="B522:B524"/>
    <mergeCell ref="C522:C524"/>
    <mergeCell ref="C428:C430"/>
    <mergeCell ref="B433:B434"/>
    <mergeCell ref="C433:C434"/>
    <mergeCell ref="B533:B535"/>
    <mergeCell ref="C513:C514"/>
    <mergeCell ref="C492:C493"/>
    <mergeCell ref="C501:C503"/>
    <mergeCell ref="A540:A546"/>
    <mergeCell ref="B540:B542"/>
    <mergeCell ref="C487:C489"/>
    <mergeCell ref="B538:B539"/>
    <mergeCell ref="A515:A521"/>
    <mergeCell ref="B527:B528"/>
    <mergeCell ref="A522:A528"/>
    <mergeCell ref="B478:B479"/>
    <mergeCell ref="C478:C479"/>
    <mergeCell ref="B501:B503"/>
    <mergeCell ref="C485:C486"/>
    <mergeCell ref="C540:C542"/>
    <mergeCell ref="E533:E535"/>
    <mergeCell ref="E540:E542"/>
    <mergeCell ref="D433:D434"/>
    <mergeCell ref="E433:E434"/>
    <mergeCell ref="E559:E560"/>
    <mergeCell ref="E515:E517"/>
    <mergeCell ref="D501:D503"/>
    <mergeCell ref="E545:E546"/>
    <mergeCell ref="D547:D549"/>
    <mergeCell ref="D487:D489"/>
    <mergeCell ref="E487:E489"/>
    <mergeCell ref="E478:E479"/>
    <mergeCell ref="E492:E493"/>
    <mergeCell ref="D478:D479"/>
    <mergeCell ref="E501:E503"/>
    <mergeCell ref="D485:D486"/>
    <mergeCell ref="D492:D493"/>
    <mergeCell ref="E506:E507"/>
    <mergeCell ref="D538:D539"/>
    <mergeCell ref="E538:E539"/>
    <mergeCell ref="E552:E553"/>
    <mergeCell ref="E435:E437"/>
    <mergeCell ref="E554:E556"/>
    <mergeCell ref="D452:D454"/>
  </mergeCells>
  <phoneticPr fontId="72" type="noConversion"/>
  <pageMargins left="0.7" right="0.7" top="0.75" bottom="0.75" header="0.3" footer="0.3"/>
  <pageSetup orientation="portrait" horizontalDpi="4294967292"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TERRITORIALIZACIÓN</vt:lpstr>
      <vt:lpstr>SPI</vt:lpstr>
      <vt:lpstr>ACTIVIDADES!Área_de_impresión</vt:lpstr>
      <vt:lpstr>GESTIÓN!Área_de_impresión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2023-01-31T22:47:06Z</dcterms:modified>
</cp:coreProperties>
</file>