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24226"/>
  <mc:AlternateContent xmlns:mc="http://schemas.openxmlformats.org/markup-compatibility/2006">
    <mc:Choice Requires="x15">
      <x15ac:absPath xmlns:x15ac="http://schemas.microsoft.com/office/spreadsheetml/2010/11/ac" url="C:\Users\YULIED.PENARANDA.SDA\Desktop\2022\10-OCTUBRE\PLAN DE ACCION\PLAN DE ACCIÓN SEPT. 2022\"/>
    </mc:Choice>
  </mc:AlternateContent>
  <xr:revisionPtr revIDLastSave="0" documentId="13_ncr:1_{142B6056-7F9A-494D-9202-407B805C9AFB}" xr6:coauthVersionLast="47" xr6:coauthVersionMax="47" xr10:uidLastSave="{00000000-0000-0000-0000-000000000000}"/>
  <bookViews>
    <workbookView xWindow="-120" yWindow="-120" windowWidth="20730" windowHeight="11160" xr2:uid="{00000000-000D-0000-FFFF-FFFF00000000}"/>
  </bookViews>
  <sheets>
    <sheet name="GESTIÓN" sheetId="5" r:id="rId1"/>
    <sheet name="INVERSIÓN" sheetId="6" r:id="rId2"/>
    <sheet name="ACTIVIDADES" sheetId="7" r:id="rId3"/>
    <sheet name="TERRITORIALIZACIÓN" sheetId="18" r:id="rId4"/>
    <sheet name="SPI" sheetId="15" r:id="rId5"/>
  </sheets>
  <externalReferences>
    <externalReference r:id="rId6"/>
    <externalReference r:id="rId7"/>
    <externalReference r:id="rId8"/>
  </externalReferences>
  <definedNames>
    <definedName name="_xlnm._FilterDatabase" localSheetId="2" hidden="1">ACTIVIDADES!$A$8:$X$8</definedName>
    <definedName name="_xlnm._FilterDatabase" localSheetId="0" hidden="1">GESTIÓN!$A$11:$FC$11</definedName>
    <definedName name="_xlnm._FilterDatabase" localSheetId="1" hidden="1">INVERSIÓN!$A$9:$FB$61</definedName>
    <definedName name="_xlnm.Print_Area" localSheetId="2">ACTIVIDADES!$A$1:$V$66</definedName>
    <definedName name="_xlnm.Print_Area" localSheetId="0">GESTIÓN!$A$1:$FC$16</definedName>
    <definedName name="_xlnm.Print_Area" localSheetId="1">INVERSIÓN!$A$1:$FA$62</definedName>
    <definedName name="ce">INVERSIÓN!$BX$37</definedName>
    <definedName name="CONDICION_POBLACIONAL" localSheetId="4">[1]Variables!$C$1:$C$24</definedName>
    <definedName name="CONDICION_POBLACIONAL">[2]Variables!$C$1:$C$24</definedName>
    <definedName name="GRUPO_ETAREO" localSheetId="4">[1]Variables!$A$1:$A$8</definedName>
    <definedName name="GRUPO_ETAREO">[2]Variables!$A$1:$A$8</definedName>
    <definedName name="GRUPO_ETAREOS" localSheetId="4">#REF!</definedName>
    <definedName name="GRUPO_ETAREOS">#REF!</definedName>
    <definedName name="GRUPO_ETARIO" localSheetId="4">#REF!</definedName>
    <definedName name="GRUPO_ETARIO">#REF!</definedName>
    <definedName name="GRUPO_ETNICO" localSheetId="4">#REF!</definedName>
    <definedName name="GRUPO_ETNICO">#REF!</definedName>
    <definedName name="GRUPOETNICO">#REF!</definedName>
    <definedName name="GRUPOS_ETNICOS" localSheetId="4">[1]Variables!$H$1:$H$8</definedName>
    <definedName name="GRUPOS_ETNICOS">[2]Variables!$H$1:$H$8</definedName>
    <definedName name="LOCALIDAD" localSheetId="4">#REF!</definedName>
    <definedName name="LOCALIDAD">#REF!</definedName>
    <definedName name="LOCALIZACION" localSheetId="4">#REF!</definedName>
    <definedName name="LOCALIZACION">#REF!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52" i="18" l="1"/>
  <c r="K52" i="18"/>
  <c r="M51" i="18"/>
  <c r="E51" i="18"/>
  <c r="X50" i="18"/>
  <c r="O50" i="18"/>
  <c r="G50" i="18"/>
  <c r="T49" i="18"/>
  <c r="U49" i="18" s="1"/>
  <c r="V49" i="18" s="1"/>
  <c r="W49" i="18" s="1"/>
  <c r="X49" i="18" s="1"/>
  <c r="Y49" i="18" s="1"/>
  <c r="Z49" i="18" s="1"/>
  <c r="AA49" i="18" s="1"/>
  <c r="AB49" i="18" s="1"/>
  <c r="O49" i="18"/>
  <c r="N49" i="18"/>
  <c r="M49" i="18"/>
  <c r="L49" i="18"/>
  <c r="K49" i="18"/>
  <c r="J49" i="18"/>
  <c r="I49" i="18"/>
  <c r="H49" i="18"/>
  <c r="G49" i="18"/>
  <c r="F49" i="18"/>
  <c r="E49" i="18"/>
  <c r="AB48" i="18"/>
  <c r="AA48" i="18"/>
  <c r="AA50" i="18" s="1"/>
  <c r="Z48" i="18"/>
  <c r="Y48" i="18"/>
  <c r="X48" i="18"/>
  <c r="W48" i="18"/>
  <c r="V48" i="18"/>
  <c r="U48" i="18"/>
  <c r="T48" i="18"/>
  <c r="O48" i="18"/>
  <c r="N48" i="18"/>
  <c r="M48" i="18"/>
  <c r="L48" i="18"/>
  <c r="K48" i="18"/>
  <c r="J48" i="18"/>
  <c r="J50" i="18" s="1"/>
  <c r="I48" i="18"/>
  <c r="H48" i="18"/>
  <c r="G48" i="18"/>
  <c r="F48" i="18"/>
  <c r="E48" i="18"/>
  <c r="U47" i="18"/>
  <c r="U51" i="18" s="1"/>
  <c r="T47" i="18"/>
  <c r="T51" i="18" s="1"/>
  <c r="O47" i="18"/>
  <c r="O51" i="18" s="1"/>
  <c r="N47" i="18"/>
  <c r="N51" i="18" s="1"/>
  <c r="M47" i="18"/>
  <c r="L47" i="18"/>
  <c r="L51" i="18" s="1"/>
  <c r="K47" i="18"/>
  <c r="K51" i="18" s="1"/>
  <c r="J47" i="18"/>
  <c r="J51" i="18" s="1"/>
  <c r="I47" i="18"/>
  <c r="I51" i="18" s="1"/>
  <c r="H47" i="18"/>
  <c r="H51" i="18" s="1"/>
  <c r="G47" i="18"/>
  <c r="G51" i="18" s="1"/>
  <c r="F47" i="18"/>
  <c r="F51" i="18" s="1"/>
  <c r="E47" i="18"/>
  <c r="AX46" i="18"/>
  <c r="AB46" i="18"/>
  <c r="AB50" i="18" s="1"/>
  <c r="AA46" i="18"/>
  <c r="Z46" i="18"/>
  <c r="Z50" i="18" s="1"/>
  <c r="Y46" i="18"/>
  <c r="Y50" i="18" s="1"/>
  <c r="X46" i="18"/>
  <c r="W46" i="18"/>
  <c r="W50" i="18" s="1"/>
  <c r="V46" i="18"/>
  <c r="V50" i="18" s="1"/>
  <c r="U46" i="18"/>
  <c r="U50" i="18" s="1"/>
  <c r="T46" i="18"/>
  <c r="T50" i="18" s="1"/>
  <c r="O46" i="18"/>
  <c r="N46" i="18"/>
  <c r="N50" i="18" s="1"/>
  <c r="M46" i="18"/>
  <c r="M50" i="18" s="1"/>
  <c r="L46" i="18"/>
  <c r="L50" i="18" s="1"/>
  <c r="K46" i="18"/>
  <c r="K50" i="18" s="1"/>
  <c r="J46" i="18"/>
  <c r="I46" i="18"/>
  <c r="I50" i="18" s="1"/>
  <c r="H46" i="18"/>
  <c r="H50" i="18" s="1"/>
  <c r="G46" i="18"/>
  <c r="F46" i="18"/>
  <c r="F50" i="18" s="1"/>
  <c r="E46" i="18"/>
  <c r="E50" i="18" s="1"/>
  <c r="N45" i="18"/>
  <c r="F45" i="18"/>
  <c r="H44" i="18"/>
  <c r="T43" i="18"/>
  <c r="U43" i="18" s="1"/>
  <c r="V43" i="18" s="1"/>
  <c r="W43" i="18" s="1"/>
  <c r="X43" i="18" s="1"/>
  <c r="Y43" i="18" s="1"/>
  <c r="Z43" i="18" s="1"/>
  <c r="AA43" i="18" s="1"/>
  <c r="AB43" i="18" s="1"/>
  <c r="O43" i="18"/>
  <c r="N43" i="18"/>
  <c r="M43" i="18"/>
  <c r="L43" i="18"/>
  <c r="K43" i="18"/>
  <c r="J43" i="18"/>
  <c r="I43" i="18"/>
  <c r="H43" i="18"/>
  <c r="G43" i="18"/>
  <c r="F43" i="18"/>
  <c r="E43" i="18"/>
  <c r="T42" i="18"/>
  <c r="U42" i="18" s="1"/>
  <c r="V42" i="18" s="1"/>
  <c r="W42" i="18" s="1"/>
  <c r="X42" i="18" s="1"/>
  <c r="Y42" i="18" s="1"/>
  <c r="Z42" i="18" s="1"/>
  <c r="AA42" i="18" s="1"/>
  <c r="AB42" i="18" s="1"/>
  <c r="O42" i="18"/>
  <c r="N42" i="18"/>
  <c r="M42" i="18"/>
  <c r="L42" i="18"/>
  <c r="K42" i="18"/>
  <c r="J42" i="18"/>
  <c r="I42" i="18"/>
  <c r="H42" i="18"/>
  <c r="G42" i="18"/>
  <c r="F42" i="18"/>
  <c r="E42" i="18"/>
  <c r="T41" i="18"/>
  <c r="U41" i="18" s="1"/>
  <c r="O41" i="18"/>
  <c r="O45" i="18" s="1"/>
  <c r="N41" i="18"/>
  <c r="M41" i="18"/>
  <c r="M45" i="18" s="1"/>
  <c r="L41" i="18"/>
  <c r="L45" i="18" s="1"/>
  <c r="K41" i="18"/>
  <c r="K45" i="18" s="1"/>
  <c r="J41" i="18"/>
  <c r="J45" i="18" s="1"/>
  <c r="I41" i="18"/>
  <c r="I45" i="18" s="1"/>
  <c r="H41" i="18"/>
  <c r="H45" i="18" s="1"/>
  <c r="G41" i="18"/>
  <c r="G45" i="18" s="1"/>
  <c r="F41" i="18"/>
  <c r="E41" i="18"/>
  <c r="E45" i="18" s="1"/>
  <c r="AX40" i="18"/>
  <c r="T40" i="18"/>
  <c r="U40" i="18" s="1"/>
  <c r="O40" i="18"/>
  <c r="O44" i="18" s="1"/>
  <c r="N40" i="18"/>
  <c r="N44" i="18" s="1"/>
  <c r="M40" i="18"/>
  <c r="M44" i="18" s="1"/>
  <c r="L40" i="18"/>
  <c r="L44" i="18" s="1"/>
  <c r="K40" i="18"/>
  <c r="K44" i="18" s="1"/>
  <c r="J40" i="18"/>
  <c r="J44" i="18" s="1"/>
  <c r="I40" i="18"/>
  <c r="I44" i="18" s="1"/>
  <c r="H40" i="18"/>
  <c r="G40" i="18"/>
  <c r="G44" i="18" s="1"/>
  <c r="F40" i="18"/>
  <c r="F44" i="18" s="1"/>
  <c r="E40" i="18"/>
  <c r="E44" i="18" s="1"/>
  <c r="O39" i="18"/>
  <c r="G39" i="18"/>
  <c r="Z38" i="18"/>
  <c r="I38" i="18"/>
  <c r="U37" i="18"/>
  <c r="V37" i="18" s="1"/>
  <c r="W37" i="18" s="1"/>
  <c r="X37" i="18" s="1"/>
  <c r="Y37" i="18" s="1"/>
  <c r="Z37" i="18" s="1"/>
  <c r="AA37" i="18" s="1"/>
  <c r="AB37" i="18" s="1"/>
  <c r="T37" i="18"/>
  <c r="O37" i="18"/>
  <c r="N37" i="18"/>
  <c r="M37" i="18"/>
  <c r="L37" i="18"/>
  <c r="K37" i="18"/>
  <c r="J37" i="18"/>
  <c r="I37" i="18"/>
  <c r="H37" i="18"/>
  <c r="G37" i="18"/>
  <c r="F37" i="18"/>
  <c r="E37" i="18"/>
  <c r="AB36" i="18"/>
  <c r="AA36" i="18"/>
  <c r="Z36" i="18"/>
  <c r="Y36" i="18"/>
  <c r="X36" i="18"/>
  <c r="W36" i="18"/>
  <c r="V36" i="18"/>
  <c r="U36" i="18"/>
  <c r="T36" i="18"/>
  <c r="O36" i="18"/>
  <c r="N36" i="18"/>
  <c r="M36" i="18"/>
  <c r="L36" i="18"/>
  <c r="K36" i="18"/>
  <c r="J36" i="18"/>
  <c r="I36" i="18"/>
  <c r="H36" i="18"/>
  <c r="G36" i="18"/>
  <c r="F36" i="18"/>
  <c r="E36" i="18"/>
  <c r="U35" i="18"/>
  <c r="V35" i="18" s="1"/>
  <c r="T35" i="18"/>
  <c r="T39" i="18" s="1"/>
  <c r="O35" i="18"/>
  <c r="N35" i="18"/>
  <c r="N39" i="18" s="1"/>
  <c r="M35" i="18"/>
  <c r="M39" i="18" s="1"/>
  <c r="L35" i="18"/>
  <c r="L39" i="18" s="1"/>
  <c r="K35" i="18"/>
  <c r="K39" i="18" s="1"/>
  <c r="J35" i="18"/>
  <c r="J39" i="18" s="1"/>
  <c r="I35" i="18"/>
  <c r="I39" i="18" s="1"/>
  <c r="H35" i="18"/>
  <c r="H39" i="18" s="1"/>
  <c r="G35" i="18"/>
  <c r="F35" i="18"/>
  <c r="F39" i="18" s="1"/>
  <c r="E35" i="18"/>
  <c r="E39" i="18" s="1"/>
  <c r="AX34" i="18"/>
  <c r="AB34" i="18"/>
  <c r="AB38" i="18" s="1"/>
  <c r="AA34" i="18"/>
  <c r="AA38" i="18" s="1"/>
  <c r="Z34" i="18"/>
  <c r="Y34" i="18"/>
  <c r="Y38" i="18" s="1"/>
  <c r="X34" i="18"/>
  <c r="X38" i="18" s="1"/>
  <c r="W34" i="18"/>
  <c r="W38" i="18" s="1"/>
  <c r="V34" i="18"/>
  <c r="V38" i="18" s="1"/>
  <c r="U34" i="18"/>
  <c r="U38" i="18" s="1"/>
  <c r="T34" i="18"/>
  <c r="T38" i="18" s="1"/>
  <c r="O34" i="18"/>
  <c r="O38" i="18" s="1"/>
  <c r="N34" i="18"/>
  <c r="N38" i="18" s="1"/>
  <c r="M34" i="18"/>
  <c r="M38" i="18" s="1"/>
  <c r="L34" i="18"/>
  <c r="L38" i="18" s="1"/>
  <c r="K34" i="18"/>
  <c r="K38" i="18" s="1"/>
  <c r="J34" i="18"/>
  <c r="J38" i="18" s="1"/>
  <c r="I34" i="18"/>
  <c r="H34" i="18"/>
  <c r="H38" i="18" s="1"/>
  <c r="G34" i="18"/>
  <c r="G38" i="18" s="1"/>
  <c r="F34" i="18"/>
  <c r="F38" i="18" s="1"/>
  <c r="E34" i="18"/>
  <c r="E38" i="18" s="1"/>
  <c r="H33" i="18"/>
  <c r="J32" i="18"/>
  <c r="T31" i="18"/>
  <c r="U31" i="18" s="1"/>
  <c r="V31" i="18" s="1"/>
  <c r="W31" i="18" s="1"/>
  <c r="X31" i="18" s="1"/>
  <c r="Y31" i="18" s="1"/>
  <c r="Z31" i="18" s="1"/>
  <c r="AA31" i="18" s="1"/>
  <c r="AB31" i="18" s="1"/>
  <c r="O31" i="18"/>
  <c r="N31" i="18"/>
  <c r="M31" i="18"/>
  <c r="L31" i="18"/>
  <c r="K31" i="18"/>
  <c r="J31" i="18"/>
  <c r="I31" i="18"/>
  <c r="I53" i="18" s="1"/>
  <c r="H31" i="18"/>
  <c r="G31" i="18"/>
  <c r="F31" i="18"/>
  <c r="E31" i="18"/>
  <c r="U30" i="18"/>
  <c r="V30" i="18" s="1"/>
  <c r="W30" i="18" s="1"/>
  <c r="X30" i="18" s="1"/>
  <c r="Y30" i="18" s="1"/>
  <c r="Z30" i="18" s="1"/>
  <c r="AA30" i="18" s="1"/>
  <c r="AB30" i="18" s="1"/>
  <c r="T30" i="18"/>
  <c r="O30" i="18"/>
  <c r="N30" i="18"/>
  <c r="M30" i="18"/>
  <c r="L30" i="18"/>
  <c r="K30" i="18"/>
  <c r="J30" i="18"/>
  <c r="I30" i="18"/>
  <c r="H30" i="18"/>
  <c r="G30" i="18"/>
  <c r="F30" i="18"/>
  <c r="E30" i="18"/>
  <c r="T29" i="18"/>
  <c r="U29" i="18" s="1"/>
  <c r="O29" i="18"/>
  <c r="O33" i="18" s="1"/>
  <c r="N29" i="18"/>
  <c r="N33" i="18" s="1"/>
  <c r="M29" i="18"/>
  <c r="M33" i="18" s="1"/>
  <c r="L29" i="18"/>
  <c r="L33" i="18" s="1"/>
  <c r="K29" i="18"/>
  <c r="K33" i="18" s="1"/>
  <c r="J29" i="18"/>
  <c r="J33" i="18" s="1"/>
  <c r="I29" i="18"/>
  <c r="I33" i="18" s="1"/>
  <c r="H29" i="18"/>
  <c r="G29" i="18"/>
  <c r="G33" i="18" s="1"/>
  <c r="F29" i="18"/>
  <c r="F33" i="18" s="1"/>
  <c r="E29" i="18"/>
  <c r="E33" i="18" s="1"/>
  <c r="AX28" i="18"/>
  <c r="T28" i="18"/>
  <c r="U28" i="18" s="1"/>
  <c r="O28" i="18"/>
  <c r="O32" i="18" s="1"/>
  <c r="N28" i="18"/>
  <c r="N32" i="18" s="1"/>
  <c r="M28" i="18"/>
  <c r="M32" i="18" s="1"/>
  <c r="L28" i="18"/>
  <c r="L32" i="18" s="1"/>
  <c r="K28" i="18"/>
  <c r="K32" i="18" s="1"/>
  <c r="J28" i="18"/>
  <c r="I28" i="18"/>
  <c r="I32" i="18" s="1"/>
  <c r="H28" i="18"/>
  <c r="H32" i="18" s="1"/>
  <c r="G28" i="18"/>
  <c r="G32" i="18" s="1"/>
  <c r="F28" i="18"/>
  <c r="F32" i="18" s="1"/>
  <c r="E28" i="18"/>
  <c r="E32" i="18" s="1"/>
  <c r="I27" i="18"/>
  <c r="T26" i="18"/>
  <c r="K26" i="18"/>
  <c r="U25" i="18"/>
  <c r="V25" i="18" s="1"/>
  <c r="W25" i="18" s="1"/>
  <c r="X25" i="18" s="1"/>
  <c r="Y25" i="18" s="1"/>
  <c r="Z25" i="18" s="1"/>
  <c r="AA25" i="18" s="1"/>
  <c r="AB25" i="18" s="1"/>
  <c r="T25" i="18"/>
  <c r="O25" i="18"/>
  <c r="N25" i="18"/>
  <c r="M25" i="18"/>
  <c r="L25" i="18"/>
  <c r="K25" i="18"/>
  <c r="J25" i="18"/>
  <c r="I25" i="18"/>
  <c r="H25" i="18"/>
  <c r="G25" i="18"/>
  <c r="F25" i="18"/>
  <c r="E25" i="18"/>
  <c r="T24" i="18"/>
  <c r="U24" i="18" s="1"/>
  <c r="V24" i="18" s="1"/>
  <c r="W24" i="18" s="1"/>
  <c r="X24" i="18" s="1"/>
  <c r="Y24" i="18" s="1"/>
  <c r="Z24" i="18" s="1"/>
  <c r="AA24" i="18" s="1"/>
  <c r="AB24" i="18" s="1"/>
  <c r="O24" i="18"/>
  <c r="N24" i="18"/>
  <c r="M24" i="18"/>
  <c r="L24" i="18"/>
  <c r="K24" i="18"/>
  <c r="J24" i="18"/>
  <c r="I24" i="18"/>
  <c r="H24" i="18"/>
  <c r="G24" i="18"/>
  <c r="F24" i="18"/>
  <c r="E24" i="18"/>
  <c r="T23" i="18"/>
  <c r="U23" i="18" s="1"/>
  <c r="O23" i="18"/>
  <c r="O27" i="18" s="1"/>
  <c r="N23" i="18"/>
  <c r="N27" i="18" s="1"/>
  <c r="M23" i="18"/>
  <c r="M27" i="18" s="1"/>
  <c r="L23" i="18"/>
  <c r="L27" i="18" s="1"/>
  <c r="K23" i="18"/>
  <c r="K27" i="18" s="1"/>
  <c r="J23" i="18"/>
  <c r="J27" i="18" s="1"/>
  <c r="I23" i="18"/>
  <c r="H23" i="18"/>
  <c r="H27" i="18" s="1"/>
  <c r="G23" i="18"/>
  <c r="G27" i="18" s="1"/>
  <c r="F23" i="18"/>
  <c r="F27" i="18" s="1"/>
  <c r="E23" i="18"/>
  <c r="E27" i="18" s="1"/>
  <c r="AX22" i="18"/>
  <c r="T22" i="18"/>
  <c r="U22" i="18" s="1"/>
  <c r="O22" i="18"/>
  <c r="O26" i="18" s="1"/>
  <c r="N22" i="18"/>
  <c r="N26" i="18" s="1"/>
  <c r="M22" i="18"/>
  <c r="M26" i="18" s="1"/>
  <c r="L22" i="18"/>
  <c r="L26" i="18" s="1"/>
  <c r="K22" i="18"/>
  <c r="J22" i="18"/>
  <c r="J26" i="18" s="1"/>
  <c r="I22" i="18"/>
  <c r="I26" i="18" s="1"/>
  <c r="H22" i="18"/>
  <c r="H26" i="18" s="1"/>
  <c r="G22" i="18"/>
  <c r="G26" i="18" s="1"/>
  <c r="F22" i="18"/>
  <c r="F26" i="18" s="1"/>
  <c r="E22" i="18"/>
  <c r="E26" i="18" s="1"/>
  <c r="J21" i="18"/>
  <c r="L20" i="18"/>
  <c r="T19" i="18"/>
  <c r="U19" i="18" s="1"/>
  <c r="V19" i="18" s="1"/>
  <c r="W19" i="18" s="1"/>
  <c r="X19" i="18" s="1"/>
  <c r="Y19" i="18" s="1"/>
  <c r="Z19" i="18" s="1"/>
  <c r="AA19" i="18" s="1"/>
  <c r="AB19" i="18" s="1"/>
  <c r="O19" i="18"/>
  <c r="N19" i="18"/>
  <c r="M19" i="18"/>
  <c r="L19" i="18"/>
  <c r="K19" i="18"/>
  <c r="J19" i="18"/>
  <c r="I19" i="18"/>
  <c r="H19" i="18"/>
  <c r="G19" i="18"/>
  <c r="F19" i="18"/>
  <c r="E19" i="18"/>
  <c r="U18" i="18"/>
  <c r="V18" i="18" s="1"/>
  <c r="W18" i="18" s="1"/>
  <c r="X18" i="18" s="1"/>
  <c r="Y18" i="18" s="1"/>
  <c r="Z18" i="18" s="1"/>
  <c r="AA18" i="18" s="1"/>
  <c r="AB18" i="18" s="1"/>
  <c r="T18" i="18"/>
  <c r="O18" i="18"/>
  <c r="N18" i="18"/>
  <c r="M18" i="18"/>
  <c r="L18" i="18"/>
  <c r="K18" i="18"/>
  <c r="J18" i="18"/>
  <c r="I18" i="18"/>
  <c r="H18" i="18"/>
  <c r="G18" i="18"/>
  <c r="F18" i="18"/>
  <c r="E18" i="18"/>
  <c r="T17" i="18"/>
  <c r="U17" i="18" s="1"/>
  <c r="O17" i="18"/>
  <c r="O21" i="18" s="1"/>
  <c r="N17" i="18"/>
  <c r="N21" i="18" s="1"/>
  <c r="M17" i="18"/>
  <c r="M21" i="18" s="1"/>
  <c r="L17" i="18"/>
  <c r="L21" i="18" s="1"/>
  <c r="K17" i="18"/>
  <c r="K21" i="18" s="1"/>
  <c r="J17" i="18"/>
  <c r="I17" i="18"/>
  <c r="I21" i="18" s="1"/>
  <c r="H17" i="18"/>
  <c r="H21" i="18" s="1"/>
  <c r="G17" i="18"/>
  <c r="G21" i="18" s="1"/>
  <c r="F17" i="18"/>
  <c r="F21" i="18" s="1"/>
  <c r="E17" i="18"/>
  <c r="E21" i="18" s="1"/>
  <c r="AX16" i="18"/>
  <c r="T16" i="18"/>
  <c r="T20" i="18" s="1"/>
  <c r="O16" i="18"/>
  <c r="O20" i="18" s="1"/>
  <c r="N16" i="18"/>
  <c r="N20" i="18" s="1"/>
  <c r="M16" i="18"/>
  <c r="M20" i="18" s="1"/>
  <c r="L16" i="18"/>
  <c r="K16" i="18"/>
  <c r="K20" i="18" s="1"/>
  <c r="J16" i="18"/>
  <c r="J20" i="18" s="1"/>
  <c r="I16" i="18"/>
  <c r="I20" i="18" s="1"/>
  <c r="H16" i="18"/>
  <c r="H20" i="18" s="1"/>
  <c r="G16" i="18"/>
  <c r="G20" i="18" s="1"/>
  <c r="F16" i="18"/>
  <c r="F20" i="18" s="1"/>
  <c r="E16" i="18"/>
  <c r="E20" i="18" s="1"/>
  <c r="U14" i="18"/>
  <c r="L14" i="18"/>
  <c r="T13" i="18"/>
  <c r="T15" i="18" s="1"/>
  <c r="O13" i="18"/>
  <c r="O53" i="18" s="1"/>
  <c r="N13" i="18"/>
  <c r="N53" i="18" s="1"/>
  <c r="M13" i="18"/>
  <c r="M53" i="18" s="1"/>
  <c r="L13" i="18"/>
  <c r="L53" i="18" s="1"/>
  <c r="K13" i="18"/>
  <c r="K15" i="18" s="1"/>
  <c r="J13" i="18"/>
  <c r="J53" i="18" s="1"/>
  <c r="I13" i="18"/>
  <c r="H13" i="18"/>
  <c r="H53" i="18" s="1"/>
  <c r="G13" i="18"/>
  <c r="G53" i="18" s="1"/>
  <c r="F13" i="18"/>
  <c r="F53" i="18" s="1"/>
  <c r="E13" i="18"/>
  <c r="E53" i="18" s="1"/>
  <c r="AB12" i="18"/>
  <c r="AA12" i="18"/>
  <c r="Z12" i="18"/>
  <c r="Y12" i="18"/>
  <c r="X12" i="18"/>
  <c r="W12" i="18"/>
  <c r="V12" i="18"/>
  <c r="U12" i="18"/>
  <c r="T12" i="18"/>
  <c r="O12" i="18"/>
  <c r="N12" i="18"/>
  <c r="M12" i="18"/>
  <c r="L12" i="18"/>
  <c r="K12" i="18"/>
  <c r="J12" i="18"/>
  <c r="I12" i="18"/>
  <c r="H12" i="18"/>
  <c r="G12" i="18"/>
  <c r="F12" i="18"/>
  <c r="E12" i="18"/>
  <c r="T11" i="18"/>
  <c r="U11" i="18" s="1"/>
  <c r="O11" i="18"/>
  <c r="O52" i="18" s="1"/>
  <c r="O54" i="18" s="1"/>
  <c r="N11" i="18"/>
  <c r="N52" i="18" s="1"/>
  <c r="N54" i="18" s="1"/>
  <c r="M11" i="18"/>
  <c r="M52" i="18" s="1"/>
  <c r="L11" i="18"/>
  <c r="L52" i="18" s="1"/>
  <c r="L54" i="18" s="1"/>
  <c r="K11" i="18"/>
  <c r="J11" i="18"/>
  <c r="J52" i="18" s="1"/>
  <c r="I11" i="18"/>
  <c r="I52" i="18" s="1"/>
  <c r="H11" i="18"/>
  <c r="H52" i="18" s="1"/>
  <c r="G11" i="18"/>
  <c r="G52" i="18" s="1"/>
  <c r="G54" i="18" s="1"/>
  <c r="F11" i="18"/>
  <c r="F52" i="18" s="1"/>
  <c r="F54" i="18" s="1"/>
  <c r="E11" i="18"/>
  <c r="E52" i="18" s="1"/>
  <c r="AX10" i="18"/>
  <c r="AB10" i="18"/>
  <c r="AB14" i="18" s="1"/>
  <c r="AA10" i="18"/>
  <c r="AA14" i="18" s="1"/>
  <c r="Z10" i="18"/>
  <c r="Z14" i="18" s="1"/>
  <c r="Y10" i="18"/>
  <c r="Y14" i="18" s="1"/>
  <c r="X10" i="18"/>
  <c r="X14" i="18" s="1"/>
  <c r="W10" i="18"/>
  <c r="W14" i="18" s="1"/>
  <c r="V10" i="18"/>
  <c r="V14" i="18" s="1"/>
  <c r="U10" i="18"/>
  <c r="T10" i="18"/>
  <c r="T14" i="18" s="1"/>
  <c r="O10" i="18"/>
  <c r="O14" i="18" s="1"/>
  <c r="N10" i="18"/>
  <c r="N14" i="18" s="1"/>
  <c r="M10" i="18"/>
  <c r="M14" i="18" s="1"/>
  <c r="L10" i="18"/>
  <c r="K10" i="18"/>
  <c r="K14" i="18" s="1"/>
  <c r="J10" i="18"/>
  <c r="J14" i="18" s="1"/>
  <c r="I10" i="18"/>
  <c r="I14" i="18" s="1"/>
  <c r="H10" i="18"/>
  <c r="H14" i="18" s="1"/>
  <c r="G10" i="18"/>
  <c r="G14" i="18" s="1"/>
  <c r="F10" i="18"/>
  <c r="F14" i="18" s="1"/>
  <c r="E10" i="18"/>
  <c r="E14" i="18" s="1"/>
  <c r="ET13" i="5"/>
  <c r="ES52" i="6"/>
  <c r="DN60" i="6"/>
  <c r="DM60" i="6"/>
  <c r="DH60" i="6"/>
  <c r="DG60" i="6"/>
  <c r="DF60" i="6"/>
  <c r="DE60" i="6"/>
  <c r="DD60" i="6"/>
  <c r="DC60" i="6"/>
  <c r="DB60" i="6"/>
  <c r="DA60" i="6"/>
  <c r="CZ60" i="6"/>
  <c r="CY60" i="6"/>
  <c r="CX60" i="6"/>
  <c r="CW60" i="6"/>
  <c r="CV60" i="6"/>
  <c r="CU60" i="6"/>
  <c r="CT60" i="6"/>
  <c r="CS60" i="6"/>
  <c r="CR60" i="6"/>
  <c r="CQ60" i="6"/>
  <c r="CP60" i="6"/>
  <c r="CO60" i="6"/>
  <c r="CN60" i="6"/>
  <c r="CM60" i="6"/>
  <c r="CL60" i="6"/>
  <c r="CK60" i="6"/>
  <c r="CJ60" i="6"/>
  <c r="DN59" i="6"/>
  <c r="DN61" i="6" s="1"/>
  <c r="DH59" i="6"/>
  <c r="DH61" i="6" s="1"/>
  <c r="DG59" i="6"/>
  <c r="DF59" i="6"/>
  <c r="DF61" i="6" s="1"/>
  <c r="DE59" i="6"/>
  <c r="DD59" i="6"/>
  <c r="DD61" i="6" s="1"/>
  <c r="DC59" i="6"/>
  <c r="DC61" i="6" s="1"/>
  <c r="DB59" i="6"/>
  <c r="DB61" i="6" s="1"/>
  <c r="DA59" i="6"/>
  <c r="CZ59" i="6"/>
  <c r="CZ61" i="6" s="1"/>
  <c r="CY59" i="6"/>
  <c r="CX59" i="6"/>
  <c r="CX61" i="6" s="1"/>
  <c r="CW59" i="6"/>
  <c r="CV59" i="6"/>
  <c r="CV61" i="6" s="1"/>
  <c r="CU59" i="6"/>
  <c r="CU61" i="6" s="1"/>
  <c r="CT59" i="6"/>
  <c r="CT61" i="6" s="1"/>
  <c r="CS59" i="6"/>
  <c r="CR59" i="6"/>
  <c r="CR61" i="6" s="1"/>
  <c r="CQ59" i="6"/>
  <c r="CP59" i="6"/>
  <c r="CP61" i="6" s="1"/>
  <c r="CO59" i="6"/>
  <c r="CN59" i="6"/>
  <c r="CN61" i="6" s="1"/>
  <c r="CM59" i="6"/>
  <c r="CM61" i="6" s="1"/>
  <c r="CL59" i="6"/>
  <c r="CL61" i="6" s="1"/>
  <c r="CK59" i="6"/>
  <c r="CJ59" i="6"/>
  <c r="CJ61" i="6" s="1"/>
  <c r="DN58" i="6"/>
  <c r="DM58" i="6"/>
  <c r="DL58" i="6"/>
  <c r="DK58" i="6"/>
  <c r="DJ58" i="6"/>
  <c r="DI58" i="6"/>
  <c r="DH58" i="6"/>
  <c r="DG58" i="6"/>
  <c r="DF58" i="6"/>
  <c r="DE58" i="6"/>
  <c r="DD58" i="6"/>
  <c r="DC58" i="6"/>
  <c r="DB58" i="6"/>
  <c r="DA58" i="6"/>
  <c r="CZ58" i="6"/>
  <c r="CY58" i="6"/>
  <c r="CX58" i="6"/>
  <c r="CW58" i="6"/>
  <c r="CV58" i="6"/>
  <c r="CU58" i="6"/>
  <c r="CT58" i="6"/>
  <c r="CS58" i="6"/>
  <c r="CR58" i="6"/>
  <c r="CQ58" i="6"/>
  <c r="CP58" i="6"/>
  <c r="CO58" i="6"/>
  <c r="CN58" i="6"/>
  <c r="CM58" i="6"/>
  <c r="CL58" i="6"/>
  <c r="CK58" i="6"/>
  <c r="CJ58" i="6"/>
  <c r="DN57" i="6"/>
  <c r="DI57" i="6"/>
  <c r="DH57" i="6"/>
  <c r="DG57" i="6"/>
  <c r="DF57" i="6"/>
  <c r="DE57" i="6"/>
  <c r="DD57" i="6"/>
  <c r="DC57" i="6"/>
  <c r="DB57" i="6"/>
  <c r="DA57" i="6"/>
  <c r="CZ57" i="6"/>
  <c r="CY57" i="6"/>
  <c r="CX57" i="6"/>
  <c r="CW57" i="6"/>
  <c r="CV57" i="6"/>
  <c r="CU57" i="6"/>
  <c r="CT57" i="6"/>
  <c r="CS57" i="6"/>
  <c r="CR57" i="6"/>
  <c r="CQ57" i="6"/>
  <c r="CP57" i="6"/>
  <c r="CO57" i="6"/>
  <c r="CN57" i="6"/>
  <c r="CM57" i="6"/>
  <c r="CL57" i="6"/>
  <c r="CK57" i="6"/>
  <c r="CJ57" i="6"/>
  <c r="DM52" i="6"/>
  <c r="DM57" i="6" s="1"/>
  <c r="DL52" i="6"/>
  <c r="DL57" i="6" s="1"/>
  <c r="DK52" i="6"/>
  <c r="DK57" i="6" s="1"/>
  <c r="DJ52" i="6"/>
  <c r="DJ57" i="6" s="1"/>
  <c r="DI52" i="6"/>
  <c r="DN51" i="6"/>
  <c r="CJ51" i="6"/>
  <c r="CJ50" i="6"/>
  <c r="DN45" i="6"/>
  <c r="DN50" i="6" s="1"/>
  <c r="DN44" i="6"/>
  <c r="DK44" i="6"/>
  <c r="DH44" i="6"/>
  <c r="DG44" i="6"/>
  <c r="DF44" i="6"/>
  <c r="DE44" i="6"/>
  <c r="DD44" i="6"/>
  <c r="DC44" i="6"/>
  <c r="DB44" i="6"/>
  <c r="DA44" i="6"/>
  <c r="CZ44" i="6"/>
  <c r="CY44" i="6"/>
  <c r="CX44" i="6"/>
  <c r="CW44" i="6"/>
  <c r="CV44" i="6"/>
  <c r="CU44" i="6"/>
  <c r="CT44" i="6"/>
  <c r="CS44" i="6"/>
  <c r="CR44" i="6"/>
  <c r="CQ44" i="6"/>
  <c r="CP44" i="6"/>
  <c r="CO44" i="6"/>
  <c r="CN44" i="6"/>
  <c r="CM44" i="6"/>
  <c r="CL44" i="6"/>
  <c r="CK44" i="6"/>
  <c r="CJ44" i="6"/>
  <c r="DN43" i="6"/>
  <c r="DI43" i="6"/>
  <c r="DH43" i="6"/>
  <c r="DG43" i="6"/>
  <c r="DF43" i="6"/>
  <c r="DE43" i="6"/>
  <c r="DD43" i="6"/>
  <c r="DC43" i="6"/>
  <c r="DB43" i="6"/>
  <c r="DA43" i="6"/>
  <c r="CZ43" i="6"/>
  <c r="CY43" i="6"/>
  <c r="CX43" i="6"/>
  <c r="CW43" i="6"/>
  <c r="CV43" i="6"/>
  <c r="CU43" i="6"/>
  <c r="CT43" i="6"/>
  <c r="CS43" i="6"/>
  <c r="CR43" i="6"/>
  <c r="CQ43" i="6"/>
  <c r="CP43" i="6"/>
  <c r="CO43" i="6"/>
  <c r="CN43" i="6"/>
  <c r="CM43" i="6"/>
  <c r="CL43" i="6"/>
  <c r="CK43" i="6"/>
  <c r="CJ43" i="6"/>
  <c r="DM39" i="6"/>
  <c r="DM44" i="6" s="1"/>
  <c r="DL39" i="6"/>
  <c r="DL44" i="6" s="1"/>
  <c r="DK39" i="6"/>
  <c r="DJ39" i="6"/>
  <c r="DJ44" i="6" s="1"/>
  <c r="DI39" i="6"/>
  <c r="DI44" i="6" s="1"/>
  <c r="DM38" i="6"/>
  <c r="DM43" i="6" s="1"/>
  <c r="DL38" i="6"/>
  <c r="DL43" i="6" s="1"/>
  <c r="DK38" i="6"/>
  <c r="DK43" i="6" s="1"/>
  <c r="DJ38" i="6"/>
  <c r="DJ43" i="6" s="1"/>
  <c r="DI38" i="6"/>
  <c r="DN37" i="6"/>
  <c r="CJ37" i="6"/>
  <c r="CJ36" i="6"/>
  <c r="DN30" i="6"/>
  <c r="CJ30" i="6"/>
  <c r="DN29" i="6"/>
  <c r="CJ29" i="6"/>
  <c r="DM23" i="6"/>
  <c r="DL23" i="6"/>
  <c r="DK23" i="6"/>
  <c r="DJ23" i="6"/>
  <c r="DI23" i="6"/>
  <c r="DM22" i="6"/>
  <c r="DL22" i="6"/>
  <c r="DK22" i="6"/>
  <c r="DJ22" i="6"/>
  <c r="DI22" i="6"/>
  <c r="DM21" i="6"/>
  <c r="DL21" i="6"/>
  <c r="DL60" i="6" s="1"/>
  <c r="DK21" i="6"/>
  <c r="DK60" i="6" s="1"/>
  <c r="DJ21" i="6"/>
  <c r="DJ60" i="6" s="1"/>
  <c r="DI21" i="6"/>
  <c r="DI60" i="6" s="1"/>
  <c r="DM20" i="6"/>
  <c r="DL20" i="6"/>
  <c r="DK20" i="6"/>
  <c r="DJ20" i="6"/>
  <c r="DI20" i="6"/>
  <c r="DM18" i="6"/>
  <c r="DL18" i="6"/>
  <c r="DK18" i="6"/>
  <c r="DJ18" i="6"/>
  <c r="DI18" i="6"/>
  <c r="DM17" i="6"/>
  <c r="DL17" i="6"/>
  <c r="DK17" i="6"/>
  <c r="DJ17" i="6"/>
  <c r="DI17" i="6"/>
  <c r="DN16" i="6"/>
  <c r="DK16" i="6"/>
  <c r="DI16" i="6"/>
  <c r="CJ16" i="6"/>
  <c r="DN15" i="6"/>
  <c r="DM15" i="6"/>
  <c r="DL15" i="6"/>
  <c r="DK15" i="6"/>
  <c r="DJ15" i="6"/>
  <c r="DI15" i="6"/>
  <c r="CJ15" i="6"/>
  <c r="DM11" i="6"/>
  <c r="DM16" i="6" s="1"/>
  <c r="DL11" i="6"/>
  <c r="DL16" i="6" s="1"/>
  <c r="DK11" i="6"/>
  <c r="DK59" i="6" s="1"/>
  <c r="DJ11" i="6"/>
  <c r="DI11" i="6"/>
  <c r="DI59" i="6" s="1"/>
  <c r="DM10" i="6"/>
  <c r="DL10" i="6"/>
  <c r="DK10" i="6"/>
  <c r="DJ10" i="6"/>
  <c r="DI10" i="6"/>
  <c r="ET48" i="6"/>
  <c r="ES46" i="6"/>
  <c r="ET41" i="6"/>
  <c r="ES34" i="6"/>
  <c r="ES27" i="6"/>
  <c r="ET24" i="6"/>
  <c r="ES20" i="6"/>
  <c r="ES18" i="6"/>
  <c r="ES13" i="6"/>
  <c r="ES11" i="6"/>
  <c r="CF10" i="6"/>
  <c r="CG10" i="6"/>
  <c r="CG15" i="6" s="1"/>
  <c r="ES15" i="6" s="1"/>
  <c r="CH10" i="6"/>
  <c r="CI10" i="6"/>
  <c r="ET10" i="6" s="1"/>
  <c r="CF11" i="6"/>
  <c r="CG11" i="6"/>
  <c r="CH11" i="6"/>
  <c r="CI11" i="6"/>
  <c r="ET11" i="6" s="1"/>
  <c r="CF12" i="6"/>
  <c r="CG12" i="6"/>
  <c r="ES12" i="6" s="1"/>
  <c r="CH12" i="6"/>
  <c r="CI12" i="6"/>
  <c r="ET12" i="6" s="1"/>
  <c r="CF13" i="6"/>
  <c r="CG13" i="6"/>
  <c r="CH13" i="6"/>
  <c r="CI13" i="6"/>
  <c r="ET13" i="6" s="1"/>
  <c r="CF14" i="6"/>
  <c r="CG14" i="6"/>
  <c r="ES14" i="6" s="1"/>
  <c r="CH14" i="6"/>
  <c r="CI14" i="6"/>
  <c r="ET14" i="6" s="1"/>
  <c r="CF15" i="6"/>
  <c r="CH15" i="6"/>
  <c r="CF16" i="6"/>
  <c r="CH16" i="6"/>
  <c r="CF17" i="6"/>
  <c r="CG17" i="6"/>
  <c r="CG22" i="6" s="1"/>
  <c r="ES22" i="6" s="1"/>
  <c r="CH17" i="6"/>
  <c r="CI17" i="6"/>
  <c r="CF18" i="6"/>
  <c r="CG18" i="6"/>
  <c r="CH18" i="6"/>
  <c r="CH23" i="6" s="1"/>
  <c r="CI18" i="6"/>
  <c r="ET18" i="6" s="1"/>
  <c r="CF19" i="6"/>
  <c r="CG19" i="6"/>
  <c r="ES19" i="6" s="1"/>
  <c r="CH19" i="6"/>
  <c r="CI19" i="6"/>
  <c r="ET19" i="6" s="1"/>
  <c r="CF20" i="6"/>
  <c r="CG20" i="6"/>
  <c r="CH20" i="6"/>
  <c r="CI20" i="6"/>
  <c r="ET20" i="6" s="1"/>
  <c r="CF21" i="6"/>
  <c r="CG21" i="6"/>
  <c r="ES21" i="6" s="1"/>
  <c r="CH21" i="6"/>
  <c r="CI21" i="6"/>
  <c r="CF22" i="6"/>
  <c r="CH22" i="6"/>
  <c r="CF23" i="6"/>
  <c r="CF24" i="6"/>
  <c r="CF29" i="6" s="1"/>
  <c r="ES29" i="6" s="1"/>
  <c r="CG24" i="6"/>
  <c r="ES24" i="6" s="1"/>
  <c r="CH24" i="6"/>
  <c r="CI24" i="6"/>
  <c r="CF25" i="6"/>
  <c r="CF30" i="6" s="1"/>
  <c r="CG25" i="6"/>
  <c r="ES25" i="6" s="1"/>
  <c r="CH25" i="6"/>
  <c r="CH30" i="6" s="1"/>
  <c r="CI25" i="6"/>
  <c r="CF26" i="6"/>
  <c r="CG26" i="6"/>
  <c r="ES26" i="6" s="1"/>
  <c r="CH26" i="6"/>
  <c r="CI26" i="6"/>
  <c r="ET26" i="6" s="1"/>
  <c r="CF27" i="6"/>
  <c r="CG27" i="6"/>
  <c r="CH27" i="6"/>
  <c r="CI27" i="6"/>
  <c r="CI29" i="6" s="1"/>
  <c r="ET29" i="6" s="1"/>
  <c r="CF28" i="6"/>
  <c r="CG28" i="6"/>
  <c r="ES28" i="6" s="1"/>
  <c r="CH28" i="6"/>
  <c r="CI28" i="6"/>
  <c r="ET28" i="6" s="1"/>
  <c r="CG29" i="6"/>
  <c r="CH29" i="6"/>
  <c r="CG30" i="6"/>
  <c r="CF31" i="6"/>
  <c r="CG31" i="6"/>
  <c r="ES31" i="6" s="1"/>
  <c r="CH31" i="6"/>
  <c r="CI31" i="6"/>
  <c r="CF32" i="6"/>
  <c r="CF37" i="6" s="1"/>
  <c r="CG32" i="6"/>
  <c r="ES32" i="6" s="1"/>
  <c r="CH32" i="6"/>
  <c r="CH37" i="6" s="1"/>
  <c r="ET37" i="6" s="1"/>
  <c r="CI32" i="6"/>
  <c r="CF33" i="6"/>
  <c r="CG33" i="6"/>
  <c r="ES33" i="6" s="1"/>
  <c r="CH33" i="6"/>
  <c r="CI33" i="6"/>
  <c r="ET33" i="6" s="1"/>
  <c r="CF34" i="6"/>
  <c r="CF36" i="6" s="1"/>
  <c r="CG34" i="6"/>
  <c r="CH34" i="6"/>
  <c r="CH36" i="6" s="1"/>
  <c r="CI34" i="6"/>
  <c r="ET34" i="6" s="1"/>
  <c r="CF35" i="6"/>
  <c r="CG35" i="6"/>
  <c r="CH35" i="6"/>
  <c r="CI35" i="6"/>
  <c r="CI37" i="6" s="1"/>
  <c r="CG36" i="6"/>
  <c r="CG37" i="6"/>
  <c r="CF38" i="6"/>
  <c r="CG38" i="6"/>
  <c r="ES38" i="6" s="1"/>
  <c r="CH38" i="6"/>
  <c r="CH43" i="6" s="1"/>
  <c r="CI38" i="6"/>
  <c r="ET38" i="6" s="1"/>
  <c r="CF39" i="6"/>
  <c r="ES39" i="6" s="1"/>
  <c r="CG39" i="6"/>
  <c r="CH39" i="6"/>
  <c r="CI39" i="6"/>
  <c r="ET39" i="6" s="1"/>
  <c r="CF40" i="6"/>
  <c r="CG40" i="6"/>
  <c r="ES40" i="6" s="1"/>
  <c r="CH40" i="6"/>
  <c r="CI40" i="6"/>
  <c r="ET40" i="6" s="1"/>
  <c r="CF41" i="6"/>
  <c r="CG41" i="6"/>
  <c r="ES41" i="6" s="1"/>
  <c r="CH41" i="6"/>
  <c r="CI41" i="6"/>
  <c r="CF42" i="6"/>
  <c r="CG42" i="6"/>
  <c r="ES42" i="6" s="1"/>
  <c r="CH42" i="6"/>
  <c r="CH44" i="6" s="1"/>
  <c r="CI42" i="6"/>
  <c r="ET42" i="6" s="1"/>
  <c r="CF43" i="6"/>
  <c r="CG43" i="6"/>
  <c r="ES43" i="6" s="1"/>
  <c r="CI43" i="6"/>
  <c r="ET43" i="6" s="1"/>
  <c r="CG44" i="6"/>
  <c r="CF45" i="6"/>
  <c r="CG45" i="6"/>
  <c r="ES45" i="6" s="1"/>
  <c r="CH45" i="6"/>
  <c r="CI45" i="6"/>
  <c r="CF46" i="6"/>
  <c r="CG46" i="6"/>
  <c r="CG51" i="6" s="1"/>
  <c r="ES51" i="6" s="1"/>
  <c r="CH46" i="6"/>
  <c r="CI46" i="6"/>
  <c r="ET46" i="6" s="1"/>
  <c r="CF47" i="6"/>
  <c r="CG47" i="6"/>
  <c r="ES47" i="6" s="1"/>
  <c r="CH47" i="6"/>
  <c r="CI47" i="6"/>
  <c r="ET47" i="6" s="1"/>
  <c r="CF48" i="6"/>
  <c r="CG48" i="6"/>
  <c r="ES48" i="6" s="1"/>
  <c r="CH48" i="6"/>
  <c r="CI48" i="6"/>
  <c r="CF49" i="6"/>
  <c r="CG49" i="6"/>
  <c r="CH49" i="6"/>
  <c r="G49" i="6" s="1"/>
  <c r="EV49" i="6" s="1"/>
  <c r="CI49" i="6"/>
  <c r="ET49" i="6" s="1"/>
  <c r="CF50" i="6"/>
  <c r="CH50" i="6"/>
  <c r="CF51" i="6"/>
  <c r="CH51" i="6"/>
  <c r="CF52" i="6"/>
  <c r="CG52" i="6"/>
  <c r="CH52" i="6"/>
  <c r="CI52" i="6"/>
  <c r="ET52" i="6" s="1"/>
  <c r="CF53" i="6"/>
  <c r="CG53" i="6"/>
  <c r="ES53" i="6" s="1"/>
  <c r="CH53" i="6"/>
  <c r="CI53" i="6"/>
  <c r="CI58" i="6" s="1"/>
  <c r="ET58" i="6" s="1"/>
  <c r="CF54" i="6"/>
  <c r="CG54" i="6"/>
  <c r="ES54" i="6" s="1"/>
  <c r="CH54" i="6"/>
  <c r="CI54" i="6"/>
  <c r="ET54" i="6" s="1"/>
  <c r="CF55" i="6"/>
  <c r="CG55" i="6"/>
  <c r="ES55" i="6" s="1"/>
  <c r="CH55" i="6"/>
  <c r="CI55" i="6"/>
  <c r="ET55" i="6" s="1"/>
  <c r="CF56" i="6"/>
  <c r="CG56" i="6"/>
  <c r="ES56" i="6" s="1"/>
  <c r="CH56" i="6"/>
  <c r="CI56" i="6"/>
  <c r="ET56" i="6" s="1"/>
  <c r="CF57" i="6"/>
  <c r="CG57" i="6"/>
  <c r="ES57" i="6" s="1"/>
  <c r="CH57" i="6"/>
  <c r="CI57" i="6"/>
  <c r="ET57" i="6" s="1"/>
  <c r="CF58" i="6"/>
  <c r="CH58" i="6"/>
  <c r="G57" i="6"/>
  <c r="G43" i="6"/>
  <c r="G35" i="6"/>
  <c r="EV35" i="6" s="1"/>
  <c r="G15" i="6"/>
  <c r="J54" i="18" l="1"/>
  <c r="E54" i="18"/>
  <c r="M54" i="18"/>
  <c r="V22" i="18"/>
  <c r="U26" i="18"/>
  <c r="V23" i="18"/>
  <c r="U27" i="18"/>
  <c r="V28" i="18"/>
  <c r="U32" i="18"/>
  <c r="V29" i="18"/>
  <c r="U33" i="18"/>
  <c r="V17" i="18"/>
  <c r="U21" i="18"/>
  <c r="V39" i="18"/>
  <c r="W35" i="18"/>
  <c r="U44" i="18"/>
  <c r="V40" i="18"/>
  <c r="V41" i="18"/>
  <c r="U45" i="18"/>
  <c r="V11" i="18"/>
  <c r="U52" i="18"/>
  <c r="H54" i="18"/>
  <c r="I54" i="18"/>
  <c r="U13" i="18"/>
  <c r="L15" i="18"/>
  <c r="T21" i="18"/>
  <c r="T32" i="18"/>
  <c r="V47" i="18"/>
  <c r="E15" i="18"/>
  <c r="M15" i="18"/>
  <c r="T27" i="18"/>
  <c r="K53" i="18"/>
  <c r="K54" i="18" s="1"/>
  <c r="T53" i="18"/>
  <c r="T54" i="18" s="1"/>
  <c r="F15" i="18"/>
  <c r="N15" i="18"/>
  <c r="U16" i="18"/>
  <c r="T33" i="18"/>
  <c r="T44" i="18"/>
  <c r="G15" i="18"/>
  <c r="O15" i="18"/>
  <c r="H15" i="18"/>
  <c r="U39" i="18"/>
  <c r="T45" i="18"/>
  <c r="I15" i="18"/>
  <c r="J15" i="18"/>
  <c r="ES37" i="6"/>
  <c r="ES36" i="6"/>
  <c r="ES30" i="6"/>
  <c r="CI30" i="6"/>
  <c r="ET30" i="6" s="1"/>
  <c r="ET32" i="6"/>
  <c r="ES49" i="6"/>
  <c r="CI36" i="6"/>
  <c r="ET36" i="6" s="1"/>
  <c r="ET27" i="6"/>
  <c r="ES35" i="6"/>
  <c r="DJ59" i="6"/>
  <c r="CG50" i="6"/>
  <c r="ES50" i="6" s="1"/>
  <c r="CF44" i="6"/>
  <c r="ES44" i="6" s="1"/>
  <c r="CI15" i="6"/>
  <c r="ET15" i="6" s="1"/>
  <c r="CI16" i="6"/>
  <c r="ET16" i="6" s="1"/>
  <c r="ES10" i="6"/>
  <c r="ET25" i="6"/>
  <c r="ET35" i="6"/>
  <c r="CI44" i="6"/>
  <c r="ET44" i="6" s="1"/>
  <c r="CQ61" i="6"/>
  <c r="CY61" i="6"/>
  <c r="DG61" i="6"/>
  <c r="CG23" i="6"/>
  <c r="ES23" i="6" s="1"/>
  <c r="CG58" i="6"/>
  <c r="ES58" i="6" s="1"/>
  <c r="CI51" i="6"/>
  <c r="ET51" i="6" s="1"/>
  <c r="CI50" i="6"/>
  <c r="ET50" i="6" s="1"/>
  <c r="CI23" i="6"/>
  <c r="ET23" i="6" s="1"/>
  <c r="CI22" i="6"/>
  <c r="ET22" i="6" s="1"/>
  <c r="CG16" i="6"/>
  <c r="ES16" i="6" s="1"/>
  <c r="ES17" i="6"/>
  <c r="ET45" i="6"/>
  <c r="CO61" i="6"/>
  <c r="CW61" i="6"/>
  <c r="DE61" i="6"/>
  <c r="ET53" i="6"/>
  <c r="ET17" i="6"/>
  <c r="ET21" i="6"/>
  <c r="ET31" i="6"/>
  <c r="CK61" i="6"/>
  <c r="CS61" i="6"/>
  <c r="DA61" i="6"/>
  <c r="DL59" i="6"/>
  <c r="DL61" i="6" s="1"/>
  <c r="DJ61" i="6"/>
  <c r="DK61" i="6"/>
  <c r="DI61" i="6"/>
  <c r="DM59" i="6"/>
  <c r="DM61" i="6" s="1"/>
  <c r="DJ16" i="6"/>
  <c r="W17" i="18" l="1"/>
  <c r="V21" i="18"/>
  <c r="W22" i="18"/>
  <c r="V26" i="18"/>
  <c r="W11" i="18"/>
  <c r="V52" i="18"/>
  <c r="V15" i="18"/>
  <c r="U53" i="18"/>
  <c r="U54" i="18" s="1"/>
  <c r="V13" i="18"/>
  <c r="V45" i="18"/>
  <c r="W41" i="18"/>
  <c r="V44" i="18"/>
  <c r="W40" i="18"/>
  <c r="W29" i="18"/>
  <c r="V33" i="18"/>
  <c r="W28" i="18"/>
  <c r="V32" i="18"/>
  <c r="V16" i="18"/>
  <c r="U20" i="18"/>
  <c r="W47" i="18"/>
  <c r="V51" i="18"/>
  <c r="U15" i="18"/>
  <c r="W39" i="18"/>
  <c r="X35" i="18"/>
  <c r="W23" i="18"/>
  <c r="V27" i="18"/>
  <c r="BW39" i="6"/>
  <c r="BW32" i="6"/>
  <c r="W44" i="18" l="1"/>
  <c r="X40" i="18"/>
  <c r="X11" i="18"/>
  <c r="W52" i="18"/>
  <c r="X39" i="18"/>
  <c r="Y35" i="18"/>
  <c r="X29" i="18"/>
  <c r="W33" i="18"/>
  <c r="X22" i="18"/>
  <c r="W26" i="18"/>
  <c r="W32" i="18"/>
  <c r="X28" i="18"/>
  <c r="X47" i="18"/>
  <c r="W51" i="18"/>
  <c r="W45" i="18"/>
  <c r="X41" i="18"/>
  <c r="X23" i="18"/>
  <c r="W27" i="18"/>
  <c r="W16" i="18"/>
  <c r="V20" i="18"/>
  <c r="V53" i="18"/>
  <c r="V54" i="18" s="1"/>
  <c r="W13" i="18"/>
  <c r="W15" i="18" s="1"/>
  <c r="X17" i="18"/>
  <c r="W21" i="18"/>
  <c r="G991" i="15"/>
  <c r="G990" i="15"/>
  <c r="G989" i="15"/>
  <c r="G988" i="15"/>
  <c r="G987" i="15"/>
  <c r="G986" i="15"/>
  <c r="G985" i="15"/>
  <c r="F766" i="15"/>
  <c r="F765" i="15"/>
  <c r="F764" i="15"/>
  <c r="F763" i="15"/>
  <c r="F762" i="15"/>
  <c r="F761" i="15"/>
  <c r="F760" i="15"/>
  <c r="K541" i="15"/>
  <c r="K540" i="15"/>
  <c r="K539" i="15"/>
  <c r="K538" i="15"/>
  <c r="K537" i="15"/>
  <c r="K536" i="15"/>
  <c r="K535" i="15"/>
  <c r="X32" i="18" l="1"/>
  <c r="Y28" i="18"/>
  <c r="X16" i="18"/>
  <c r="W20" i="18"/>
  <c r="Z35" i="18"/>
  <c r="Y39" i="18"/>
  <c r="X26" i="18"/>
  <c r="Y22" i="18"/>
  <c r="X44" i="18"/>
  <c r="Y40" i="18"/>
  <c r="W53" i="18"/>
  <c r="W54" i="18" s="1"/>
  <c r="X13" i="18"/>
  <c r="Y47" i="18"/>
  <c r="X51" i="18"/>
  <c r="Y11" i="18"/>
  <c r="X52" i="18"/>
  <c r="X15" i="18"/>
  <c r="X27" i="18"/>
  <c r="Y23" i="18"/>
  <c r="Y41" i="18"/>
  <c r="X45" i="18"/>
  <c r="Y17" i="18"/>
  <c r="X21" i="18"/>
  <c r="X33" i="18"/>
  <c r="Y29" i="18"/>
  <c r="H305" i="15"/>
  <c r="H306" i="15"/>
  <c r="H307" i="15"/>
  <c r="H308" i="15"/>
  <c r="H309" i="15"/>
  <c r="H310" i="15"/>
  <c r="H311" i="15"/>
  <c r="H312" i="15"/>
  <c r="H313" i="15"/>
  <c r="H314" i="15"/>
  <c r="H315" i="15"/>
  <c r="H316" i="15"/>
  <c r="C307" i="15"/>
  <c r="Z11" i="18" l="1"/>
  <c r="Y52" i="18"/>
  <c r="Y15" i="18"/>
  <c r="AA35" i="18"/>
  <c r="Z39" i="18"/>
  <c r="Z41" i="18"/>
  <c r="Y45" i="18"/>
  <c r="X53" i="18"/>
  <c r="X54" i="18" s="1"/>
  <c r="Y13" i="18"/>
  <c r="Y27" i="18"/>
  <c r="Z23" i="18"/>
  <c r="Y44" i="18"/>
  <c r="Z40" i="18"/>
  <c r="Y16" i="18"/>
  <c r="X20" i="18"/>
  <c r="Y21" i="18"/>
  <c r="Z17" i="18"/>
  <c r="Z47" i="18"/>
  <c r="Y51" i="18"/>
  <c r="Y33" i="18"/>
  <c r="Z29" i="18"/>
  <c r="Y32" i="18"/>
  <c r="Z28" i="18"/>
  <c r="Y26" i="18"/>
  <c r="Z22" i="18"/>
  <c r="BW35" i="6"/>
  <c r="BW14" i="6"/>
  <c r="CE14" i="6" s="1"/>
  <c r="BW46" i="6"/>
  <c r="AA41" i="18" l="1"/>
  <c r="Z45" i="18"/>
  <c r="AA29" i="18"/>
  <c r="Z33" i="18"/>
  <c r="AA40" i="18"/>
  <c r="Z44" i="18"/>
  <c r="AB35" i="18"/>
  <c r="AB39" i="18" s="1"/>
  <c r="AA39" i="18"/>
  <c r="Z16" i="18"/>
  <c r="Y20" i="18"/>
  <c r="Z27" i="18"/>
  <c r="AA23" i="18"/>
  <c r="Z32" i="18"/>
  <c r="AA28" i="18"/>
  <c r="Z26" i="18"/>
  <c r="AA22" i="18"/>
  <c r="AA47" i="18"/>
  <c r="Z51" i="18"/>
  <c r="Z21" i="18"/>
  <c r="AA17" i="18"/>
  <c r="Y53" i="18"/>
  <c r="Y54" i="18" s="1"/>
  <c r="Z13" i="18"/>
  <c r="Z52" i="18"/>
  <c r="AA11" i="18"/>
  <c r="ER11" i="6"/>
  <c r="ER12" i="6"/>
  <c r="ER13" i="6"/>
  <c r="ER14" i="6"/>
  <c r="ER17" i="6"/>
  <c r="ER18" i="6"/>
  <c r="ER19" i="6"/>
  <c r="ER20" i="6"/>
  <c r="ER21" i="6"/>
  <c r="ER24" i="6"/>
  <c r="ER25" i="6"/>
  <c r="ER26" i="6"/>
  <c r="ER27" i="6"/>
  <c r="ER28" i="6"/>
  <c r="ER31" i="6"/>
  <c r="ER32" i="6"/>
  <c r="ER33" i="6"/>
  <c r="ER34" i="6"/>
  <c r="ER35" i="6"/>
  <c r="ER38" i="6"/>
  <c r="ER39" i="6"/>
  <c r="ER40" i="6"/>
  <c r="ER41" i="6"/>
  <c r="ER42" i="6"/>
  <c r="ER45" i="6"/>
  <c r="ER46" i="6"/>
  <c r="ER47" i="6"/>
  <c r="ER48" i="6"/>
  <c r="ER49" i="6"/>
  <c r="ER52" i="6"/>
  <c r="ER53" i="6"/>
  <c r="ER54" i="6"/>
  <c r="ER55" i="6"/>
  <c r="ER56" i="6"/>
  <c r="ER10" i="6"/>
  <c r="CE49" i="6"/>
  <c r="CE48" i="6"/>
  <c r="CE47" i="6"/>
  <c r="CE46" i="6"/>
  <c r="E765" i="15" s="1"/>
  <c r="CE45" i="6"/>
  <c r="H540" i="15" s="1"/>
  <c r="CE35" i="6"/>
  <c r="CE34" i="6"/>
  <c r="CE33" i="6"/>
  <c r="CE32" i="6"/>
  <c r="E763" i="15" s="1"/>
  <c r="CE31" i="6"/>
  <c r="H538" i="15" s="1"/>
  <c r="CE28" i="6"/>
  <c r="CE27" i="6"/>
  <c r="CE26" i="6"/>
  <c r="CE25" i="6"/>
  <c r="E762" i="15" s="1"/>
  <c r="CE24" i="6"/>
  <c r="H537" i="15" s="1"/>
  <c r="CE17" i="6"/>
  <c r="H536" i="15" s="1"/>
  <c r="CE11" i="6"/>
  <c r="CE10" i="6"/>
  <c r="H535" i="15" s="1"/>
  <c r="ET16" i="5"/>
  <c r="ET15" i="5"/>
  <c r="ET14" i="5"/>
  <c r="ET12" i="5"/>
  <c r="CK12" i="5"/>
  <c r="CJ14" i="5"/>
  <c r="CI16" i="5"/>
  <c r="CI15" i="5"/>
  <c r="CI14" i="5"/>
  <c r="EU14" i="5" s="1"/>
  <c r="CI13" i="5"/>
  <c r="EU13" i="5" s="1"/>
  <c r="CI12" i="5"/>
  <c r="CH16" i="5"/>
  <c r="CH15" i="5"/>
  <c r="CH14" i="5"/>
  <c r="CH13" i="5"/>
  <c r="CG16" i="5"/>
  <c r="CG15" i="5"/>
  <c r="CG14" i="5"/>
  <c r="CE56" i="6"/>
  <c r="CE55" i="6"/>
  <c r="CE54" i="6"/>
  <c r="CE53" i="6"/>
  <c r="E766" i="15" s="1"/>
  <c r="CE52" i="6"/>
  <c r="H541" i="15" s="1"/>
  <c r="CE42" i="6"/>
  <c r="CE41" i="6"/>
  <c r="CE40" i="6"/>
  <c r="CE39" i="6"/>
  <c r="E764" i="15" s="1"/>
  <c r="CE38" i="6"/>
  <c r="H539" i="15" s="1"/>
  <c r="CE13" i="6"/>
  <c r="H291" i="15"/>
  <c r="H250" i="15"/>
  <c r="H273" i="15"/>
  <c r="H303" i="15"/>
  <c r="H302" i="15"/>
  <c r="H301" i="15"/>
  <c r="H300" i="15"/>
  <c r="H299" i="15"/>
  <c r="H298" i="15"/>
  <c r="H297" i="15"/>
  <c r="H296" i="15"/>
  <c r="H295" i="15"/>
  <c r="H294" i="15"/>
  <c r="C294" i="15"/>
  <c r="H293" i="15"/>
  <c r="H292" i="15"/>
  <c r="H304" i="15"/>
  <c r="H317" i="15"/>
  <c r="AA13" i="18" l="1"/>
  <c r="Z53" i="18"/>
  <c r="Z54" i="18" s="1"/>
  <c r="AA32" i="18"/>
  <c r="AB28" i="18"/>
  <c r="AB32" i="18" s="1"/>
  <c r="AA21" i="18"/>
  <c r="AB17" i="18"/>
  <c r="AB21" i="18" s="1"/>
  <c r="AB40" i="18"/>
  <c r="AB44" i="18" s="1"/>
  <c r="AA44" i="18"/>
  <c r="AB23" i="18"/>
  <c r="AB27" i="18" s="1"/>
  <c r="AA27" i="18"/>
  <c r="AB29" i="18"/>
  <c r="AB33" i="18" s="1"/>
  <c r="AA33" i="18"/>
  <c r="AA26" i="18"/>
  <c r="AB22" i="18"/>
  <c r="AB26" i="18" s="1"/>
  <c r="AA52" i="18"/>
  <c r="AB11" i="18"/>
  <c r="Z15" i="18"/>
  <c r="AB47" i="18"/>
  <c r="AB51" i="18" s="1"/>
  <c r="AA51" i="18"/>
  <c r="Z20" i="18"/>
  <c r="AA16" i="18"/>
  <c r="AB41" i="18"/>
  <c r="AB45" i="18" s="1"/>
  <c r="AA45" i="18"/>
  <c r="CK15" i="5"/>
  <c r="EW15" i="5"/>
  <c r="EU15" i="5"/>
  <c r="CK16" i="5"/>
  <c r="EU16" i="5"/>
  <c r="EW16" i="5"/>
  <c r="E760" i="15"/>
  <c r="CG60" i="6"/>
  <c r="CF60" i="6"/>
  <c r="AA20" i="18" l="1"/>
  <c r="AB16" i="18"/>
  <c r="AB20" i="18" s="1"/>
  <c r="AB52" i="18"/>
  <c r="AB13" i="18"/>
  <c r="AB53" i="18" s="1"/>
  <c r="AA53" i="18"/>
  <c r="AA54" i="18" s="1"/>
  <c r="AA15" i="18"/>
  <c r="EX16" i="5"/>
  <c r="EX15" i="5"/>
  <c r="BV59" i="6"/>
  <c r="BU11" i="6"/>
  <c r="BV60" i="6"/>
  <c r="AB15" i="18" l="1"/>
  <c r="AB54" i="18"/>
  <c r="BU59" i="6"/>
  <c r="BU60" i="6"/>
  <c r="BW60" i="6"/>
  <c r="BW59" i="6"/>
  <c r="BV61" i="6"/>
  <c r="G984" i="15" l="1"/>
  <c r="G983" i="15"/>
  <c r="G982" i="15"/>
  <c r="G981" i="15"/>
  <c r="G980" i="15"/>
  <c r="G979" i="15"/>
  <c r="G978" i="15"/>
  <c r="F759" i="15"/>
  <c r="F758" i="15"/>
  <c r="F757" i="15"/>
  <c r="F756" i="15"/>
  <c r="F755" i="15"/>
  <c r="F754" i="15"/>
  <c r="F753" i="15"/>
  <c r="E753" i="15"/>
  <c r="K534" i="15"/>
  <c r="K533" i="15"/>
  <c r="K532" i="15"/>
  <c r="K531" i="15"/>
  <c r="K530" i="15"/>
  <c r="K529" i="15"/>
  <c r="K528" i="15"/>
  <c r="H533" i="15"/>
  <c r="H531" i="15"/>
  <c r="E755" i="15"/>
  <c r="H530" i="15"/>
  <c r="H529" i="15"/>
  <c r="H534" i="15"/>
  <c r="E757" i="15"/>
  <c r="BV16" i="6"/>
  <c r="BV15" i="6"/>
  <c r="H528" i="15" l="1"/>
  <c r="H532" i="15"/>
  <c r="E759" i="15"/>
  <c r="E756" i="15"/>
  <c r="D281" i="15" l="1"/>
  <c r="H275" i="15"/>
  <c r="H264" i="15"/>
  <c r="H269" i="15"/>
  <c r="H268" i="15"/>
  <c r="H267" i="15"/>
  <c r="H266" i="15"/>
  <c r="H265" i="15"/>
  <c r="H263" i="15"/>
  <c r="BT60" i="6" l="1"/>
  <c r="BS28" i="6"/>
  <c r="BS14" i="6"/>
  <c r="CE21" i="6"/>
  <c r="G971" i="15" l="1"/>
  <c r="G977" i="15"/>
  <c r="G976" i="15"/>
  <c r="G975" i="15"/>
  <c r="G974" i="15"/>
  <c r="G973" i="15"/>
  <c r="G972" i="15"/>
  <c r="F752" i="15"/>
  <c r="F751" i="15"/>
  <c r="F750" i="15"/>
  <c r="F749" i="15"/>
  <c r="F748" i="15"/>
  <c r="F747" i="15"/>
  <c r="F746" i="15"/>
  <c r="E749" i="15"/>
  <c r="K527" i="15"/>
  <c r="H527" i="15"/>
  <c r="K526" i="15"/>
  <c r="K525" i="15"/>
  <c r="H525" i="15"/>
  <c r="K524" i="15"/>
  <c r="K523" i="15"/>
  <c r="K522" i="15"/>
  <c r="K521" i="15"/>
  <c r="H521" i="15"/>
  <c r="H526" i="15"/>
  <c r="H524" i="15"/>
  <c r="E748" i="15"/>
  <c r="H523" i="15"/>
  <c r="H522" i="15"/>
  <c r="E752" i="15"/>
  <c r="H520" i="15"/>
  <c r="E750" i="15"/>
  <c r="CE12" i="6"/>
  <c r="G970" i="15"/>
  <c r="G969" i="15"/>
  <c r="G968" i="15"/>
  <c r="G967" i="15"/>
  <c r="G966" i="15"/>
  <c r="G965" i="15"/>
  <c r="G964" i="15"/>
  <c r="F745" i="15"/>
  <c r="F744" i="15"/>
  <c r="F743" i="15"/>
  <c r="F742" i="15"/>
  <c r="F741" i="15"/>
  <c r="F740" i="15"/>
  <c r="F739" i="15"/>
  <c r="H518" i="15"/>
  <c r="H514" i="15"/>
  <c r="K520" i="15"/>
  <c r="K519" i="15"/>
  <c r="K518" i="15"/>
  <c r="K517" i="15"/>
  <c r="K516" i="15"/>
  <c r="K515" i="15"/>
  <c r="K514" i="15"/>
  <c r="E746" i="15" l="1"/>
  <c r="C266" i="15"/>
  <c r="BQ14" i="6" l="1"/>
  <c r="BR60" i="6"/>
  <c r="BQ60" i="6"/>
  <c r="BP60" i="6"/>
  <c r="BO60" i="6"/>
  <c r="BN60" i="6"/>
  <c r="BM60" i="6"/>
  <c r="BL60" i="6"/>
  <c r="BK60" i="6"/>
  <c r="BJ60" i="6"/>
  <c r="BH60" i="6"/>
  <c r="BG60" i="6"/>
  <c r="BF60" i="6"/>
  <c r="H270" i="15" l="1"/>
  <c r="H274" i="15"/>
  <c r="H272" i="15"/>
  <c r="H271" i="15"/>
  <c r="H519" i="15"/>
  <c r="H517" i="15"/>
  <c r="H516" i="15"/>
  <c r="CE20" i="6"/>
  <c r="CE19" i="6"/>
  <c r="H515" i="15"/>
  <c r="E745" i="15"/>
  <c r="E743" i="15"/>
  <c r="CK14" i="5"/>
  <c r="EV14" i="5" s="1"/>
  <c r="F738" i="15"/>
  <c r="F737" i="15"/>
  <c r="F736" i="15"/>
  <c r="F735" i="15"/>
  <c r="F734" i="15"/>
  <c r="F733" i="15"/>
  <c r="F732" i="15"/>
  <c r="E741" i="15" l="1"/>
  <c r="E742" i="15"/>
  <c r="E739" i="15"/>
  <c r="CG59" i="6"/>
  <c r="G963" i="15" l="1"/>
  <c r="G962" i="15"/>
  <c r="G961" i="15"/>
  <c r="G960" i="15"/>
  <c r="G959" i="15"/>
  <c r="G958" i="15"/>
  <c r="G957" i="15"/>
  <c r="E738" i="15"/>
  <c r="E735" i="15"/>
  <c r="E734" i="15"/>
  <c r="K513" i="15"/>
  <c r="H513" i="15"/>
  <c r="K512" i="15"/>
  <c r="H512" i="15"/>
  <c r="K511" i="15"/>
  <c r="H511" i="15"/>
  <c r="K510" i="15"/>
  <c r="H510" i="15"/>
  <c r="K509" i="15"/>
  <c r="H509" i="15"/>
  <c r="K508" i="15"/>
  <c r="H508" i="15"/>
  <c r="K507" i="15"/>
  <c r="H507" i="15"/>
  <c r="H251" i="15"/>
  <c r="H252" i="15"/>
  <c r="H253" i="15"/>
  <c r="H254" i="15"/>
  <c r="H257" i="15"/>
  <c r="H258" i="15"/>
  <c r="H259" i="15"/>
  <c r="H260" i="15"/>
  <c r="H261" i="15"/>
  <c r="H262" i="15"/>
  <c r="E736" i="15" l="1"/>
  <c r="G956" i="15" l="1"/>
  <c r="G955" i="15"/>
  <c r="G954" i="15"/>
  <c r="G953" i="15"/>
  <c r="G952" i="15"/>
  <c r="G951" i="15"/>
  <c r="G950" i="15"/>
  <c r="F731" i="15"/>
  <c r="F730" i="15"/>
  <c r="F729" i="15"/>
  <c r="F728" i="15"/>
  <c r="F727" i="15"/>
  <c r="F726" i="15"/>
  <c r="F725" i="15"/>
  <c r="K501" i="15"/>
  <c r="K502" i="15"/>
  <c r="K503" i="15"/>
  <c r="K504" i="15"/>
  <c r="K505" i="15"/>
  <c r="K506" i="15"/>
  <c r="H506" i="15"/>
  <c r="H505" i="15"/>
  <c r="H504" i="15"/>
  <c r="H503" i="15"/>
  <c r="H502" i="15"/>
  <c r="H501" i="15"/>
  <c r="H500" i="15"/>
  <c r="BN59" i="6"/>
  <c r="BN58" i="6"/>
  <c r="BN15" i="6"/>
  <c r="E725" i="15" l="1"/>
  <c r="E732" i="15"/>
  <c r="BL59" i="6"/>
  <c r="G949" i="15" l="1"/>
  <c r="G948" i="15"/>
  <c r="G947" i="15"/>
  <c r="G946" i="15"/>
  <c r="G945" i="15"/>
  <c r="G944" i="15"/>
  <c r="G943" i="15"/>
  <c r="F724" i="15"/>
  <c r="F723" i="15"/>
  <c r="F722" i="15"/>
  <c r="F721" i="15"/>
  <c r="F720" i="15"/>
  <c r="F719" i="15"/>
  <c r="F718" i="15"/>
  <c r="K499" i="15"/>
  <c r="H499" i="15"/>
  <c r="K498" i="15"/>
  <c r="H498" i="15"/>
  <c r="K497" i="15"/>
  <c r="H497" i="15"/>
  <c r="K496" i="15"/>
  <c r="H496" i="15"/>
  <c r="K495" i="15"/>
  <c r="H495" i="15"/>
  <c r="K494" i="15"/>
  <c r="H494" i="15"/>
  <c r="K493" i="15"/>
  <c r="H493" i="15"/>
  <c r="BL58" i="6" l="1"/>
  <c r="BK58" i="6"/>
  <c r="BK46" i="6"/>
  <c r="BK18" i="6"/>
  <c r="CE18" i="6" l="1"/>
  <c r="E723" i="15"/>
  <c r="E724" i="15"/>
  <c r="E731" i="15"/>
  <c r="E720" i="15"/>
  <c r="E727" i="15"/>
  <c r="E730" i="15"/>
  <c r="E761" i="15" l="1"/>
  <c r="CE59" i="6"/>
  <c r="E758" i="15"/>
  <c r="E751" i="15"/>
  <c r="E744" i="15"/>
  <c r="E737" i="15"/>
  <c r="E754" i="15"/>
  <c r="E740" i="15"/>
  <c r="E747" i="15"/>
  <c r="E726" i="15"/>
  <c r="E733" i="15"/>
  <c r="E719" i="15"/>
  <c r="E722" i="15"/>
  <c r="E729" i="15"/>
  <c r="E721" i="15"/>
  <c r="E728" i="15"/>
  <c r="BJ59" i="6" l="1"/>
  <c r="BI42" i="6"/>
  <c r="BI28" i="6"/>
  <c r="BI60" i="6" l="1"/>
  <c r="BI59" i="6"/>
  <c r="CE60" i="6" l="1"/>
  <c r="G942" i="15" l="1"/>
  <c r="G941" i="15"/>
  <c r="G940" i="15"/>
  <c r="G939" i="15"/>
  <c r="G938" i="15"/>
  <c r="G937" i="15"/>
  <c r="G936" i="15"/>
  <c r="F717" i="15"/>
  <c r="F716" i="15"/>
  <c r="F715" i="15"/>
  <c r="F714" i="15"/>
  <c r="F713" i="15"/>
  <c r="F712" i="15"/>
  <c r="F711" i="15"/>
  <c r="E717" i="15"/>
  <c r="E716" i="15"/>
  <c r="E715" i="15"/>
  <c r="E714" i="15"/>
  <c r="E713" i="15"/>
  <c r="E712" i="15"/>
  <c r="E711" i="15"/>
  <c r="E710" i="15"/>
  <c r="E709" i="15"/>
  <c r="E708" i="15"/>
  <c r="E707" i="15"/>
  <c r="E706" i="15"/>
  <c r="E705" i="15"/>
  <c r="E704" i="15"/>
  <c r="H492" i="15"/>
  <c r="H491" i="15"/>
  <c r="H490" i="15"/>
  <c r="H489" i="15"/>
  <c r="H488" i="15"/>
  <c r="H487" i="15"/>
  <c r="H486" i="15"/>
  <c r="H485" i="15"/>
  <c r="H484" i="15"/>
  <c r="H483" i="15"/>
  <c r="H482" i="15"/>
  <c r="H481" i="15"/>
  <c r="H480" i="15"/>
  <c r="H479" i="15"/>
  <c r="K492" i="15"/>
  <c r="K491" i="15"/>
  <c r="K490" i="15"/>
  <c r="K489" i="15"/>
  <c r="K488" i="15"/>
  <c r="K487" i="15"/>
  <c r="K486" i="15"/>
  <c r="S10" i="7"/>
  <c r="S9" i="7"/>
  <c r="E718" i="15"/>
  <c r="BJ61" i="6"/>
  <c r="BJ58" i="6"/>
  <c r="BJ57" i="6"/>
  <c r="BJ51" i="6"/>
  <c r="BJ50" i="6"/>
  <c r="BJ44" i="6"/>
  <c r="BJ43" i="6"/>
  <c r="BJ37" i="6"/>
  <c r="BJ36" i="6"/>
  <c r="BJ30" i="6"/>
  <c r="BJ29" i="6"/>
  <c r="BJ23" i="6"/>
  <c r="BJ22" i="6"/>
  <c r="BJ16" i="6"/>
  <c r="BJ15" i="6"/>
  <c r="CK13" i="5"/>
  <c r="EV13" i="5" s="1"/>
  <c r="CJ13" i="5"/>
  <c r="H43" i="6" l="1"/>
  <c r="CG13" i="5" l="1"/>
  <c r="G930" i="15"/>
  <c r="G931" i="15"/>
  <c r="G932" i="15"/>
  <c r="G933" i="15"/>
  <c r="G934" i="15"/>
  <c r="G935" i="15"/>
  <c r="G929" i="15"/>
  <c r="F710" i="15"/>
  <c r="F709" i="15"/>
  <c r="F708" i="15"/>
  <c r="F707" i="15"/>
  <c r="F706" i="15"/>
  <c r="F705" i="15"/>
  <c r="F704" i="15"/>
  <c r="K480" i="15"/>
  <c r="K481" i="15"/>
  <c r="K482" i="15"/>
  <c r="K483" i="15"/>
  <c r="K484" i="15"/>
  <c r="K485" i="15"/>
  <c r="K479" i="15"/>
  <c r="CD30" i="6"/>
  <c r="CC30" i="6"/>
  <c r="CB30" i="6"/>
  <c r="CA30" i="6"/>
  <c r="BZ30" i="6"/>
  <c r="BY30" i="6"/>
  <c r="BX30" i="6"/>
  <c r="BW30" i="6"/>
  <c r="BV30" i="6"/>
  <c r="BU30" i="6"/>
  <c r="BT30" i="6"/>
  <c r="BS30" i="6"/>
  <c r="BR30" i="6"/>
  <c r="BQ30" i="6"/>
  <c r="BP30" i="6"/>
  <c r="BO30" i="6"/>
  <c r="BN30" i="6"/>
  <c r="BM30" i="6"/>
  <c r="BL30" i="6"/>
  <c r="BK30" i="6"/>
  <c r="CD29" i="6"/>
  <c r="CC29" i="6"/>
  <c r="CB29" i="6"/>
  <c r="CA29" i="6"/>
  <c r="BZ29" i="6"/>
  <c r="BY29" i="6"/>
  <c r="BX29" i="6"/>
  <c r="ER29" i="6" s="1"/>
  <c r="BW29" i="6"/>
  <c r="BV29" i="6"/>
  <c r="BU29" i="6"/>
  <c r="BT29" i="6"/>
  <c r="BS29" i="6"/>
  <c r="BR29" i="6"/>
  <c r="BQ29" i="6"/>
  <c r="BP29" i="6"/>
  <c r="BO29" i="6"/>
  <c r="BN29" i="6"/>
  <c r="BM29" i="6"/>
  <c r="BL29" i="6"/>
  <c r="BK29" i="6"/>
  <c r="BI30" i="6"/>
  <c r="BI29" i="6"/>
  <c r="BH30" i="6"/>
  <c r="BH29" i="6"/>
  <c r="BG30" i="6"/>
  <c r="BG29" i="6"/>
  <c r="BF30" i="6"/>
  <c r="BF29" i="6"/>
  <c r="BH23" i="6"/>
  <c r="CD16" i="6"/>
  <c r="CC16" i="6"/>
  <c r="CB16" i="6"/>
  <c r="CA16" i="6"/>
  <c r="BZ16" i="6"/>
  <c r="BY16" i="6"/>
  <c r="BX16" i="6"/>
  <c r="BW16" i="6"/>
  <c r="BU16" i="6"/>
  <c r="BT16" i="6"/>
  <c r="BS16" i="6"/>
  <c r="BR16" i="6"/>
  <c r="BQ16" i="6"/>
  <c r="BP16" i="6"/>
  <c r="BO16" i="6"/>
  <c r="BN16" i="6"/>
  <c r="BM16" i="6"/>
  <c r="BL16" i="6"/>
  <c r="BK16" i="6"/>
  <c r="CD15" i="6"/>
  <c r="CC15" i="6"/>
  <c r="CB15" i="6"/>
  <c r="CA15" i="6"/>
  <c r="BZ15" i="6"/>
  <c r="BY15" i="6"/>
  <c r="BX15" i="6"/>
  <c r="ER15" i="6" s="1"/>
  <c r="BW15" i="6"/>
  <c r="BU15" i="6"/>
  <c r="BT15" i="6"/>
  <c r="BS15" i="6"/>
  <c r="BR15" i="6"/>
  <c r="BQ15" i="6"/>
  <c r="BP15" i="6"/>
  <c r="BO15" i="6"/>
  <c r="BM15" i="6"/>
  <c r="BL15" i="6"/>
  <c r="BK15" i="6"/>
  <c r="BI16" i="6"/>
  <c r="BI15" i="6"/>
  <c r="BH16" i="6"/>
  <c r="BG16" i="6"/>
  <c r="CC60" i="6"/>
  <c r="CA60" i="6"/>
  <c r="BZ60" i="6"/>
  <c r="BY60" i="6"/>
  <c r="BX60" i="6"/>
  <c r="BS60" i="6"/>
  <c r="BI51" i="6"/>
  <c r="BM44" i="6"/>
  <c r="BM43" i="6"/>
  <c r="BL44" i="6"/>
  <c r="BL43" i="6"/>
  <c r="BK44" i="6"/>
  <c r="BK43" i="6"/>
  <c r="BI44" i="6"/>
  <c r="BI43" i="6"/>
  <c r="BH44" i="6"/>
  <c r="BG44" i="6"/>
  <c r="CD37" i="6"/>
  <c r="CD36" i="6"/>
  <c r="CC37" i="6"/>
  <c r="CC36" i="6"/>
  <c r="CB37" i="6"/>
  <c r="CB36" i="6"/>
  <c r="BZ37" i="6"/>
  <c r="BZ36" i="6"/>
  <c r="CA37" i="6"/>
  <c r="CA36" i="6"/>
  <c r="BY37" i="6"/>
  <c r="BY36" i="6"/>
  <c r="BX37" i="6"/>
  <c r="BX36" i="6"/>
  <c r="BW37" i="6"/>
  <c r="BW36" i="6"/>
  <c r="ER36" i="6" s="1"/>
  <c r="BV37" i="6"/>
  <c r="BV36" i="6"/>
  <c r="BU37" i="6"/>
  <c r="BU36" i="6"/>
  <c r="BT37" i="6"/>
  <c r="BT36" i="6"/>
  <c r="BS37" i="6"/>
  <c r="BS36" i="6"/>
  <c r="BR37" i="6"/>
  <c r="BR36" i="6"/>
  <c r="BQ37" i="6"/>
  <c r="BQ36" i="6"/>
  <c r="BP37" i="6"/>
  <c r="BP36" i="6"/>
  <c r="BO37" i="6"/>
  <c r="BO36" i="6"/>
  <c r="BN37" i="6"/>
  <c r="BN36" i="6"/>
  <c r="BM37" i="6"/>
  <c r="BM36" i="6"/>
  <c r="BL37" i="6"/>
  <c r="BL36" i="6"/>
  <c r="BK37" i="6"/>
  <c r="BK36" i="6"/>
  <c r="BI37" i="6"/>
  <c r="BI36" i="6"/>
  <c r="BH37" i="6"/>
  <c r="BH36" i="6"/>
  <c r="BG37" i="6"/>
  <c r="BG36" i="6"/>
  <c r="BF37" i="6"/>
  <c r="BF36" i="6"/>
  <c r="ER37" i="6" l="1"/>
  <c r="ER16" i="6"/>
  <c r="ER30" i="6"/>
  <c r="CB60" i="6" l="1"/>
  <c r="CE29" i="6" l="1"/>
  <c r="CD51" i="6" l="1"/>
  <c r="CC51" i="6"/>
  <c r="CB51" i="6"/>
  <c r="CA51" i="6"/>
  <c r="BZ51" i="6"/>
  <c r="BY51" i="6"/>
  <c r="BX51" i="6"/>
  <c r="BW51" i="6"/>
  <c r="ER51" i="6" s="1"/>
  <c r="BV51" i="6"/>
  <c r="BU51" i="6"/>
  <c r="BT51" i="6"/>
  <c r="BS51" i="6"/>
  <c r="BR51" i="6"/>
  <c r="BQ51" i="6"/>
  <c r="BP51" i="6"/>
  <c r="BO51" i="6"/>
  <c r="BN51" i="6"/>
  <c r="BM51" i="6"/>
  <c r="BL51" i="6"/>
  <c r="BK51" i="6"/>
  <c r="BH51" i="6"/>
  <c r="BG51" i="6"/>
  <c r="CD50" i="6"/>
  <c r="CC50" i="6"/>
  <c r="CB50" i="6"/>
  <c r="CA50" i="6"/>
  <c r="BZ50" i="6"/>
  <c r="BY50" i="6"/>
  <c r="BX50" i="6"/>
  <c r="BW50" i="6"/>
  <c r="BV50" i="6"/>
  <c r="BU50" i="6"/>
  <c r="BT50" i="6"/>
  <c r="BS50" i="6"/>
  <c r="BR50" i="6"/>
  <c r="BQ50" i="6"/>
  <c r="BP50" i="6"/>
  <c r="BO50" i="6"/>
  <c r="BN50" i="6"/>
  <c r="BM50" i="6"/>
  <c r="BL50" i="6"/>
  <c r="BK50" i="6"/>
  <c r="BI50" i="6"/>
  <c r="BH50" i="6"/>
  <c r="BG50" i="6"/>
  <c r="CE30" i="6"/>
  <c r="ER50" i="6" l="1"/>
  <c r="CD23" i="6"/>
  <c r="CC23" i="6"/>
  <c r="CB23" i="6"/>
  <c r="CA23" i="6"/>
  <c r="BZ23" i="6"/>
  <c r="BY23" i="6"/>
  <c r="BX23" i="6"/>
  <c r="BW23" i="6"/>
  <c r="BV23" i="6"/>
  <c r="BU23" i="6"/>
  <c r="BT23" i="6"/>
  <c r="BS23" i="6"/>
  <c r="BR23" i="6"/>
  <c r="BQ23" i="6"/>
  <c r="BP23" i="6"/>
  <c r="BO23" i="6"/>
  <c r="BN23" i="6"/>
  <c r="BM23" i="6"/>
  <c r="BL23" i="6"/>
  <c r="BK23" i="6"/>
  <c r="BI23" i="6"/>
  <c r="CD22" i="6"/>
  <c r="CC22" i="6"/>
  <c r="CB22" i="6"/>
  <c r="CA22" i="6"/>
  <c r="BZ22" i="6"/>
  <c r="BY22" i="6"/>
  <c r="BX22" i="6"/>
  <c r="BW22" i="6"/>
  <c r="BV22" i="6"/>
  <c r="BU22" i="6"/>
  <c r="BT22" i="6"/>
  <c r="BS22" i="6"/>
  <c r="BR22" i="6"/>
  <c r="BQ22" i="6"/>
  <c r="BP22" i="6"/>
  <c r="BO22" i="6"/>
  <c r="BN22" i="6"/>
  <c r="BM22" i="6"/>
  <c r="BL22" i="6"/>
  <c r="BK22" i="6"/>
  <c r="BI22" i="6"/>
  <c r="BH22" i="6"/>
  <c r="BG23" i="6"/>
  <c r="BG22" i="6"/>
  <c r="BF23" i="6"/>
  <c r="BF22" i="6"/>
  <c r="BG15" i="6"/>
  <c r="ER22" i="6" l="1"/>
  <c r="ER23" i="6"/>
  <c r="CE57" i="6"/>
  <c r="CE43" i="6"/>
  <c r="CE37" i="6"/>
  <c r="CE36" i="6"/>
  <c r="CE23" i="6"/>
  <c r="CE22" i="6"/>
  <c r="BH15" i="6"/>
  <c r="BF15" i="6"/>
  <c r="CJ16" i="5"/>
  <c r="EV16" i="5" s="1"/>
  <c r="CJ15" i="5"/>
  <c r="EV15" i="5" s="1"/>
  <c r="BI12" i="5"/>
  <c r="CG12" i="5" l="1"/>
  <c r="CJ12" i="5"/>
  <c r="EV12" i="5" s="1"/>
  <c r="CH12" i="5"/>
  <c r="EU12" i="5" s="1"/>
  <c r="CE15" i="6"/>
  <c r="CH60" i="6"/>
  <c r="CE50" i="6"/>
  <c r="CE51" i="6"/>
  <c r="CE16" i="6"/>
  <c r="BH12" i="5" l="1"/>
  <c r="BE15" i="5" l="1"/>
  <c r="BC45" i="6"/>
  <c r="BC38" i="6"/>
  <c r="BB41" i="6"/>
  <c r="BB43" i="6" s="1"/>
  <c r="BB40" i="6"/>
  <c r="BB38" i="6"/>
  <c r="BA41" i="6"/>
  <c r="BA40" i="6"/>
  <c r="BA38" i="6"/>
  <c r="BE55" i="6"/>
  <c r="BE52" i="6"/>
  <c r="BD56" i="6"/>
  <c r="BD55" i="6"/>
  <c r="BD54" i="6"/>
  <c r="BD52" i="6"/>
  <c r="H474" i="15" s="1"/>
  <c r="BC55" i="6"/>
  <c r="BC52" i="6"/>
  <c r="BB56" i="6"/>
  <c r="BB55" i="6"/>
  <c r="BB54" i="6"/>
  <c r="BB52" i="6"/>
  <c r="BA56" i="6"/>
  <c r="BA55" i="6"/>
  <c r="BA54" i="6"/>
  <c r="BA52" i="6"/>
  <c r="BE45" i="6"/>
  <c r="BC48" i="6"/>
  <c r="BC50" i="6" s="1"/>
  <c r="BB48" i="6"/>
  <c r="BB47" i="6"/>
  <c r="BB46" i="6"/>
  <c r="BB45" i="6"/>
  <c r="BA48" i="6"/>
  <c r="BA47" i="6"/>
  <c r="BA46" i="6"/>
  <c r="E698" i="15" s="1"/>
  <c r="BE41" i="6"/>
  <c r="BE38" i="6"/>
  <c r="BD41" i="6"/>
  <c r="BD38" i="6"/>
  <c r="H465" i="15" s="1"/>
  <c r="BC41" i="6"/>
  <c r="BD31" i="6"/>
  <c r="H443" i="15" s="1"/>
  <c r="BC34" i="6"/>
  <c r="BC31" i="6"/>
  <c r="BC36" i="6" s="1"/>
  <c r="BB35" i="6"/>
  <c r="BB34" i="6"/>
  <c r="BB33" i="6"/>
  <c r="BB31" i="6"/>
  <c r="BA31" i="6"/>
  <c r="BE24" i="6"/>
  <c r="BD24" i="6"/>
  <c r="G24" i="6" s="1"/>
  <c r="BC24" i="6"/>
  <c r="BC27" i="6"/>
  <c r="BB27" i="6"/>
  <c r="BB29" i="6" s="1"/>
  <c r="BB24" i="6"/>
  <c r="BA24" i="6"/>
  <c r="BE17" i="6"/>
  <c r="BD17" i="6"/>
  <c r="G17" i="6" s="1"/>
  <c r="BC20" i="6"/>
  <c r="BC17" i="6"/>
  <c r="BB21" i="6"/>
  <c r="BB20" i="6"/>
  <c r="BB19" i="6"/>
  <c r="BB17" i="6"/>
  <c r="BA21" i="6"/>
  <c r="BA20" i="6"/>
  <c r="BA19" i="6"/>
  <c r="BA17" i="6"/>
  <c r="BA22" i="6" s="1"/>
  <c r="BE13" i="6"/>
  <c r="BE10" i="6"/>
  <c r="BD13" i="6"/>
  <c r="BD11" i="6"/>
  <c r="BD10" i="6"/>
  <c r="BC13" i="6"/>
  <c r="BC10" i="6"/>
  <c r="BB13" i="6"/>
  <c r="BB11" i="6"/>
  <c r="BB10" i="6"/>
  <c r="BA13" i="6"/>
  <c r="BA11" i="6"/>
  <c r="E693" i="15" s="1"/>
  <c r="BA10" i="6"/>
  <c r="AZ60" i="6"/>
  <c r="AZ61" i="6" s="1"/>
  <c r="AZ59" i="6"/>
  <c r="AZ58" i="6"/>
  <c r="AZ57" i="6"/>
  <c r="AZ51" i="6"/>
  <c r="AZ50" i="6"/>
  <c r="AZ44" i="6"/>
  <c r="AZ43" i="6"/>
  <c r="AZ37" i="6"/>
  <c r="AZ36" i="6"/>
  <c r="AZ30" i="6"/>
  <c r="AZ29" i="6"/>
  <c r="AZ23" i="6"/>
  <c r="AZ22" i="6"/>
  <c r="AZ16" i="6"/>
  <c r="AZ15" i="6"/>
  <c r="I14" i="5"/>
  <c r="BG16" i="5"/>
  <c r="BG15" i="5"/>
  <c r="BG14" i="5"/>
  <c r="BG13" i="5"/>
  <c r="BG12" i="5"/>
  <c r="BF16" i="5"/>
  <c r="BF12" i="5"/>
  <c r="BE16" i="5"/>
  <c r="BE14" i="5"/>
  <c r="BE13" i="5"/>
  <c r="BE12" i="5"/>
  <c r="BD14" i="5"/>
  <c r="BD13" i="5"/>
  <c r="BD12" i="5"/>
  <c r="BC12" i="5"/>
  <c r="AY45" i="6"/>
  <c r="BA45" i="6" s="1"/>
  <c r="G919" i="15"/>
  <c r="G924" i="15"/>
  <c r="G923" i="15"/>
  <c r="G922" i="15"/>
  <c r="G921" i="15"/>
  <c r="G920" i="15"/>
  <c r="G918" i="15"/>
  <c r="K468" i="15"/>
  <c r="K474" i="15"/>
  <c r="K473" i="15"/>
  <c r="K472" i="15"/>
  <c r="K471" i="15"/>
  <c r="K470" i="15"/>
  <c r="K469" i="15"/>
  <c r="AX60" i="6"/>
  <c r="BD46" i="6"/>
  <c r="H467" i="15"/>
  <c r="BD40" i="6"/>
  <c r="BE31" i="6"/>
  <c r="H472" i="15"/>
  <c r="H461" i="15"/>
  <c r="AX59" i="6"/>
  <c r="AX58" i="6"/>
  <c r="AX57" i="6"/>
  <c r="AX51" i="6"/>
  <c r="AX50" i="6"/>
  <c r="AX44" i="6"/>
  <c r="AX43" i="6"/>
  <c r="AX37" i="6"/>
  <c r="AX36" i="6"/>
  <c r="AX30" i="6"/>
  <c r="AX29" i="6"/>
  <c r="AX23" i="6"/>
  <c r="AX22" i="6"/>
  <c r="AX16" i="6"/>
  <c r="AX15" i="6"/>
  <c r="BF14" i="5"/>
  <c r="G913" i="15"/>
  <c r="G917" i="15"/>
  <c r="G916" i="15"/>
  <c r="G915" i="15"/>
  <c r="G914" i="15"/>
  <c r="G912" i="15"/>
  <c r="G911" i="15"/>
  <c r="G925" i="15"/>
  <c r="K467" i="15"/>
  <c r="K466" i="15"/>
  <c r="K465" i="15"/>
  <c r="K464" i="15"/>
  <c r="K463" i="15"/>
  <c r="K462" i="15"/>
  <c r="K461" i="15"/>
  <c r="BD33" i="6"/>
  <c r="BD47" i="6"/>
  <c r="BE20" i="6"/>
  <c r="AV60" i="6"/>
  <c r="AV59" i="6"/>
  <c r="AV58" i="6"/>
  <c r="AV57" i="6"/>
  <c r="AV51" i="6"/>
  <c r="AV50" i="6"/>
  <c r="AV44" i="6"/>
  <c r="AV43" i="6"/>
  <c r="AV37" i="6"/>
  <c r="AV36" i="6"/>
  <c r="AV30" i="6"/>
  <c r="AV29" i="6"/>
  <c r="AV23" i="6"/>
  <c r="AV22" i="6"/>
  <c r="AV16" i="6"/>
  <c r="AV15" i="6"/>
  <c r="AT43" i="6"/>
  <c r="AT44" i="6"/>
  <c r="BF13" i="5"/>
  <c r="BC14" i="5"/>
  <c r="AM60" i="6"/>
  <c r="AM61" i="6" s="1"/>
  <c r="AK60" i="6"/>
  <c r="AC60" i="6"/>
  <c r="AT60" i="6"/>
  <c r="AS42" i="6"/>
  <c r="BB42" i="6" s="1"/>
  <c r="AS28" i="6"/>
  <c r="AS14" i="6"/>
  <c r="BB14" i="6" s="1"/>
  <c r="BB16" i="6" s="1"/>
  <c r="G910" i="15"/>
  <c r="G909" i="15"/>
  <c r="G908" i="15"/>
  <c r="G907" i="15"/>
  <c r="G906" i="15"/>
  <c r="G905" i="15"/>
  <c r="G904" i="15"/>
  <c r="K455" i="15"/>
  <c r="K456" i="15"/>
  <c r="K457" i="15"/>
  <c r="K458" i="15"/>
  <c r="K459" i="15"/>
  <c r="K460" i="15"/>
  <c r="H460" i="15"/>
  <c r="H454" i="15"/>
  <c r="AS53" i="6"/>
  <c r="AS39" i="6"/>
  <c r="AS44" i="6" s="1"/>
  <c r="AS32" i="6"/>
  <c r="AS25" i="6"/>
  <c r="AS18" i="6"/>
  <c r="AT58" i="6"/>
  <c r="AT57" i="6"/>
  <c r="AT30" i="6"/>
  <c r="AT29" i="6"/>
  <c r="AT23" i="6"/>
  <c r="AT22" i="6"/>
  <c r="AT16" i="6"/>
  <c r="AT15" i="6"/>
  <c r="BE34" i="6"/>
  <c r="AR30" i="6"/>
  <c r="AR29" i="6"/>
  <c r="AQ49" i="6"/>
  <c r="AB60" i="6"/>
  <c r="BE48" i="6"/>
  <c r="BE27" i="6"/>
  <c r="G903" i="15"/>
  <c r="G902" i="15"/>
  <c r="G901" i="15"/>
  <c r="G900" i="15"/>
  <c r="G899" i="15"/>
  <c r="G898" i="15"/>
  <c r="G897" i="15"/>
  <c r="K453" i="15"/>
  <c r="K452" i="15"/>
  <c r="K451" i="15"/>
  <c r="K450" i="15"/>
  <c r="K449" i="15"/>
  <c r="K448" i="15"/>
  <c r="K447" i="15"/>
  <c r="H450" i="15"/>
  <c r="H448" i="15"/>
  <c r="H447" i="15"/>
  <c r="AQ60" i="6"/>
  <c r="AU53" i="6"/>
  <c r="AQ53" i="6"/>
  <c r="AQ59" i="6" s="1"/>
  <c r="AQ61" i="6" s="1"/>
  <c r="AU39" i="6"/>
  <c r="AQ39" i="6"/>
  <c r="AQ32" i="6"/>
  <c r="BB32" i="6" s="1"/>
  <c r="AU25" i="6"/>
  <c r="AU59" i="6" s="1"/>
  <c r="AU18" i="6"/>
  <c r="AQ18" i="6"/>
  <c r="BB18" i="6" s="1"/>
  <c r="BB23" i="6" s="1"/>
  <c r="AR58" i="6"/>
  <c r="AR57" i="6"/>
  <c r="AR16" i="6"/>
  <c r="AR15" i="6"/>
  <c r="AR23" i="6"/>
  <c r="AR22" i="6"/>
  <c r="AR44" i="6"/>
  <c r="AR43" i="6"/>
  <c r="G896" i="15"/>
  <c r="G895" i="15"/>
  <c r="G894" i="15"/>
  <c r="G893" i="15"/>
  <c r="G892" i="15"/>
  <c r="G891" i="15"/>
  <c r="G890" i="15"/>
  <c r="H440" i="15"/>
  <c r="K446" i="15"/>
  <c r="K445" i="15"/>
  <c r="K444" i="15"/>
  <c r="K443" i="15"/>
  <c r="K442" i="15"/>
  <c r="K441" i="15"/>
  <c r="K440" i="15"/>
  <c r="AP57" i="6"/>
  <c r="AP43" i="6"/>
  <c r="AP29" i="6"/>
  <c r="AP22" i="6"/>
  <c r="AP15" i="6"/>
  <c r="Z50" i="6"/>
  <c r="AM43" i="6"/>
  <c r="AP58" i="6"/>
  <c r="AP51" i="6"/>
  <c r="AP44" i="6"/>
  <c r="AP37" i="6"/>
  <c r="AP30" i="6"/>
  <c r="AP23" i="6"/>
  <c r="AP16" i="6"/>
  <c r="G884" i="15"/>
  <c r="G889" i="15"/>
  <c r="G888" i="15"/>
  <c r="G887" i="15"/>
  <c r="G886" i="15"/>
  <c r="G885" i="15"/>
  <c r="G883" i="15"/>
  <c r="G876" i="15"/>
  <c r="H433" i="15"/>
  <c r="K434" i="15"/>
  <c r="K435" i="15"/>
  <c r="K436" i="15"/>
  <c r="K437" i="15"/>
  <c r="K438" i="15"/>
  <c r="K439" i="15"/>
  <c r="G882" i="15"/>
  <c r="G881" i="15"/>
  <c r="G880" i="15"/>
  <c r="G879" i="15"/>
  <c r="G878" i="15"/>
  <c r="G877" i="15"/>
  <c r="H426" i="15"/>
  <c r="K427" i="15"/>
  <c r="K428" i="15"/>
  <c r="K429" i="15"/>
  <c r="K430" i="15"/>
  <c r="K431" i="15"/>
  <c r="K432" i="15"/>
  <c r="K425" i="15"/>
  <c r="G1024" i="15"/>
  <c r="G1023" i="15"/>
  <c r="G1022" i="15"/>
  <c r="G1021" i="15"/>
  <c r="G1020" i="15"/>
  <c r="G1019" i="15"/>
  <c r="G1018" i="15"/>
  <c r="G1017" i="15"/>
  <c r="G1016" i="15"/>
  <c r="G1015" i="15"/>
  <c r="G1014" i="15"/>
  <c r="G1013" i="15"/>
  <c r="G1009" i="15"/>
  <c r="G1008" i="15"/>
  <c r="G1007" i="15"/>
  <c r="G1006" i="15"/>
  <c r="G1005" i="15"/>
  <c r="G1004" i="15"/>
  <c r="G1003" i="15"/>
  <c r="G1002" i="15"/>
  <c r="G1001" i="15"/>
  <c r="G1000" i="15"/>
  <c r="G999" i="15"/>
  <c r="G998" i="15"/>
  <c r="G994" i="15"/>
  <c r="G993" i="15"/>
  <c r="G992" i="15"/>
  <c r="G872" i="15"/>
  <c r="G869" i="15"/>
  <c r="G865" i="15"/>
  <c r="G862" i="15"/>
  <c r="G858" i="15"/>
  <c r="G855" i="15"/>
  <c r="G851" i="15"/>
  <c r="G848" i="15"/>
  <c r="G841" i="15"/>
  <c r="G838" i="15"/>
  <c r="H837" i="15"/>
  <c r="H836" i="15"/>
  <c r="H835" i="15"/>
  <c r="H834" i="15"/>
  <c r="G834" i="15"/>
  <c r="H833" i="15"/>
  <c r="H832" i="15"/>
  <c r="H831" i="15"/>
  <c r="G831" i="15"/>
  <c r="G827" i="15"/>
  <c r="G824" i="15"/>
  <c r="H823" i="15"/>
  <c r="H822" i="15"/>
  <c r="H821" i="15"/>
  <c r="H820" i="15"/>
  <c r="G820" i="15"/>
  <c r="H819" i="15"/>
  <c r="H818" i="15"/>
  <c r="H817" i="15"/>
  <c r="G817" i="15"/>
  <c r="H816" i="15"/>
  <c r="H815" i="15"/>
  <c r="H814" i="15"/>
  <c r="H813" i="15"/>
  <c r="G813" i="15"/>
  <c r="H812" i="15"/>
  <c r="H811" i="15"/>
  <c r="H810" i="15"/>
  <c r="G810" i="15"/>
  <c r="H809" i="15"/>
  <c r="H808" i="15"/>
  <c r="H807" i="15"/>
  <c r="H806" i="15"/>
  <c r="G806" i="15"/>
  <c r="H805" i="15"/>
  <c r="H804" i="15"/>
  <c r="H803" i="15"/>
  <c r="G803" i="15"/>
  <c r="K574" i="15"/>
  <c r="K573" i="15"/>
  <c r="K572" i="15"/>
  <c r="K571" i="15"/>
  <c r="K570" i="15"/>
  <c r="K569" i="15"/>
  <c r="K568" i="15"/>
  <c r="K567" i="15"/>
  <c r="K566" i="15"/>
  <c r="K565" i="15"/>
  <c r="K564" i="15"/>
  <c r="K563" i="15"/>
  <c r="K559" i="15"/>
  <c r="K558" i="15"/>
  <c r="K557" i="15"/>
  <c r="K556" i="15"/>
  <c r="K555" i="15"/>
  <c r="K554" i="15"/>
  <c r="K553" i="15"/>
  <c r="K552" i="15"/>
  <c r="K551" i="15"/>
  <c r="K550" i="15"/>
  <c r="K549" i="15"/>
  <c r="K548" i="15"/>
  <c r="K544" i="15"/>
  <c r="K543" i="15"/>
  <c r="K542" i="15"/>
  <c r="K500" i="15"/>
  <c r="K475" i="15"/>
  <c r="K454" i="15"/>
  <c r="K433" i="15"/>
  <c r="K426" i="15"/>
  <c r="K424" i="15"/>
  <c r="K423" i="15"/>
  <c r="K422" i="15"/>
  <c r="K421" i="15"/>
  <c r="K420" i="15"/>
  <c r="K419" i="15"/>
  <c r="K418" i="15"/>
  <c r="K417" i="15"/>
  <c r="K416" i="15"/>
  <c r="K415" i="15"/>
  <c r="K414" i="15"/>
  <c r="K413" i="15"/>
  <c r="K412" i="15"/>
  <c r="K411" i="15"/>
  <c r="K410" i="15"/>
  <c r="K409" i="15"/>
  <c r="K408" i="15"/>
  <c r="K407" i="15"/>
  <c r="K406" i="15"/>
  <c r="K405" i="15"/>
  <c r="K404" i="15"/>
  <c r="K403" i="15"/>
  <c r="K402" i="15"/>
  <c r="K401" i="15"/>
  <c r="K400" i="15"/>
  <c r="K399" i="15"/>
  <c r="K398" i="15"/>
  <c r="K394" i="15"/>
  <c r="K393" i="15"/>
  <c r="K392" i="15"/>
  <c r="K391" i="15"/>
  <c r="K390" i="15"/>
  <c r="K389" i="15"/>
  <c r="K388" i="15"/>
  <c r="K387" i="15"/>
  <c r="K386" i="15"/>
  <c r="K385" i="15"/>
  <c r="K384" i="15"/>
  <c r="K383" i="15"/>
  <c r="K382" i="15"/>
  <c r="K381" i="15"/>
  <c r="H830" i="15"/>
  <c r="K380" i="15"/>
  <c r="H829" i="15"/>
  <c r="K379" i="15"/>
  <c r="H828" i="15"/>
  <c r="K378" i="15"/>
  <c r="H827" i="15"/>
  <c r="K377" i="15"/>
  <c r="H826" i="15"/>
  <c r="K376" i="15"/>
  <c r="H825" i="15"/>
  <c r="K375" i="15"/>
  <c r="H824" i="15"/>
  <c r="K374" i="15"/>
  <c r="K373" i="15"/>
  <c r="K372" i="15"/>
  <c r="K371" i="15"/>
  <c r="K370" i="15"/>
  <c r="K369" i="15"/>
  <c r="K368" i="15"/>
  <c r="K367" i="15"/>
  <c r="K366" i="15"/>
  <c r="K365" i="15"/>
  <c r="K364" i="15"/>
  <c r="K363" i="15"/>
  <c r="K362" i="15"/>
  <c r="K361" i="15"/>
  <c r="K360" i="15"/>
  <c r="K359" i="15"/>
  <c r="K358" i="15"/>
  <c r="K357" i="15"/>
  <c r="K356" i="15"/>
  <c r="K355" i="15"/>
  <c r="K354" i="15"/>
  <c r="K353" i="15"/>
  <c r="H349" i="15"/>
  <c r="H348" i="15"/>
  <c r="H347" i="15"/>
  <c r="H346" i="15"/>
  <c r="H345" i="15"/>
  <c r="H344" i="15"/>
  <c r="H343" i="15"/>
  <c r="H342" i="15"/>
  <c r="H341" i="15"/>
  <c r="H340" i="15"/>
  <c r="H339" i="15"/>
  <c r="H338" i="15"/>
  <c r="H334" i="15"/>
  <c r="H333" i="15"/>
  <c r="H332" i="15"/>
  <c r="H331" i="15"/>
  <c r="H330" i="15"/>
  <c r="H329" i="15"/>
  <c r="H328" i="15"/>
  <c r="H327" i="15"/>
  <c r="H326" i="15"/>
  <c r="H325" i="15"/>
  <c r="H324" i="15"/>
  <c r="H323" i="15"/>
  <c r="H319" i="15"/>
  <c r="H318" i="15"/>
  <c r="H68" i="15"/>
  <c r="H67" i="15"/>
  <c r="H66" i="15"/>
  <c r="H65" i="15"/>
  <c r="H63" i="15"/>
  <c r="H62" i="15"/>
  <c r="H61" i="15"/>
  <c r="H60" i="15"/>
  <c r="H59" i="15"/>
  <c r="G860" i="15"/>
  <c r="G808" i="15"/>
  <c r="G837" i="15"/>
  <c r="G856" i="15"/>
  <c r="G861" i="15"/>
  <c r="G822" i="15"/>
  <c r="G840" i="15"/>
  <c r="G850" i="15"/>
  <c r="G870" i="15"/>
  <c r="G866" i="15"/>
  <c r="G875" i="15"/>
  <c r="G819" i="15"/>
  <c r="G833" i="15"/>
  <c r="G836" i="15"/>
  <c r="G852" i="15"/>
  <c r="G816" i="15"/>
  <c r="G828" i="15"/>
  <c r="G835" i="15"/>
  <c r="G873" i="15"/>
  <c r="G868" i="15"/>
  <c r="G839" i="15"/>
  <c r="G843" i="15"/>
  <c r="G863" i="15"/>
  <c r="G853" i="15"/>
  <c r="G804" i="15"/>
  <c r="G807" i="15"/>
  <c r="G823" i="15"/>
  <c r="G825" i="15"/>
  <c r="G842" i="15"/>
  <c r="G871" i="15"/>
  <c r="G809" i="15"/>
  <c r="G812" i="15"/>
  <c r="G815" i="15"/>
  <c r="G818" i="15"/>
  <c r="G821" i="15"/>
  <c r="G826" i="15"/>
  <c r="G830" i="15"/>
  <c r="G832" i="15"/>
  <c r="G849" i="15"/>
  <c r="G854" i="15"/>
  <c r="G859" i="15"/>
  <c r="G864" i="15"/>
  <c r="G874" i="15"/>
  <c r="G805" i="15"/>
  <c r="G811" i="15"/>
  <c r="G814" i="15"/>
  <c r="G829" i="15"/>
  <c r="G844" i="15"/>
  <c r="G857" i="15"/>
  <c r="G867" i="15"/>
  <c r="AM59" i="6"/>
  <c r="AS49" i="6"/>
  <c r="BA49" i="6" s="1"/>
  <c r="AY30" i="6"/>
  <c r="AY29" i="6"/>
  <c r="AW30" i="6"/>
  <c r="AW29" i="6"/>
  <c r="AU29" i="6"/>
  <c r="AS29" i="6"/>
  <c r="AQ30" i="6"/>
  <c r="AQ29" i="6"/>
  <c r="AO30" i="6"/>
  <c r="AO29" i="6"/>
  <c r="AN30" i="6"/>
  <c r="AN29" i="6"/>
  <c r="AM30" i="6"/>
  <c r="AM29" i="6"/>
  <c r="AL29" i="6"/>
  <c r="BD21" i="6"/>
  <c r="BD20" i="6"/>
  <c r="G20" i="6" s="1"/>
  <c r="BD19" i="6"/>
  <c r="AN60" i="6"/>
  <c r="AN59" i="6"/>
  <c r="AN58" i="6"/>
  <c r="AN57" i="6"/>
  <c r="AN51" i="6"/>
  <c r="AN50" i="6"/>
  <c r="AN44" i="6"/>
  <c r="AN43" i="6"/>
  <c r="AN37" i="6"/>
  <c r="AN36" i="6"/>
  <c r="AN23" i="6"/>
  <c r="AN22" i="6"/>
  <c r="AN16" i="6"/>
  <c r="AN15" i="6"/>
  <c r="BC15" i="5"/>
  <c r="AN61" i="6"/>
  <c r="AJ54" i="6"/>
  <c r="AL54" i="6" s="1"/>
  <c r="BC54" i="6" s="1"/>
  <c r="AF56" i="6"/>
  <c r="AH56" i="6" s="1"/>
  <c r="AJ56" i="6" s="1"/>
  <c r="AL56" i="6" s="1"/>
  <c r="AF53" i="6"/>
  <c r="AF49" i="6"/>
  <c r="AJ47" i="6"/>
  <c r="AF46" i="6"/>
  <c r="AF51" i="6" s="1"/>
  <c r="AF42" i="6"/>
  <c r="AF39" i="6"/>
  <c r="AH39" i="6" s="1"/>
  <c r="AJ33" i="6"/>
  <c r="AF32" i="6"/>
  <c r="AH32" i="6" s="1"/>
  <c r="AJ32" i="6" s="1"/>
  <c r="AL32" i="6" s="1"/>
  <c r="BE32" i="6" s="1"/>
  <c r="AL36" i="6"/>
  <c r="AF35" i="6"/>
  <c r="AF28" i="6"/>
  <c r="AJ26" i="6"/>
  <c r="AL26" i="6" s="1"/>
  <c r="BE26" i="6" s="1"/>
  <c r="AL12" i="6"/>
  <c r="BE12" i="6" s="1"/>
  <c r="AF14" i="6"/>
  <c r="AH14" i="6" s="1"/>
  <c r="AJ14" i="6" s="1"/>
  <c r="AF11" i="6"/>
  <c r="AJ40" i="6"/>
  <c r="AL40" i="6" s="1"/>
  <c r="AI26" i="6"/>
  <c r="BB26" i="6" s="1"/>
  <c r="AJ19" i="6"/>
  <c r="AL19" i="6" s="1"/>
  <c r="AE28" i="6"/>
  <c r="AF25" i="6"/>
  <c r="AH25" i="6" s="1"/>
  <c r="AF21" i="6"/>
  <c r="AF18" i="6"/>
  <c r="AH18" i="6" s="1"/>
  <c r="AH49" i="6"/>
  <c r="AJ49" i="6" s="1"/>
  <c r="AL49" i="6" s="1"/>
  <c r="AL47" i="6"/>
  <c r="AH11" i="6"/>
  <c r="AJ11" i="6" s="1"/>
  <c r="AL11" i="6" s="1"/>
  <c r="AH28" i="6"/>
  <c r="AJ28" i="6" s="1"/>
  <c r="AH53" i="6"/>
  <c r="AB59" i="6"/>
  <c r="BC13" i="5"/>
  <c r="U65" i="7"/>
  <c r="T65" i="7"/>
  <c r="S64" i="7"/>
  <c r="S63" i="7"/>
  <c r="S62" i="7"/>
  <c r="S61" i="7"/>
  <c r="S60" i="7"/>
  <c r="S59" i="7"/>
  <c r="S58" i="7"/>
  <c r="S57" i="7"/>
  <c r="S56" i="7"/>
  <c r="S55" i="7"/>
  <c r="S54" i="7"/>
  <c r="S53" i="7"/>
  <c r="S52" i="7"/>
  <c r="S51" i="7"/>
  <c r="S50" i="7"/>
  <c r="S49" i="7"/>
  <c r="S48" i="7"/>
  <c r="S47" i="7"/>
  <c r="S46" i="7"/>
  <c r="S45" i="7"/>
  <c r="S44" i="7"/>
  <c r="S43" i="7"/>
  <c r="S42" i="7"/>
  <c r="S41" i="7"/>
  <c r="S40" i="7"/>
  <c r="S39" i="7"/>
  <c r="S38" i="7"/>
  <c r="S37" i="7"/>
  <c r="S36" i="7"/>
  <c r="S35" i="7"/>
  <c r="S34" i="7"/>
  <c r="S33" i="7"/>
  <c r="S32" i="7"/>
  <c r="S31" i="7"/>
  <c r="S30" i="7"/>
  <c r="S29" i="7"/>
  <c r="S28" i="7"/>
  <c r="S27" i="7"/>
  <c r="S26" i="7"/>
  <c r="S25" i="7"/>
  <c r="S24" i="7"/>
  <c r="S23" i="7"/>
  <c r="S22" i="7"/>
  <c r="S21" i="7"/>
  <c r="S20" i="7"/>
  <c r="S19" i="7"/>
  <c r="S18" i="7"/>
  <c r="S17" i="7"/>
  <c r="S16" i="7"/>
  <c r="S15" i="7"/>
  <c r="S14" i="7"/>
  <c r="S13" i="7"/>
  <c r="S12" i="7"/>
  <c r="S11" i="7"/>
  <c r="BF16" i="6"/>
  <c r="AK30" i="6"/>
  <c r="AK29" i="6"/>
  <c r="AJ29" i="6"/>
  <c r="AI30" i="6"/>
  <c r="AI29" i="6"/>
  <c r="AH29" i="6"/>
  <c r="AG30" i="6"/>
  <c r="AG29" i="6"/>
  <c r="AF30" i="6"/>
  <c r="AF29" i="6"/>
  <c r="AE30" i="6"/>
  <c r="AE29" i="6"/>
  <c r="AD30" i="6"/>
  <c r="AD29" i="6"/>
  <c r="AC30" i="6"/>
  <c r="AC29" i="6"/>
  <c r="AB30" i="6"/>
  <c r="AB29" i="6"/>
  <c r="AA30" i="6"/>
  <c r="AA29" i="6"/>
  <c r="Z30" i="6"/>
  <c r="Z29" i="6"/>
  <c r="H60" i="6"/>
  <c r="CD60" i="6"/>
  <c r="AW60" i="6"/>
  <c r="AU60" i="6"/>
  <c r="AR60" i="6"/>
  <c r="AP60" i="6"/>
  <c r="AO60" i="6"/>
  <c r="AI60" i="6"/>
  <c r="AG60" i="6"/>
  <c r="AD60" i="6"/>
  <c r="AA60" i="6"/>
  <c r="Z60" i="6"/>
  <c r="Y60" i="6"/>
  <c r="X60" i="6"/>
  <c r="W60" i="6"/>
  <c r="V60" i="6"/>
  <c r="U60" i="6"/>
  <c r="T60" i="6"/>
  <c r="S60" i="6"/>
  <c r="R60" i="6"/>
  <c r="Q60" i="6"/>
  <c r="P60" i="6"/>
  <c r="O60" i="6"/>
  <c r="N60" i="6"/>
  <c r="M60" i="6"/>
  <c r="L60" i="6"/>
  <c r="K60" i="6"/>
  <c r="J60" i="6"/>
  <c r="I60" i="6"/>
  <c r="CD59" i="6"/>
  <c r="CC59" i="6"/>
  <c r="CB59" i="6"/>
  <c r="CB61" i="6" s="1"/>
  <c r="CA59" i="6"/>
  <c r="BZ59" i="6"/>
  <c r="BY59" i="6"/>
  <c r="BX59" i="6"/>
  <c r="BX61" i="6" s="1"/>
  <c r="BT59" i="6"/>
  <c r="BT61" i="6" s="1"/>
  <c r="BS59" i="6"/>
  <c r="BS61" i="6" s="1"/>
  <c r="BR59" i="6"/>
  <c r="BQ59" i="6"/>
  <c r="BP59" i="6"/>
  <c r="BO59" i="6"/>
  <c r="BM59" i="6"/>
  <c r="BK59" i="6"/>
  <c r="BH59" i="6"/>
  <c r="BG59" i="6"/>
  <c r="BF59" i="6"/>
  <c r="AY59" i="6"/>
  <c r="AW59" i="6"/>
  <c r="AT59" i="6"/>
  <c r="AT61" i="6" s="1"/>
  <c r="AR59" i="6"/>
  <c r="AP59" i="6"/>
  <c r="AO59" i="6"/>
  <c r="AK59" i="6"/>
  <c r="AI59" i="6"/>
  <c r="AI61" i="6" s="1"/>
  <c r="AG59" i="6"/>
  <c r="AE59" i="6"/>
  <c r="AD59" i="6"/>
  <c r="AC59" i="6"/>
  <c r="AA59" i="6"/>
  <c r="Z59" i="6"/>
  <c r="Y59" i="6"/>
  <c r="X59" i="6"/>
  <c r="W59" i="6"/>
  <c r="V59" i="6"/>
  <c r="U59" i="6"/>
  <c r="T59" i="6"/>
  <c r="S59" i="6"/>
  <c r="R59" i="6"/>
  <c r="Q59" i="6"/>
  <c r="P59" i="6"/>
  <c r="O59" i="6"/>
  <c r="N59" i="6"/>
  <c r="M59" i="6"/>
  <c r="L59" i="6"/>
  <c r="K59" i="6"/>
  <c r="J59" i="6"/>
  <c r="I59" i="6"/>
  <c r="H59" i="6"/>
  <c r="AG61" i="6"/>
  <c r="AB58" i="6"/>
  <c r="AB57" i="6"/>
  <c r="CD58" i="6"/>
  <c r="CC58" i="6"/>
  <c r="CB58" i="6"/>
  <c r="CA58" i="6"/>
  <c r="BZ58" i="6"/>
  <c r="BY58" i="6"/>
  <c r="BX58" i="6"/>
  <c r="BW58" i="6"/>
  <c r="BV58" i="6"/>
  <c r="BU58" i="6"/>
  <c r="BT58" i="6"/>
  <c r="BS58" i="6"/>
  <c r="BR58" i="6"/>
  <c r="BQ58" i="6"/>
  <c r="BP58" i="6"/>
  <c r="BO58" i="6"/>
  <c r="BM58" i="6"/>
  <c r="BI58" i="6"/>
  <c r="BH58" i="6"/>
  <c r="BG58" i="6"/>
  <c r="BF58" i="6"/>
  <c r="AY58" i="6"/>
  <c r="AW58" i="6"/>
  <c r="AU58" i="6"/>
  <c r="AS58" i="6"/>
  <c r="AO58" i="6"/>
  <c r="AM58" i="6"/>
  <c r="AK58" i="6"/>
  <c r="AI58" i="6"/>
  <c r="AG58" i="6"/>
  <c r="AE58" i="6"/>
  <c r="AD58" i="6"/>
  <c r="AC58" i="6"/>
  <c r="AA58" i="6"/>
  <c r="Z58" i="6"/>
  <c r="Y58" i="6"/>
  <c r="X58" i="6"/>
  <c r="W58" i="6"/>
  <c r="H58" i="6"/>
  <c r="CD57" i="6"/>
  <c r="CC57" i="6"/>
  <c r="CB57" i="6"/>
  <c r="CA57" i="6"/>
  <c r="BZ57" i="6"/>
  <c r="BY57" i="6"/>
  <c r="BX57" i="6"/>
  <c r="ER57" i="6" s="1"/>
  <c r="BW57" i="6"/>
  <c r="BV57" i="6"/>
  <c r="BU57" i="6"/>
  <c r="BT57" i="6"/>
  <c r="BS57" i="6"/>
  <c r="BR57" i="6"/>
  <c r="BQ57" i="6"/>
  <c r="BP57" i="6"/>
  <c r="BO57" i="6"/>
  <c r="BN57" i="6"/>
  <c r="BM57" i="6"/>
  <c r="BL57" i="6"/>
  <c r="BK57" i="6"/>
  <c r="BI57" i="6"/>
  <c r="BH57" i="6"/>
  <c r="BG57" i="6"/>
  <c r="BF57" i="6"/>
  <c r="AY57" i="6"/>
  <c r="AW57" i="6"/>
  <c r="AU57" i="6"/>
  <c r="AS57" i="6"/>
  <c r="AQ57" i="6"/>
  <c r="AO57" i="6"/>
  <c r="AM57" i="6"/>
  <c r="AL57" i="6"/>
  <c r="AK57" i="6"/>
  <c r="AJ57" i="6"/>
  <c r="AI57" i="6"/>
  <c r="AH57" i="6"/>
  <c r="AG57" i="6"/>
  <c r="AF57" i="6"/>
  <c r="AE57" i="6"/>
  <c r="AD57" i="6"/>
  <c r="AC57" i="6"/>
  <c r="AA57" i="6"/>
  <c r="Z57" i="6"/>
  <c r="Y57" i="6"/>
  <c r="X57" i="6"/>
  <c r="W57" i="6"/>
  <c r="H57" i="6"/>
  <c r="CE58" i="6"/>
  <c r="BC57" i="6"/>
  <c r="AC50" i="6"/>
  <c r="AB51" i="6"/>
  <c r="AB50" i="6"/>
  <c r="Z51" i="6"/>
  <c r="X51" i="6"/>
  <c r="X50" i="6"/>
  <c r="W51" i="6"/>
  <c r="W50" i="6"/>
  <c r="H51" i="6"/>
  <c r="H50" i="6"/>
  <c r="BF51" i="6"/>
  <c r="AY51" i="6"/>
  <c r="AW51" i="6"/>
  <c r="AU51" i="6"/>
  <c r="AT51" i="6"/>
  <c r="AR51" i="6"/>
  <c r="AQ51" i="6"/>
  <c r="AO51" i="6"/>
  <c r="AM51" i="6"/>
  <c r="AK51" i="6"/>
  <c r="AI51" i="6"/>
  <c r="AG51" i="6"/>
  <c r="AE51" i="6"/>
  <c r="AD51" i="6"/>
  <c r="AC51" i="6"/>
  <c r="AA51" i="6"/>
  <c r="Y51" i="6"/>
  <c r="V51" i="6"/>
  <c r="U51" i="6"/>
  <c r="T51" i="6"/>
  <c r="S51" i="6"/>
  <c r="R51" i="6"/>
  <c r="Q51" i="6"/>
  <c r="P51" i="6"/>
  <c r="O51" i="6"/>
  <c r="N51" i="6"/>
  <c r="M51" i="6"/>
  <c r="L51" i="6"/>
  <c r="K51" i="6"/>
  <c r="J51" i="6"/>
  <c r="I51" i="6"/>
  <c r="BF50" i="6"/>
  <c r="AY50" i="6"/>
  <c r="AW50" i="6"/>
  <c r="AU50" i="6"/>
  <c r="AT50" i="6"/>
  <c r="AS50" i="6"/>
  <c r="AR50" i="6"/>
  <c r="AQ50" i="6"/>
  <c r="AP50" i="6"/>
  <c r="AO50" i="6"/>
  <c r="AM50" i="6"/>
  <c r="AL50" i="6"/>
  <c r="AK50" i="6"/>
  <c r="AJ50" i="6"/>
  <c r="AI50" i="6"/>
  <c r="AH50" i="6"/>
  <c r="AG50" i="6"/>
  <c r="AF50" i="6"/>
  <c r="AE50" i="6"/>
  <c r="AD50" i="6"/>
  <c r="AA50" i="6"/>
  <c r="Y50" i="6"/>
  <c r="V50" i="6"/>
  <c r="U50" i="6"/>
  <c r="T50" i="6"/>
  <c r="S50" i="6"/>
  <c r="R50" i="6"/>
  <c r="Q50" i="6"/>
  <c r="P50" i="6"/>
  <c r="O50" i="6"/>
  <c r="N50" i="6"/>
  <c r="M50" i="6"/>
  <c r="L50" i="6"/>
  <c r="K50" i="6"/>
  <c r="J50" i="6"/>
  <c r="I50" i="6"/>
  <c r="CD44" i="6"/>
  <c r="CC44" i="6"/>
  <c r="CB44" i="6"/>
  <c r="CA44" i="6"/>
  <c r="BZ44" i="6"/>
  <c r="BY44" i="6"/>
  <c r="BX44" i="6"/>
  <c r="BW44" i="6"/>
  <c r="BV44" i="6"/>
  <c r="BU44" i="6"/>
  <c r="BT44" i="6"/>
  <c r="BS44" i="6"/>
  <c r="BR44" i="6"/>
  <c r="BQ44" i="6"/>
  <c r="BP44" i="6"/>
  <c r="BO44" i="6"/>
  <c r="BN44" i="6"/>
  <c r="BF44" i="6"/>
  <c r="CD43" i="6"/>
  <c r="CC43" i="6"/>
  <c r="CB43" i="6"/>
  <c r="CA43" i="6"/>
  <c r="BZ43" i="6"/>
  <c r="BY43" i="6"/>
  <c r="BX43" i="6"/>
  <c r="ER43" i="6" s="1"/>
  <c r="BW43" i="6"/>
  <c r="BV43" i="6"/>
  <c r="BU43" i="6"/>
  <c r="BT43" i="6"/>
  <c r="BS43" i="6"/>
  <c r="BR43" i="6"/>
  <c r="BQ43" i="6"/>
  <c r="BP43" i="6"/>
  <c r="BO43" i="6"/>
  <c r="BN43" i="6"/>
  <c r="BH43" i="6"/>
  <c r="BG43" i="6"/>
  <c r="BF43" i="6"/>
  <c r="AY44" i="6"/>
  <c r="AY43" i="6"/>
  <c r="AK44" i="6"/>
  <c r="AI44" i="6"/>
  <c r="AG44" i="6"/>
  <c r="AE44" i="6"/>
  <c r="AD44" i="6"/>
  <c r="AC44" i="6"/>
  <c r="AK43" i="6"/>
  <c r="AJ43" i="6"/>
  <c r="AI43" i="6"/>
  <c r="AH43" i="6"/>
  <c r="AG43" i="6"/>
  <c r="AF43" i="6"/>
  <c r="AE43" i="6"/>
  <c r="AD43" i="6"/>
  <c r="AC43" i="6"/>
  <c r="AW44" i="6"/>
  <c r="AU44" i="6"/>
  <c r="AQ44" i="6"/>
  <c r="AO44" i="6"/>
  <c r="AM44" i="6"/>
  <c r="AB44" i="6"/>
  <c r="AA44" i="6"/>
  <c r="Z44" i="6"/>
  <c r="Y44" i="6"/>
  <c r="X44" i="6"/>
  <c r="W44" i="6"/>
  <c r="H44" i="6"/>
  <c r="AW43" i="6"/>
  <c r="AU43" i="6"/>
  <c r="AS43" i="6"/>
  <c r="AQ43" i="6"/>
  <c r="AO43" i="6"/>
  <c r="AL43" i="6"/>
  <c r="AB43" i="6"/>
  <c r="AA43" i="6"/>
  <c r="Z43" i="6"/>
  <c r="Y43" i="6"/>
  <c r="X43" i="6"/>
  <c r="W43" i="6"/>
  <c r="CE44" i="6"/>
  <c r="AY37" i="6"/>
  <c r="AW37" i="6"/>
  <c r="AU37" i="6"/>
  <c r="AT37" i="6"/>
  <c r="AS37" i="6"/>
  <c r="AR37" i="6"/>
  <c r="AQ37" i="6"/>
  <c r="AO37" i="6"/>
  <c r="AM37" i="6"/>
  <c r="AK37" i="6"/>
  <c r="AI37" i="6"/>
  <c r="AG37" i="6"/>
  <c r="AE37" i="6"/>
  <c r="AD37" i="6"/>
  <c r="AC37" i="6"/>
  <c r="AB37" i="6"/>
  <c r="AY36" i="6"/>
  <c r="AW36" i="6"/>
  <c r="AU36" i="6"/>
  <c r="AT36" i="6"/>
  <c r="AS36" i="6"/>
  <c r="AR36" i="6"/>
  <c r="AQ36" i="6"/>
  <c r="AP36" i="6"/>
  <c r="AO36" i="6"/>
  <c r="AM36" i="6"/>
  <c r="AK36" i="6"/>
  <c r="AJ36" i="6"/>
  <c r="AI36" i="6"/>
  <c r="AH36" i="6"/>
  <c r="AG36" i="6"/>
  <c r="AF36" i="6"/>
  <c r="AE36" i="6"/>
  <c r="AD36" i="6"/>
  <c r="AC36" i="6"/>
  <c r="AB36" i="6"/>
  <c r="AA37" i="6"/>
  <c r="Z37" i="6"/>
  <c r="Y37" i="6"/>
  <c r="X37" i="6"/>
  <c r="W37" i="6"/>
  <c r="V37" i="6"/>
  <c r="U37" i="6"/>
  <c r="T37" i="6"/>
  <c r="S37" i="6"/>
  <c r="R37" i="6"/>
  <c r="Q37" i="6"/>
  <c r="P37" i="6"/>
  <c r="O37" i="6"/>
  <c r="N37" i="6"/>
  <c r="M37" i="6"/>
  <c r="L37" i="6"/>
  <c r="K37" i="6"/>
  <c r="J37" i="6"/>
  <c r="I37" i="6"/>
  <c r="H37" i="6"/>
  <c r="AA36" i="6"/>
  <c r="Z36" i="6"/>
  <c r="Y36" i="6"/>
  <c r="X36" i="6"/>
  <c r="W36" i="6"/>
  <c r="V36" i="6"/>
  <c r="U36" i="6"/>
  <c r="T36" i="6"/>
  <c r="S36" i="6"/>
  <c r="R36" i="6"/>
  <c r="Q36" i="6"/>
  <c r="P36" i="6"/>
  <c r="O36" i="6"/>
  <c r="N36" i="6"/>
  <c r="M36" i="6"/>
  <c r="L36" i="6"/>
  <c r="K36" i="6"/>
  <c r="J36" i="6"/>
  <c r="I36" i="6"/>
  <c r="H36" i="6"/>
  <c r="BD35" i="6"/>
  <c r="EU35" i="6" s="1"/>
  <c r="BA35" i="6"/>
  <c r="BD34" i="6"/>
  <c r="G34" i="6" s="1"/>
  <c r="BA34" i="6"/>
  <c r="BA36" i="6" s="1"/>
  <c r="BA33" i="6"/>
  <c r="BA32" i="6"/>
  <c r="BA37" i="6" s="1"/>
  <c r="Y30" i="6"/>
  <c r="Y29" i="6"/>
  <c r="X30" i="6"/>
  <c r="X29" i="6"/>
  <c r="W30" i="6"/>
  <c r="W29" i="6"/>
  <c r="H30" i="6"/>
  <c r="H29" i="6"/>
  <c r="BD27" i="6"/>
  <c r="G27" i="6" s="1"/>
  <c r="EV27" i="6" s="1"/>
  <c r="BA27" i="6"/>
  <c r="BD26" i="6"/>
  <c r="AL15" i="6"/>
  <c r="AY23" i="6"/>
  <c r="AY22" i="6"/>
  <c r="AW23" i="6"/>
  <c r="AW22" i="6"/>
  <c r="AU23" i="6"/>
  <c r="AU22" i="6"/>
  <c r="AS23" i="6"/>
  <c r="AS22" i="6"/>
  <c r="AQ23" i="6"/>
  <c r="AQ22" i="6"/>
  <c r="AO23" i="6"/>
  <c r="AO22" i="6"/>
  <c r="AM23" i="6"/>
  <c r="AM22" i="6"/>
  <c r="AL22" i="6"/>
  <c r="AK23" i="6"/>
  <c r="AK22" i="6"/>
  <c r="AJ22" i="6"/>
  <c r="AI23" i="6"/>
  <c r="AI22" i="6"/>
  <c r="AH22" i="6"/>
  <c r="AG23" i="6"/>
  <c r="AG22" i="6"/>
  <c r="AF22" i="6"/>
  <c r="AE23" i="6"/>
  <c r="AE22" i="6"/>
  <c r="AD23" i="6"/>
  <c r="AD22" i="6"/>
  <c r="AC23" i="6"/>
  <c r="AC22" i="6"/>
  <c r="AB23" i="6"/>
  <c r="AB22" i="6"/>
  <c r="AA23" i="6"/>
  <c r="AA22" i="6"/>
  <c r="EU22" i="6" s="1"/>
  <c r="Z23" i="6"/>
  <c r="Z22" i="6"/>
  <c r="Y23" i="6"/>
  <c r="Y22" i="6"/>
  <c r="AY16" i="6"/>
  <c r="AY15" i="6"/>
  <c r="AW16" i="6"/>
  <c r="AW15" i="6"/>
  <c r="AU16" i="6"/>
  <c r="AU15" i="6"/>
  <c r="AS15" i="6"/>
  <c r="AQ16" i="6"/>
  <c r="AQ15" i="6"/>
  <c r="AO16" i="6"/>
  <c r="AO15" i="6"/>
  <c r="AM16" i="6"/>
  <c r="AM15" i="6"/>
  <c r="X23" i="6"/>
  <c r="X22" i="6"/>
  <c r="W23" i="6"/>
  <c r="W22" i="6"/>
  <c r="BF15" i="5"/>
  <c r="H22" i="6"/>
  <c r="AK16" i="6"/>
  <c r="AK15" i="6"/>
  <c r="AJ15" i="6"/>
  <c r="AI16" i="6"/>
  <c r="AI15" i="6"/>
  <c r="AH15" i="6"/>
  <c r="AG16" i="6"/>
  <c r="AG15" i="6"/>
  <c r="AF16" i="6"/>
  <c r="AF15" i="6"/>
  <c r="AE16" i="6"/>
  <c r="AE15" i="6"/>
  <c r="AD16" i="6"/>
  <c r="AD15" i="6"/>
  <c r="AC16" i="6"/>
  <c r="AC15" i="6"/>
  <c r="AB15" i="6"/>
  <c r="AB16" i="6"/>
  <c r="H23" i="6"/>
  <c r="AA16" i="6"/>
  <c r="AA15" i="6"/>
  <c r="Z16" i="6"/>
  <c r="Z15" i="6"/>
  <c r="Y16" i="6"/>
  <c r="Y15" i="6"/>
  <c r="X16" i="6"/>
  <c r="X15" i="6"/>
  <c r="W16" i="6"/>
  <c r="W15" i="6"/>
  <c r="H15" i="6"/>
  <c r="H16" i="6"/>
  <c r="CF59" i="6"/>
  <c r="CH59" i="6"/>
  <c r="EM37" i="6"/>
  <c r="EQ36" i="6"/>
  <c r="EP36" i="6"/>
  <c r="EO36" i="6"/>
  <c r="EN36" i="6"/>
  <c r="EM36" i="6"/>
  <c r="EQ35" i="6"/>
  <c r="EP35" i="6"/>
  <c r="EO35" i="6"/>
  <c r="EN35" i="6"/>
  <c r="EM35" i="6"/>
  <c r="EQ34" i="6"/>
  <c r="EP34" i="6"/>
  <c r="EO34" i="6"/>
  <c r="EN34" i="6"/>
  <c r="EM34" i="6"/>
  <c r="EQ33" i="6"/>
  <c r="EP33" i="6"/>
  <c r="EO33" i="6"/>
  <c r="EN33" i="6"/>
  <c r="EM33" i="6"/>
  <c r="EQ32" i="6"/>
  <c r="EP32" i="6"/>
  <c r="EO32" i="6"/>
  <c r="EN32" i="6"/>
  <c r="EN37" i="6" s="1"/>
  <c r="EM32" i="6"/>
  <c r="EQ31" i="6"/>
  <c r="EP31" i="6"/>
  <c r="EO31" i="6"/>
  <c r="EN31" i="6"/>
  <c r="EM31" i="6"/>
  <c r="EM30" i="6"/>
  <c r="EQ29" i="6"/>
  <c r="EP29" i="6"/>
  <c r="EO29" i="6"/>
  <c r="EN29" i="6"/>
  <c r="EM29" i="6"/>
  <c r="EQ28" i="6"/>
  <c r="EQ30" i="6" s="1"/>
  <c r="EP28" i="6"/>
  <c r="EO28" i="6"/>
  <c r="EN28" i="6"/>
  <c r="EM28" i="6"/>
  <c r="EQ27" i="6"/>
  <c r="EP27" i="6"/>
  <c r="EO27" i="6"/>
  <c r="EN27" i="6"/>
  <c r="EM27" i="6"/>
  <c r="EQ26" i="6"/>
  <c r="EP26" i="6"/>
  <c r="EO26" i="6"/>
  <c r="EN26" i="6"/>
  <c r="EM26" i="6"/>
  <c r="EQ25" i="6"/>
  <c r="EP25" i="6"/>
  <c r="EO25" i="6"/>
  <c r="EN25" i="6"/>
  <c r="EM25" i="6"/>
  <c r="EQ24" i="6"/>
  <c r="EP24" i="6"/>
  <c r="EO24" i="6"/>
  <c r="EN24" i="6"/>
  <c r="EM24" i="6"/>
  <c r="EM23" i="6"/>
  <c r="EQ22" i="6"/>
  <c r="EP22" i="6"/>
  <c r="EO22" i="6"/>
  <c r="EN22" i="6"/>
  <c r="EM22" i="6"/>
  <c r="EQ21" i="6"/>
  <c r="EP21" i="6"/>
  <c r="EO21" i="6"/>
  <c r="EN21" i="6"/>
  <c r="EM21" i="6"/>
  <c r="EQ20" i="6"/>
  <c r="EP20" i="6"/>
  <c r="EO20" i="6"/>
  <c r="EN20" i="6"/>
  <c r="EM20" i="6"/>
  <c r="BD22" i="6"/>
  <c r="EQ19" i="6"/>
  <c r="EP19" i="6"/>
  <c r="EO19" i="6"/>
  <c r="EN19" i="6"/>
  <c r="EM19" i="6"/>
  <c r="EQ18" i="6"/>
  <c r="EQ23" i="6" s="1"/>
  <c r="EP18" i="6"/>
  <c r="EO18" i="6"/>
  <c r="EN18" i="6"/>
  <c r="EN23" i="6" s="1"/>
  <c r="EM18" i="6"/>
  <c r="EQ17" i="6"/>
  <c r="EP17" i="6"/>
  <c r="EO17" i="6"/>
  <c r="EN17" i="6"/>
  <c r="EM17" i="6"/>
  <c r="EM16" i="6"/>
  <c r="EQ15" i="6"/>
  <c r="EP15" i="6"/>
  <c r="EO15" i="6"/>
  <c r="EN15" i="6"/>
  <c r="EM15" i="6"/>
  <c r="EQ14" i="6"/>
  <c r="EP14" i="6"/>
  <c r="EO14" i="6"/>
  <c r="EN14" i="6"/>
  <c r="EM14" i="6"/>
  <c r="EQ13" i="6"/>
  <c r="EP13" i="6"/>
  <c r="EO13" i="6"/>
  <c r="EN13" i="6"/>
  <c r="EM13" i="6"/>
  <c r="EQ12" i="6"/>
  <c r="EP12" i="6"/>
  <c r="EO12" i="6"/>
  <c r="EN12" i="6"/>
  <c r="EM12" i="6"/>
  <c r="EQ11" i="6"/>
  <c r="EP11" i="6"/>
  <c r="EO11" i="6"/>
  <c r="EO16" i="6" s="1"/>
  <c r="EN11" i="6"/>
  <c r="EM11" i="6"/>
  <c r="EQ10" i="6"/>
  <c r="EP10" i="6"/>
  <c r="EO10" i="6"/>
  <c r="EN10" i="6"/>
  <c r="EM10" i="6"/>
  <c r="BC16" i="5"/>
  <c r="CI59" i="6"/>
  <c r="EO23" i="6"/>
  <c r="CI60" i="6"/>
  <c r="BE22" i="6"/>
  <c r="W13" i="5"/>
  <c r="W12" i="5"/>
  <c r="EM58" i="6"/>
  <c r="EQ57" i="6"/>
  <c r="EP57" i="6"/>
  <c r="EO57" i="6"/>
  <c r="EM57" i="6"/>
  <c r="EQ56" i="6"/>
  <c r="EP56" i="6"/>
  <c r="EO56" i="6"/>
  <c r="EN56" i="6"/>
  <c r="EM56" i="6"/>
  <c r="EP55" i="6"/>
  <c r="EO55" i="6"/>
  <c r="EN55" i="6"/>
  <c r="EM55" i="6"/>
  <c r="EQ54" i="6"/>
  <c r="EP54" i="6"/>
  <c r="EO54" i="6"/>
  <c r="EN54" i="6"/>
  <c r="EM54" i="6"/>
  <c r="EQ53" i="6"/>
  <c r="EP53" i="6"/>
  <c r="EO53" i="6"/>
  <c r="EO58" i="6" s="1"/>
  <c r="EN53" i="6"/>
  <c r="EM53" i="6"/>
  <c r="EQ52" i="6"/>
  <c r="EP52" i="6"/>
  <c r="EO52" i="6"/>
  <c r="EN52" i="6"/>
  <c r="EM52" i="6"/>
  <c r="EM51" i="6"/>
  <c r="EQ50" i="6"/>
  <c r="EP50" i="6"/>
  <c r="EO50" i="6"/>
  <c r="EN50" i="6"/>
  <c r="EM50" i="6"/>
  <c r="EQ49" i="6"/>
  <c r="EP49" i="6"/>
  <c r="EP51" i="6" s="1"/>
  <c r="EO49" i="6"/>
  <c r="EN49" i="6"/>
  <c r="EM49" i="6"/>
  <c r="EQ48" i="6"/>
  <c r="EP48" i="6"/>
  <c r="EO48" i="6"/>
  <c r="EN48" i="6"/>
  <c r="EM48" i="6"/>
  <c r="EQ47" i="6"/>
  <c r="EP47" i="6"/>
  <c r="EO47" i="6"/>
  <c r="EN47" i="6"/>
  <c r="EM47" i="6"/>
  <c r="EQ46" i="6"/>
  <c r="EQ51" i="6" s="1"/>
  <c r="EP46" i="6"/>
  <c r="EO46" i="6"/>
  <c r="EN46" i="6"/>
  <c r="EM46" i="6"/>
  <c r="EQ45" i="6"/>
  <c r="EP45" i="6"/>
  <c r="EO45" i="6"/>
  <c r="EN45" i="6"/>
  <c r="EM45" i="6"/>
  <c r="EM44" i="6"/>
  <c r="EQ42" i="6"/>
  <c r="EP42" i="6"/>
  <c r="EO42" i="6"/>
  <c r="EN42" i="6"/>
  <c r="EM42" i="6"/>
  <c r="EP41" i="6"/>
  <c r="EO41" i="6"/>
  <c r="EN41" i="6"/>
  <c r="EQ40" i="6"/>
  <c r="EP40" i="6"/>
  <c r="EO40" i="6"/>
  <c r="EN40" i="6"/>
  <c r="EM40" i="6"/>
  <c r="EQ39" i="6"/>
  <c r="EQ44" i="6" s="1"/>
  <c r="EP39" i="6"/>
  <c r="EO39" i="6"/>
  <c r="EN39" i="6"/>
  <c r="EM39" i="6"/>
  <c r="EO38" i="6"/>
  <c r="EQ38" i="6" s="1"/>
  <c r="EQ43" i="6" s="1"/>
  <c r="EN38" i="6"/>
  <c r="EN43" i="6" s="1"/>
  <c r="EM38" i="6"/>
  <c r="EM43" i="6" s="1"/>
  <c r="EN51" i="6"/>
  <c r="AY60" i="6"/>
  <c r="AY61" i="6" s="1"/>
  <c r="EW12" i="5" l="1"/>
  <c r="EW13" i="5"/>
  <c r="EX14" i="5"/>
  <c r="EW14" i="5"/>
  <c r="I12" i="5"/>
  <c r="EX12" i="5" s="1"/>
  <c r="I13" i="5"/>
  <c r="EX13" i="5" s="1"/>
  <c r="EO37" i="6"/>
  <c r="EU27" i="6"/>
  <c r="EV10" i="6"/>
  <c r="EU10" i="6"/>
  <c r="EV38" i="6"/>
  <c r="EU38" i="6"/>
  <c r="EO30" i="6"/>
  <c r="BE11" i="6"/>
  <c r="F665" i="15" s="1"/>
  <c r="AB61" i="6"/>
  <c r="G31" i="6"/>
  <c r="EV31" i="6" s="1"/>
  <c r="EU31" i="6"/>
  <c r="EV13" i="6"/>
  <c r="EU13" i="6"/>
  <c r="EV41" i="6"/>
  <c r="EU41" i="6"/>
  <c r="EV52" i="6"/>
  <c r="EU52" i="6"/>
  <c r="BC43" i="6"/>
  <c r="AW61" i="6"/>
  <c r="EU55" i="6"/>
  <c r="EV55" i="6"/>
  <c r="EU32" i="6"/>
  <c r="G32" i="6"/>
  <c r="G37" i="6" s="1"/>
  <c r="EV37" i="6" s="1"/>
  <c r="EQ58" i="6"/>
  <c r="BE15" i="6"/>
  <c r="EU15" i="6" s="1"/>
  <c r="EV12" i="6"/>
  <c r="BD28" i="6"/>
  <c r="AV61" i="6"/>
  <c r="G29" i="6"/>
  <c r="EP38" i="6"/>
  <c r="EP43" i="6" s="1"/>
  <c r="EV15" i="6"/>
  <c r="EU26" i="6"/>
  <c r="EV26" i="6"/>
  <c r="G22" i="6"/>
  <c r="EV22" i="6" s="1"/>
  <c r="EV24" i="6"/>
  <c r="EU24" i="6"/>
  <c r="BE36" i="6"/>
  <c r="EU36" i="6" s="1"/>
  <c r="EU34" i="6"/>
  <c r="EV34" i="6"/>
  <c r="EV20" i="6"/>
  <c r="EU20" i="6"/>
  <c r="EU17" i="6"/>
  <c r="EV17" i="6"/>
  <c r="BB50" i="6"/>
  <c r="BA43" i="6"/>
  <c r="BE50" i="6"/>
  <c r="BB36" i="6"/>
  <c r="H468" i="15"/>
  <c r="ER44" i="6"/>
  <c r="ER58" i="6"/>
  <c r="AJ25" i="6"/>
  <c r="AH30" i="6"/>
  <c r="EP30" i="6"/>
  <c r="EQ37" i="6"/>
  <c r="BD57" i="6"/>
  <c r="AF58" i="6"/>
  <c r="BB28" i="6"/>
  <c r="BB60" i="6" s="1"/>
  <c r="H437" i="15"/>
  <c r="H444" i="15"/>
  <c r="BA53" i="6"/>
  <c r="E699" i="15" s="1"/>
  <c r="BA28" i="6"/>
  <c r="BD43" i="6"/>
  <c r="AO61" i="6"/>
  <c r="AH58" i="6"/>
  <c r="AH46" i="6"/>
  <c r="AH51" i="6" s="1"/>
  <c r="AU30" i="6"/>
  <c r="H430" i="15"/>
  <c r="H439" i="15"/>
  <c r="H446" i="15"/>
  <c r="BD39" i="6"/>
  <c r="H451" i="15"/>
  <c r="BD25" i="6"/>
  <c r="BD59" i="6" s="1"/>
  <c r="BB15" i="6"/>
  <c r="BB22" i="6"/>
  <c r="BD42" i="6"/>
  <c r="BA57" i="6"/>
  <c r="BB57" i="6"/>
  <c r="BB39" i="6"/>
  <c r="BB44" i="6" s="1"/>
  <c r="EP16" i="6"/>
  <c r="EP58" i="6"/>
  <c r="EN58" i="6"/>
  <c r="EN30" i="6"/>
  <c r="AK61" i="6"/>
  <c r="AE60" i="6"/>
  <c r="AF59" i="6"/>
  <c r="BD18" i="6"/>
  <c r="BD23" i="6" s="1"/>
  <c r="BD32" i="6"/>
  <c r="BD37" i="6" s="1"/>
  <c r="H432" i="15"/>
  <c r="BA18" i="6"/>
  <c r="BA23" i="6" s="1"/>
  <c r="BA39" i="6"/>
  <c r="E697" i="15" s="1"/>
  <c r="H453" i="15"/>
  <c r="H458" i="15"/>
  <c r="AC61" i="6"/>
  <c r="AX61" i="6"/>
  <c r="BB37" i="6"/>
  <c r="AJ39" i="6"/>
  <c r="J61" i="6"/>
  <c r="N61" i="6"/>
  <c r="R61" i="6"/>
  <c r="V61" i="6"/>
  <c r="Z61" i="6"/>
  <c r="BB25" i="6"/>
  <c r="BB49" i="6"/>
  <c r="BB51" i="6" s="1"/>
  <c r="BD53" i="6"/>
  <c r="BD58" i="6" s="1"/>
  <c r="EP44" i="6"/>
  <c r="EO44" i="6"/>
  <c r="EQ16" i="6"/>
  <c r="EN16" i="6"/>
  <c r="EP37" i="6"/>
  <c r="AS16" i="6"/>
  <c r="AF23" i="6"/>
  <c r="BD29" i="6"/>
  <c r="EU29" i="6" s="1"/>
  <c r="BA51" i="6"/>
  <c r="AS59" i="6"/>
  <c r="K61" i="6"/>
  <c r="O61" i="6"/>
  <c r="S61" i="6"/>
  <c r="AA61" i="6"/>
  <c r="AU61" i="6"/>
  <c r="BA26" i="6"/>
  <c r="BE40" i="6"/>
  <c r="BC26" i="6"/>
  <c r="BC32" i="6"/>
  <c r="BE56" i="6"/>
  <c r="H428" i="15"/>
  <c r="H441" i="15"/>
  <c r="BA25" i="6"/>
  <c r="BA30" i="6" s="1"/>
  <c r="H449" i="15"/>
  <c r="H455" i="15"/>
  <c r="H463" i="15"/>
  <c r="H469" i="15"/>
  <c r="BD14" i="6"/>
  <c r="BD16" i="6" s="1"/>
  <c r="BE43" i="6"/>
  <c r="EU43" i="6" s="1"/>
  <c r="BB53" i="6"/>
  <c r="BB58" i="6" s="1"/>
  <c r="AF44" i="6"/>
  <c r="AQ58" i="6"/>
  <c r="L61" i="6"/>
  <c r="P61" i="6"/>
  <c r="T61" i="6"/>
  <c r="X61" i="6"/>
  <c r="H61" i="6"/>
  <c r="AH42" i="6"/>
  <c r="AJ42" i="6" s="1"/>
  <c r="AL42" i="6" s="1"/>
  <c r="BE47" i="6"/>
  <c r="H435" i="15"/>
  <c r="AS30" i="6"/>
  <c r="BD49" i="6"/>
  <c r="EU49" i="6" s="1"/>
  <c r="H427" i="15"/>
  <c r="H434" i="15"/>
  <c r="H442" i="15"/>
  <c r="H456" i="15"/>
  <c r="H470" i="15"/>
  <c r="H462" i="15"/>
  <c r="BA15" i="6"/>
  <c r="BA29" i="6"/>
  <c r="BA50" i="6"/>
  <c r="BD45" i="6"/>
  <c r="G45" i="6" s="1"/>
  <c r="EV45" i="6" s="1"/>
  <c r="BA42" i="6"/>
  <c r="EN44" i="6"/>
  <c r="EO51" i="6"/>
  <c r="EP23" i="6"/>
  <c r="BE29" i="6"/>
  <c r="AS51" i="6"/>
  <c r="I61" i="6"/>
  <c r="M61" i="6"/>
  <c r="Q61" i="6"/>
  <c r="U61" i="6"/>
  <c r="Y61" i="6"/>
  <c r="AE61" i="6"/>
  <c r="AP61" i="6"/>
  <c r="AM12" i="6"/>
  <c r="AH21" i="6"/>
  <c r="AJ21" i="6" s="1"/>
  <c r="AL21" i="6" s="1"/>
  <c r="AF60" i="6"/>
  <c r="BC49" i="6"/>
  <c r="BD48" i="6" s="1"/>
  <c r="AS60" i="6"/>
  <c r="AS61" i="6" s="1"/>
  <c r="BA14" i="6"/>
  <c r="BA16" i="6" s="1"/>
  <c r="BA58" i="6"/>
  <c r="W61" i="6"/>
  <c r="BG61" i="6"/>
  <c r="AR61" i="6"/>
  <c r="BH61" i="6"/>
  <c r="BL61" i="6"/>
  <c r="BP61" i="6"/>
  <c r="CG61" i="6"/>
  <c r="BK61" i="6"/>
  <c r="BO61" i="6"/>
  <c r="BW61" i="6"/>
  <c r="CA61" i="6"/>
  <c r="AF61" i="6"/>
  <c r="BM61" i="6"/>
  <c r="BU61" i="6"/>
  <c r="CC61" i="6"/>
  <c r="BZ61" i="6"/>
  <c r="CD61" i="6"/>
  <c r="BI61" i="6"/>
  <c r="BQ61" i="6"/>
  <c r="BY61" i="6"/>
  <c r="AD61" i="6"/>
  <c r="BN61" i="6"/>
  <c r="BR61" i="6"/>
  <c r="CI61" i="6"/>
  <c r="CH61" i="6"/>
  <c r="CE61" i="6"/>
  <c r="CF61" i="6"/>
  <c r="BF61" i="6"/>
  <c r="AH23" i="6"/>
  <c r="AJ18" i="6"/>
  <c r="AL28" i="6"/>
  <c r="BE28" i="6" s="1"/>
  <c r="AJ30" i="6"/>
  <c r="AJ16" i="6"/>
  <c r="AL14" i="6"/>
  <c r="BE14" i="6" s="1"/>
  <c r="BE37" i="6"/>
  <c r="EU37" i="6" s="1"/>
  <c r="F668" i="15"/>
  <c r="F696" i="15"/>
  <c r="BC37" i="6"/>
  <c r="F689" i="15"/>
  <c r="BC15" i="6"/>
  <c r="BC29" i="6"/>
  <c r="AJ53" i="6"/>
  <c r="AH35" i="6"/>
  <c r="H457" i="15"/>
  <c r="BC11" i="6"/>
  <c r="BC40" i="6"/>
  <c r="BD30" i="6"/>
  <c r="BE19" i="6"/>
  <c r="H471" i="15"/>
  <c r="BC12" i="6"/>
  <c r="BC19" i="6"/>
  <c r="BC56" i="6"/>
  <c r="BE54" i="6"/>
  <c r="BC47" i="6"/>
  <c r="BC22" i="6"/>
  <c r="AH16" i="6"/>
  <c r="BE57" i="6"/>
  <c r="EU57" i="6" s="1"/>
  <c r="AL33" i="6"/>
  <c r="BE33" i="6" s="1"/>
  <c r="H464" i="15"/>
  <c r="BC42" i="6"/>
  <c r="BA60" i="6"/>
  <c r="BD15" i="6"/>
  <c r="AF37" i="6"/>
  <c r="H429" i="15"/>
  <c r="EO43" i="6"/>
  <c r="E696" i="15"/>
  <c r="BE21" i="6"/>
  <c r="H436" i="15"/>
  <c r="AH60" i="6"/>
  <c r="AL25" i="6"/>
  <c r="BD36" i="6"/>
  <c r="G48" i="6" l="1"/>
  <c r="EU48" i="6"/>
  <c r="EU28" i="6"/>
  <c r="G28" i="6"/>
  <c r="EV28" i="6" s="1"/>
  <c r="BA59" i="6"/>
  <c r="EV29" i="6"/>
  <c r="EV32" i="6"/>
  <c r="EV40" i="6"/>
  <c r="EU40" i="6"/>
  <c r="BB59" i="6"/>
  <c r="G21" i="6"/>
  <c r="EV21" i="6" s="1"/>
  <c r="EU21" i="6"/>
  <c r="EV33" i="6"/>
  <c r="EU33" i="6"/>
  <c r="G36" i="6"/>
  <c r="EV36" i="6" s="1"/>
  <c r="EU45" i="6"/>
  <c r="EV57" i="6"/>
  <c r="EV54" i="6"/>
  <c r="EU54" i="6"/>
  <c r="EU56" i="6"/>
  <c r="G56" i="6"/>
  <c r="EV56" i="6" s="1"/>
  <c r="EV43" i="6"/>
  <c r="EV47" i="6"/>
  <c r="EU47" i="6"/>
  <c r="EU11" i="6"/>
  <c r="G11" i="6"/>
  <c r="EV11" i="6" s="1"/>
  <c r="AJ46" i="6"/>
  <c r="AJ51" i="6" s="1"/>
  <c r="AH59" i="6"/>
  <c r="EU14" i="6"/>
  <c r="G14" i="6"/>
  <c r="EU19" i="6"/>
  <c r="EV19" i="6"/>
  <c r="BD44" i="6"/>
  <c r="BC28" i="6"/>
  <c r="AL30" i="6"/>
  <c r="BB30" i="6"/>
  <c r="E694" i="15"/>
  <c r="BA44" i="6"/>
  <c r="AO12" i="6"/>
  <c r="BC21" i="6"/>
  <c r="AJ44" i="6"/>
  <c r="AL39" i="6"/>
  <c r="AL44" i="6" s="1"/>
  <c r="BD60" i="6"/>
  <c r="BD61" i="6" s="1"/>
  <c r="BE42" i="6"/>
  <c r="AH44" i="6"/>
  <c r="BB61" i="6"/>
  <c r="BC33" i="6"/>
  <c r="H466" i="15"/>
  <c r="H473" i="15"/>
  <c r="H459" i="15"/>
  <c r="H452" i="15"/>
  <c r="H445" i="15"/>
  <c r="H438" i="15"/>
  <c r="H431" i="15"/>
  <c r="BD51" i="6"/>
  <c r="E695" i="15"/>
  <c r="BB6" i="6"/>
  <c r="BA61" i="6"/>
  <c r="BE16" i="6"/>
  <c r="EU16" i="6" s="1"/>
  <c r="BE60" i="6"/>
  <c r="AJ59" i="6"/>
  <c r="AL18" i="6"/>
  <c r="BE18" i="6" s="1"/>
  <c r="AJ23" i="6"/>
  <c r="AJ58" i="6"/>
  <c r="AL53" i="6"/>
  <c r="AL58" i="6" s="1"/>
  <c r="BC14" i="6"/>
  <c r="BC16" i="6" s="1"/>
  <c r="AH61" i="6"/>
  <c r="F686" i="15"/>
  <c r="F693" i="15"/>
  <c r="AL16" i="6"/>
  <c r="BE25" i="6"/>
  <c r="AJ35" i="6"/>
  <c r="AH37" i="6"/>
  <c r="BC25" i="6"/>
  <c r="BD50" i="6"/>
  <c r="EU50" i="6" s="1"/>
  <c r="G18" i="6" l="1"/>
  <c r="G23" i="6" s="1"/>
  <c r="EV18" i="6"/>
  <c r="EU18" i="6"/>
  <c r="EU42" i="6"/>
  <c r="G42" i="6"/>
  <c r="EV42" i="6" s="1"/>
  <c r="EU25" i="6"/>
  <c r="G25" i="6"/>
  <c r="EV14" i="6"/>
  <c r="AL46" i="6"/>
  <c r="AL51" i="6" s="1"/>
  <c r="G16" i="6"/>
  <c r="EV16" i="6" s="1"/>
  <c r="G50" i="6"/>
  <c r="EV50" i="6" s="1"/>
  <c r="EV48" i="6"/>
  <c r="AQ12" i="6"/>
  <c r="AS12" i="6" s="1"/>
  <c r="AU12" i="6" s="1"/>
  <c r="AW12" i="6" s="1"/>
  <c r="AY12" i="6" s="1"/>
  <c r="BA12" i="6" s="1"/>
  <c r="BE46" i="6"/>
  <c r="BE51" i="6" s="1"/>
  <c r="EU51" i="6" s="1"/>
  <c r="BC53" i="6"/>
  <c r="BC58" i="6" s="1"/>
  <c r="BE53" i="6"/>
  <c r="BE39" i="6"/>
  <c r="BC39" i="6"/>
  <c r="AL23" i="6"/>
  <c r="AL59" i="6"/>
  <c r="BC18" i="6"/>
  <c r="F666" i="15"/>
  <c r="BE23" i="6"/>
  <c r="EU23" i="6" s="1"/>
  <c r="BC60" i="6"/>
  <c r="F699" i="15"/>
  <c r="F692" i="15"/>
  <c r="BE30" i="6"/>
  <c r="EU30" i="6" s="1"/>
  <c r="F667" i="15"/>
  <c r="BC30" i="6"/>
  <c r="F695" i="15"/>
  <c r="F688" i="15"/>
  <c r="AJ37" i="6"/>
  <c r="AL35" i="6"/>
  <c r="AJ60" i="6"/>
  <c r="AJ61" i="6" s="1"/>
  <c r="BC46" i="6"/>
  <c r="EV25" i="6" l="1"/>
  <c r="G30" i="6"/>
  <c r="EV30" i="6" s="1"/>
  <c r="G39" i="6"/>
  <c r="G44" i="6" s="1"/>
  <c r="EU39" i="6"/>
  <c r="EV39" i="6"/>
  <c r="F670" i="15"/>
  <c r="G46" i="6"/>
  <c r="G51" i="6" s="1"/>
  <c r="EV51" i="6" s="1"/>
  <c r="EU46" i="6"/>
  <c r="BE58" i="6"/>
  <c r="EU58" i="6" s="1"/>
  <c r="G53" i="6"/>
  <c r="G58" i="6" s="1"/>
  <c r="EV58" i="6" s="1"/>
  <c r="EU53" i="6"/>
  <c r="EV53" i="6"/>
  <c r="G60" i="6"/>
  <c r="EV23" i="6"/>
  <c r="F671" i="15"/>
  <c r="BD12" i="6"/>
  <c r="EU12" i="6" s="1"/>
  <c r="F669" i="15"/>
  <c r="BE44" i="6"/>
  <c r="EU44" i="6" s="1"/>
  <c r="BE59" i="6"/>
  <c r="BB12" i="6"/>
  <c r="F690" i="15"/>
  <c r="F697" i="15"/>
  <c r="BC44" i="6"/>
  <c r="AL37" i="6"/>
  <c r="AL60" i="6"/>
  <c r="AL61" i="6" s="1"/>
  <c r="F698" i="15"/>
  <c r="F691" i="15"/>
  <c r="BC51" i="6"/>
  <c r="F694" i="15"/>
  <c r="BC23" i="6"/>
  <c r="F687" i="15"/>
  <c r="BC59" i="6"/>
  <c r="BC61" i="6" s="1"/>
  <c r="EV44" i="6" l="1"/>
  <c r="EV46" i="6"/>
  <c r="G59" i="6"/>
  <c r="G61" i="6" s="1"/>
  <c r="BE61"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F6E860BE-E72E-49F7-93EF-C941A7EB77DF}">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B8D4DAAE-9A6C-41C1-A96E-0D9853E68B9F}">
      <text>
        <r>
          <rPr>
            <b/>
            <sz val="9"/>
            <color indexed="81"/>
            <rFont val="Tahoma"/>
            <family val="2"/>
          </rPr>
          <t>YULIED.PENARANDA:</t>
        </r>
        <r>
          <rPr>
            <sz val="9"/>
            <color indexed="81"/>
            <rFont val="Tahoma"/>
            <family val="2"/>
          </rPr>
          <t xml:space="preserve">
Describir el número y nombre completo del proyecto de inversión. </t>
        </r>
      </text>
    </comment>
    <comment ref="A6" authorId="0" shapeId="0" xr:uid="{4F64647B-ACF7-4AAF-B848-671819A9D292}">
      <text>
        <r>
          <rPr>
            <b/>
            <sz val="9"/>
            <color indexed="81"/>
            <rFont val="Tahoma"/>
            <family val="2"/>
          </rPr>
          <t>YULIED.PENARANDA:</t>
        </r>
        <r>
          <rPr>
            <sz val="9"/>
            <color indexed="81"/>
            <rFont val="Tahoma"/>
            <family val="2"/>
          </rPr>
          <t xml:space="preserve">
Relacionar el período del reporte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3F6733FA-73A2-724B-ABFC-67B9C3104201}">
      <text>
        <r>
          <rPr>
            <b/>
            <sz val="9"/>
            <color rgb="FF000000"/>
            <rFont val="Tahoma"/>
            <family val="2"/>
          </rPr>
          <t>YULIED.PENARANDA:</t>
        </r>
        <r>
          <rPr>
            <sz val="9"/>
            <color rgb="FF000000"/>
            <rFont val="Tahoma"/>
            <family val="2"/>
          </rPr>
          <t xml:space="preserve">
</t>
        </r>
        <r>
          <rPr>
            <sz val="9"/>
            <color rgb="FF000000"/>
            <rFont val="Tahoma"/>
            <family val="2"/>
          </rPr>
          <t>Describir el nombre completo de la oficina, dirección o subdirección que gerencia el proyecto de inversión.</t>
        </r>
      </text>
    </comment>
    <comment ref="A5" authorId="0" shapeId="0" xr:uid="{B68C00BB-084D-9443-B13E-B491F0778A07}">
      <text>
        <r>
          <rPr>
            <b/>
            <sz val="9"/>
            <color rgb="FF000000"/>
            <rFont val="Tahoma"/>
            <family val="2"/>
          </rPr>
          <t>YULIED.PENARANDA:</t>
        </r>
        <r>
          <rPr>
            <sz val="9"/>
            <color rgb="FF000000"/>
            <rFont val="Tahoma"/>
            <family val="2"/>
          </rPr>
          <t xml:space="preserve">
</t>
        </r>
        <r>
          <rPr>
            <sz val="9"/>
            <color rgb="FF000000"/>
            <rFont val="Tahoma"/>
            <family val="2"/>
          </rPr>
          <t xml:space="preserve">Describir el número y nombre completo del proyecto de inversión. </t>
        </r>
      </text>
    </comment>
    <comment ref="A321" authorId="0" shapeId="0" xr:uid="{F6E9F0F5-A5D7-A24D-A3F3-1C85B8959411}">
      <text>
        <r>
          <rPr>
            <b/>
            <sz val="9"/>
            <color rgb="FF000000"/>
            <rFont val="Tahoma"/>
            <family val="2"/>
          </rPr>
          <t>YULIED.PENARANDA:</t>
        </r>
        <r>
          <rPr>
            <sz val="9"/>
            <color rgb="FF000000"/>
            <rFont val="Tahoma"/>
            <family val="2"/>
          </rPr>
          <t xml:space="preserve">
</t>
        </r>
        <r>
          <rPr>
            <sz val="9"/>
            <color rgb="FF000000"/>
            <rFont val="Tahoma"/>
            <family val="2"/>
          </rPr>
          <t>Corresponde a la información en firme de cada vigencia fiscal.</t>
        </r>
      </text>
    </comment>
    <comment ref="A322" authorId="0" shapeId="0" xr:uid="{53217967-004A-F14F-93BB-4C9B3F122A32}">
      <text>
        <r>
          <rPr>
            <b/>
            <sz val="9"/>
            <color indexed="81"/>
            <rFont val="Tahoma"/>
            <family val="2"/>
          </rPr>
          <t>YULIED.PENARANDA:</t>
        </r>
        <r>
          <rPr>
            <sz val="9"/>
            <color indexed="81"/>
            <rFont val="Tahoma"/>
            <family val="2"/>
          </rPr>
          <t xml:space="preserve">
Vigencia a reportar</t>
        </r>
      </text>
    </comment>
    <comment ref="C322" authorId="0" shapeId="0" xr:uid="{2166896D-87B3-8940-9FB5-DD5C59AD4817}">
      <text>
        <r>
          <rPr>
            <b/>
            <sz val="9"/>
            <color indexed="81"/>
            <rFont val="Tahoma"/>
            <family val="2"/>
          </rPr>
          <t>YULIED.PENARANDA:</t>
        </r>
        <r>
          <rPr>
            <sz val="9"/>
            <color indexed="81"/>
            <rFont val="Tahoma"/>
            <family val="2"/>
          </rPr>
          <t xml:space="preserve">
Apropiación inicial acorde con la herramienta oficial de la SDH</t>
        </r>
      </text>
    </comment>
    <comment ref="D322" authorId="0" shapeId="0" xr:uid="{A9D5F9DD-5BB0-E941-B7B7-E79370B73306}">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322" authorId="0" shapeId="0" xr:uid="{4CE2202D-DBF1-D540-8A32-2E88EB5EDBE7}">
      <text>
        <r>
          <rPr>
            <b/>
            <sz val="9"/>
            <color indexed="81"/>
            <rFont val="Tahoma"/>
            <family val="2"/>
          </rPr>
          <t>YULIED.PENARANDA:</t>
        </r>
        <r>
          <rPr>
            <sz val="9"/>
            <color indexed="81"/>
            <rFont val="Tahoma"/>
            <family val="2"/>
          </rPr>
          <t xml:space="preserve">
Valores contenidos en los Registros Presupuestales de Compromisos</t>
        </r>
      </text>
    </comment>
    <comment ref="F322" authorId="0" shapeId="0" xr:uid="{28FA0219-1A6D-0E4E-A0BE-07230385774B}">
      <text>
        <r>
          <rPr>
            <b/>
            <sz val="9"/>
            <color rgb="FF000000"/>
            <rFont val="Tahoma"/>
            <family val="2"/>
          </rPr>
          <t>YULIED.PENARANDA:</t>
        </r>
        <r>
          <rPr>
            <sz val="9"/>
            <color rgb="FF000000"/>
            <rFont val="Tahoma"/>
            <family val="2"/>
          </rPr>
          <t xml:space="preserve">
</t>
        </r>
        <r>
          <rPr>
            <sz val="9"/>
            <color rgb="FF000000"/>
            <rFont val="Tahoma"/>
            <family val="2"/>
          </rPr>
          <t xml:space="preserve">Corresponde al pago </t>
        </r>
      </text>
    </comment>
    <comment ref="G322" authorId="0" shapeId="0" xr:uid="{8C0FAE34-47D3-3649-AFEC-2C527F3CC426}">
      <text>
        <r>
          <rPr>
            <b/>
            <sz val="9"/>
            <color indexed="81"/>
            <rFont val="Tahoma"/>
            <family val="2"/>
          </rPr>
          <t>YULIED.PENARANDA:</t>
        </r>
        <r>
          <rPr>
            <sz val="9"/>
            <color indexed="81"/>
            <rFont val="Tahoma"/>
            <family val="2"/>
          </rPr>
          <t xml:space="preserve">
Extinción de la obligación a cargo de la SDA.</t>
        </r>
      </text>
    </comment>
    <comment ref="A336" authorId="0" shapeId="0" xr:uid="{B15E405F-EF2D-ED4E-903F-B90C4B354D2E}">
      <text>
        <r>
          <rPr>
            <b/>
            <sz val="9"/>
            <color rgb="FF000000"/>
            <rFont val="Tahoma"/>
            <family val="2"/>
          </rPr>
          <t>YULIED.PENARANDA:</t>
        </r>
        <r>
          <rPr>
            <sz val="9"/>
            <color rgb="FF000000"/>
            <rFont val="Tahoma"/>
            <family val="2"/>
          </rPr>
          <t xml:space="preserve">
</t>
        </r>
        <r>
          <rPr>
            <sz val="9"/>
            <color rgb="FF000000"/>
            <rFont val="Tahoma"/>
            <family val="2"/>
          </rPr>
          <t>Corresponde a la información en firme de cada vigencia fiscal.</t>
        </r>
      </text>
    </comment>
    <comment ref="A337" authorId="0" shapeId="0" xr:uid="{B921F9F9-13B0-9E48-BAEF-C9DF2DD3F5CD}">
      <text>
        <r>
          <rPr>
            <b/>
            <sz val="9"/>
            <color indexed="81"/>
            <rFont val="Tahoma"/>
            <family val="2"/>
          </rPr>
          <t>YULIED.PENARANDA:</t>
        </r>
        <r>
          <rPr>
            <sz val="9"/>
            <color indexed="81"/>
            <rFont val="Tahoma"/>
            <family val="2"/>
          </rPr>
          <t xml:space="preserve">
Vigencia a reportar</t>
        </r>
      </text>
    </comment>
    <comment ref="C337" authorId="0" shapeId="0" xr:uid="{5C5EF798-3AC3-D640-9342-041142A5F563}">
      <text>
        <r>
          <rPr>
            <b/>
            <sz val="9"/>
            <color indexed="81"/>
            <rFont val="Tahoma"/>
            <family val="2"/>
          </rPr>
          <t>YULIED.PENARANDA:</t>
        </r>
        <r>
          <rPr>
            <sz val="9"/>
            <color indexed="81"/>
            <rFont val="Tahoma"/>
            <family val="2"/>
          </rPr>
          <t xml:space="preserve">
Apropiación inicial acorde con la herramienta oficial de la SDH</t>
        </r>
      </text>
    </comment>
    <comment ref="D337" authorId="0" shapeId="0" xr:uid="{2422C830-AE6C-664D-BB40-61045224E98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337" authorId="0" shapeId="0" xr:uid="{36D48BC0-2852-FB47-9C9F-DE531BAE1881}">
      <text>
        <r>
          <rPr>
            <b/>
            <sz val="9"/>
            <color indexed="81"/>
            <rFont val="Tahoma"/>
            <family val="2"/>
          </rPr>
          <t>YULIED.PENARANDA:</t>
        </r>
        <r>
          <rPr>
            <sz val="9"/>
            <color indexed="81"/>
            <rFont val="Tahoma"/>
            <family val="2"/>
          </rPr>
          <t xml:space="preserve">
Valores contenidos en los Registros Presupuestales de Compromisos</t>
        </r>
      </text>
    </comment>
    <comment ref="F337" authorId="0" shapeId="0" xr:uid="{2DE99689-B01D-6942-9B72-D0E811D4F20D}">
      <text>
        <r>
          <rPr>
            <b/>
            <sz val="9"/>
            <color indexed="81"/>
            <rFont val="Tahoma"/>
            <family val="2"/>
          </rPr>
          <t>YULIED.PENARANDA:</t>
        </r>
        <r>
          <rPr>
            <sz val="9"/>
            <color indexed="81"/>
            <rFont val="Tahoma"/>
            <family val="2"/>
          </rPr>
          <t xml:space="preserve">
Corresponde al pago </t>
        </r>
      </text>
    </comment>
    <comment ref="G337" authorId="0" shapeId="0" xr:uid="{1F11D9A1-EC93-B04A-8A44-50568845C628}">
      <text>
        <r>
          <rPr>
            <b/>
            <sz val="9"/>
            <color indexed="81"/>
            <rFont val="Tahoma"/>
            <family val="2"/>
          </rPr>
          <t>YULIED.PENARANDA:</t>
        </r>
        <r>
          <rPr>
            <sz val="9"/>
            <color indexed="81"/>
            <rFont val="Tahoma"/>
            <family val="2"/>
          </rPr>
          <t xml:space="preserve">
Extinción de la obligación a cargo de la SDA.</t>
        </r>
      </text>
    </comment>
  </commentList>
</comments>
</file>

<file path=xl/sharedStrings.xml><?xml version="1.0" encoding="utf-8"?>
<sst xmlns="http://schemas.openxmlformats.org/spreadsheetml/2006/main" count="3816" uniqueCount="692">
  <si>
    <t>DEPENDENCIA:</t>
  </si>
  <si>
    <t>Programa Plan de Desarrollo</t>
  </si>
  <si>
    <t>CÓDIGO Y NOMBRE PROYECTO:</t>
  </si>
  <si>
    <t>PRESUPUESTO VIGENCIA</t>
  </si>
  <si>
    <t>RESERVA PRESUPUESTAL</t>
  </si>
  <si>
    <t>TOTAL PROYECTO</t>
  </si>
  <si>
    <t>Ene</t>
  </si>
  <si>
    <t>Feb</t>
  </si>
  <si>
    <t>Mar</t>
  </si>
  <si>
    <t>Abr</t>
  </si>
  <si>
    <t>May</t>
  </si>
  <si>
    <t>Jun</t>
  </si>
  <si>
    <t>Jul</t>
  </si>
  <si>
    <t>Ago</t>
  </si>
  <si>
    <t>Sep</t>
  </si>
  <si>
    <t>Oct</t>
  </si>
  <si>
    <t>Nov</t>
  </si>
  <si>
    <t>Dic</t>
  </si>
  <si>
    <t>Total</t>
  </si>
  <si>
    <t>Programado</t>
  </si>
  <si>
    <t>Ejecutado</t>
  </si>
  <si>
    <t>TOTALES - PROYECTO</t>
  </si>
  <si>
    <t>1, LÍNEA DE ACCIÓN</t>
  </si>
  <si>
    <t>2, META DE PROYECTO</t>
  </si>
  <si>
    <t>4, SE EJECUTA CON RECURSOS DE:</t>
  </si>
  <si>
    <t>4,1 VIGENCIA</t>
  </si>
  <si>
    <t>4,2 RESERVA</t>
  </si>
  <si>
    <t>VARIABLES</t>
  </si>
  <si>
    <t xml:space="preserve">6,PONDERACIÓN VERTICAL </t>
  </si>
  <si>
    <t>6,1 META</t>
  </si>
  <si>
    <t>6,2 ACTIVIDAD</t>
  </si>
  <si>
    <t>TOTAL PRESUPUESTO</t>
  </si>
  <si>
    <t>TOTALES Rec. Reservas</t>
  </si>
  <si>
    <t>TOTALES Rec. Vigencia</t>
  </si>
  <si>
    <t>CONTROL DE CAMBIOS</t>
  </si>
  <si>
    <t>Versión</t>
  </si>
  <si>
    <t xml:space="preserve">Descripción de la Modificación </t>
  </si>
  <si>
    <t>No. Acto Administrativo y fecha</t>
  </si>
  <si>
    <t>DIRECCIONAMIENTO ESTRATÉGICO</t>
  </si>
  <si>
    <t>Codigo:PE01-PR02-F2</t>
  </si>
  <si>
    <t>MAGNITUD  FÍSICA</t>
  </si>
  <si>
    <t>MAGNITUD FÍSICA RESERVAS</t>
  </si>
  <si>
    <t>TOTAL MAGNITUD FÍSICA</t>
  </si>
  <si>
    <t>TOTAL PRESUPUESTO VIGENCIA  DEL PROYECTO</t>
  </si>
  <si>
    <t>TOTAL PRESUPUESTO DE LA META</t>
  </si>
  <si>
    <t>TOTAL RESERVA PRESUPUESTAL DEL PROYECTO</t>
  </si>
  <si>
    <t>TOTAL PROYECTO VIGENCIA + RESERVAS</t>
  </si>
  <si>
    <t>Código: PE01-PR02-F2</t>
  </si>
  <si>
    <t>AÑO 2020</t>
  </si>
  <si>
    <t>AÑO 2021</t>
  </si>
  <si>
    <r>
      <t xml:space="preserve">EJECUTADO </t>
    </r>
    <r>
      <rPr>
        <b/>
        <sz val="12"/>
        <rFont val="Arial"/>
        <family val="2"/>
      </rPr>
      <t>NOV.</t>
    </r>
  </si>
  <si>
    <r>
      <t xml:space="preserve">EJECUTADO </t>
    </r>
    <r>
      <rPr>
        <b/>
        <sz val="12"/>
        <rFont val="Arial"/>
        <family val="2"/>
      </rPr>
      <t>ENE.</t>
    </r>
  </si>
  <si>
    <r>
      <t xml:space="preserve">EJECUTADO </t>
    </r>
    <r>
      <rPr>
        <b/>
        <sz val="12"/>
        <rFont val="Arial"/>
        <family val="2"/>
      </rPr>
      <t>FEB.</t>
    </r>
  </si>
  <si>
    <r>
      <t xml:space="preserve">EJECUTADO </t>
    </r>
    <r>
      <rPr>
        <b/>
        <sz val="12"/>
        <rFont val="Arial"/>
        <family val="2"/>
      </rPr>
      <t>MAR.</t>
    </r>
  </si>
  <si>
    <r>
      <t xml:space="preserve">EJECUTADO </t>
    </r>
    <r>
      <rPr>
        <b/>
        <sz val="12"/>
        <rFont val="Arial"/>
        <family val="2"/>
      </rPr>
      <t>ABR.</t>
    </r>
  </si>
  <si>
    <t>Propósito Plan de Desarrollo</t>
  </si>
  <si>
    <r>
      <t xml:space="preserve">EJECUTADO  </t>
    </r>
    <r>
      <rPr>
        <b/>
        <sz val="12"/>
        <rFont val="Arial"/>
        <family val="2"/>
      </rPr>
      <t>MAY.</t>
    </r>
  </si>
  <si>
    <r>
      <t xml:space="preserve">EJECUTADO  </t>
    </r>
    <r>
      <rPr>
        <b/>
        <sz val="12"/>
        <rFont val="Arial"/>
        <family val="2"/>
      </rPr>
      <t>JUL.</t>
    </r>
  </si>
  <si>
    <r>
      <t xml:space="preserve">EJECUTADO  </t>
    </r>
    <r>
      <rPr>
        <b/>
        <sz val="12"/>
        <rFont val="Arial"/>
        <family val="2"/>
      </rPr>
      <t>AGO.</t>
    </r>
  </si>
  <si>
    <r>
      <t xml:space="preserve">EJECUTADO  </t>
    </r>
    <r>
      <rPr>
        <b/>
        <sz val="12"/>
        <rFont val="Arial"/>
        <family val="2"/>
      </rPr>
      <t>SEP</t>
    </r>
    <r>
      <rPr>
        <sz val="12"/>
        <rFont val="Arial"/>
        <family val="2"/>
      </rPr>
      <t>.</t>
    </r>
  </si>
  <si>
    <r>
      <t xml:space="preserve">EJECUTADO  </t>
    </r>
    <r>
      <rPr>
        <b/>
        <sz val="12"/>
        <rFont val="Arial"/>
        <family val="2"/>
      </rPr>
      <t>OCT</t>
    </r>
    <r>
      <rPr>
        <sz val="12"/>
        <rFont val="Arial"/>
        <family val="2"/>
      </rPr>
      <t>.</t>
    </r>
  </si>
  <si>
    <t>AÑO 2022</t>
  </si>
  <si>
    <t>AÑO 2023</t>
  </si>
  <si>
    <t>AÑO 2024</t>
  </si>
  <si>
    <t xml:space="preserve"> AÑO 2020</t>
  </si>
  <si>
    <t>Observaciones</t>
  </si>
  <si>
    <t>Observaciones y/o descripcion de acciones en el punto de inversión</t>
  </si>
  <si>
    <t>10. POBLACIÓN</t>
  </si>
  <si>
    <t>3, CÓDIGO Y NOMBRE DE LA ACTIVIDAD</t>
  </si>
  <si>
    <t>1. ESTRUCTURA DEL PLAN DE DESARROLLO</t>
  </si>
  <si>
    <t>1.1.1. Propósito</t>
  </si>
  <si>
    <t>1.1.2. Programa</t>
  </si>
  <si>
    <t>1.1.3. COD.</t>
  </si>
  <si>
    <t>1.1.4.  META PLAN DE DESARROLLO</t>
  </si>
  <si>
    <t>1.1.5. COD.</t>
  </si>
  <si>
    <t>1.1.6. INDICADOR</t>
  </si>
  <si>
    <t>1.1.7.UNIDAD DE MEDIDA</t>
  </si>
  <si>
    <t>1.1.8. TIPOLOGÍA</t>
  </si>
  <si>
    <t>1.1.9. MAGNITUD PD</t>
  </si>
  <si>
    <t>1.1. META PLAN DE DESARROLLO</t>
  </si>
  <si>
    <t>Radicado 2020IE191541 del 29 de octubre de 2020</t>
  </si>
  <si>
    <t>1,1 LÍNEA DE ACCIÓN</t>
  </si>
  <si>
    <t>1,2 COD.</t>
  </si>
  <si>
    <t>1,3 META</t>
  </si>
  <si>
    <t>1,4 TIPOLOGÍA</t>
  </si>
  <si>
    <t>1,5 COD. META PDD A QUE SE ASOCIA META PROY</t>
  </si>
  <si>
    <t>1,6, VARIABLE REQUERIDA</t>
  </si>
  <si>
    <t>1,7, VALOR   CUATRIENIO</t>
  </si>
  <si>
    <t>1,  INFORMACIÓN META DE PROYECTO</t>
  </si>
  <si>
    <t>Se crea hoja de SPI</t>
  </si>
  <si>
    <t>1 INFORMACIÓN META DE PROYECTO</t>
  </si>
  <si>
    <t>1,1 COD. META</t>
  </si>
  <si>
    <t>1,2, Meta Proyecto</t>
  </si>
  <si>
    <t>1,3. Identificación del punto de invesión</t>
  </si>
  <si>
    <t>1,4, Variable</t>
  </si>
  <si>
    <t>1.6.REPROGRAMACIÓN VIGENCIA</t>
  </si>
  <si>
    <t xml:space="preserve">2, ACTUALIZACIÓN </t>
  </si>
  <si>
    <t>3,EJECUTADO</t>
  </si>
  <si>
    <t>4, LOCALIZACIÓN GEOGRÁFICA</t>
  </si>
  <si>
    <t>4,1 LOCALIDAD(ES)</t>
  </si>
  <si>
    <t>4.2 UPZ(S)</t>
  </si>
  <si>
    <t>4,3 BARRIO(S)</t>
  </si>
  <si>
    <t>4,4 GEORREFERENCIACIÓN</t>
  </si>
  <si>
    <t>4,5 ÁREA DE INFLUENCIA E INCIDENCIA</t>
  </si>
  <si>
    <t>5, ORIENTACIÓN</t>
  </si>
  <si>
    <t>5,1 POLÍGONO DE MEJORAMIENTO INTEGRAL</t>
  </si>
  <si>
    <t>5,2 POLÍTICA</t>
  </si>
  <si>
    <t>6.1 POBLACIÓN RELACIONADA A LA LOCALIZACIÓN</t>
  </si>
  <si>
    <t>6.2 NÚMERO DE HOMBRES</t>
  </si>
  <si>
    <t>6.3 NÚMERO DE MUJERES</t>
  </si>
  <si>
    <t xml:space="preserve">6.4 NÚMERO INTERSEXUAL </t>
  </si>
  <si>
    <t>6.5  GRUPO ETARIO</t>
  </si>
  <si>
    <t>6.6  NÚMERO PERSONAS POR GRUPO ETARIO</t>
  </si>
  <si>
    <t>6.7  CONDICION POBLACIONAL</t>
  </si>
  <si>
    <t>6.8 NUMERO PERSONAS POR CONDICIÓN POBLACIONAL</t>
  </si>
  <si>
    <t>6.9  GRUPOS ETNICOS</t>
  </si>
  <si>
    <t>6.10 NÚMERO DE PERSONAS POR GRUPOS ETNICOS</t>
  </si>
  <si>
    <t>6.11  SEGUIMIENTO A LA POBLACIÓN
PERSONAS/CANTIDAD</t>
  </si>
  <si>
    <t>7, LECCIONES APRENDIDAS - OBSERVACIONES</t>
  </si>
  <si>
    <t>Formato: Programación, Atualización y Seguimiento  al Sistema de Información de Seguimiento a los Proyectos de Inversión Pública -SPI</t>
  </si>
  <si>
    <t>I PRESUPUESTAL VIGENCIA 2020</t>
  </si>
  <si>
    <t>FUENTE</t>
  </si>
  <si>
    <t>APROPIACION INICIAL</t>
  </si>
  <si>
    <t>APROPIACION VIGENTE</t>
  </si>
  <si>
    <t>COMPROMISOS</t>
  </si>
  <si>
    <t xml:space="preserve">OBLIGACIÓN </t>
  </si>
  <si>
    <t>PAGO</t>
  </si>
  <si>
    <t>%PAGO</t>
  </si>
  <si>
    <t>JULIO</t>
  </si>
  <si>
    <t>AGOSTO</t>
  </si>
  <si>
    <t>SEPTIEMBRE</t>
  </si>
  <si>
    <t>OCTUBRE</t>
  </si>
  <si>
    <t>NOVIEMBRE</t>
  </si>
  <si>
    <t>DICIEMBRE</t>
  </si>
  <si>
    <t>I PRESUPUESTAL VIGENCIA 2021</t>
  </si>
  <si>
    <t>ENERO</t>
  </si>
  <si>
    <t>FEBRERO</t>
  </si>
  <si>
    <t>MARZO</t>
  </si>
  <si>
    <t>ABRIL</t>
  </si>
  <si>
    <t>MAYO</t>
  </si>
  <si>
    <t>JUNIO</t>
  </si>
  <si>
    <t>I PRESUPUESTAL VIGENCIA 2022</t>
  </si>
  <si>
    <t>I PRESUPUESTAL VIGENCIA 2023</t>
  </si>
  <si>
    <t>I PRESUPUESTAL VIGENCIA 2024</t>
  </si>
  <si>
    <t>II PRODUCTO (FÍSICO) VIGENCIA 2020</t>
  </si>
  <si>
    <t xml:space="preserve">OBJETIVO ESPECÍFICO </t>
  </si>
  <si>
    <t>PRODUCTO MGA</t>
  </si>
  <si>
    <t>INDICADOR DE PRODUCTO</t>
  </si>
  <si>
    <t>UNIDAD DE MEDIDA</t>
  </si>
  <si>
    <t>% PESO 2020</t>
  </si>
  <si>
    <t>META TOTAL PROYECTO 2000-2024</t>
  </si>
  <si>
    <t>META VIGENCIA  2020</t>
  </si>
  <si>
    <t>META REZAGADA</t>
  </si>
  <si>
    <t>AVANCE REZAGADO</t>
  </si>
  <si>
    <t>%AVANCE RESERVA</t>
  </si>
  <si>
    <t>OBSERVACIÓN MENSUAL (200 Caracteres)</t>
  </si>
  <si>
    <t>% PESO 2021</t>
  </si>
  <si>
    <t>META VIGENCIA  2021</t>
  </si>
  <si>
    <t>II PRODUCTO (FÍSICO) VIGENCIA 2022</t>
  </si>
  <si>
    <t>% PESO 2022</t>
  </si>
  <si>
    <t>META VIGENCIA  2022</t>
  </si>
  <si>
    <t>II PRODUCTO (FÍSICO) VIGENCIA 2023</t>
  </si>
  <si>
    <t>% PESO 2023</t>
  </si>
  <si>
    <t>META VIGENCIA  2023</t>
  </si>
  <si>
    <t>II PRODUCTO (FÍSICO) VIGENCIA 2024</t>
  </si>
  <si>
    <t>% PESO 2024</t>
  </si>
  <si>
    <t>META VIGENCIA  2024</t>
  </si>
  <si>
    <t>III ACTIVIDADES SUIFT (PRESUPUESTO) VIGENCIA 2020</t>
  </si>
  <si>
    <t>ACTIVIDAD (SUIFT) META (SEGPLAN)</t>
  </si>
  <si>
    <t>PRESUPUESTO VIGENCIA SUIFP 2020</t>
  </si>
  <si>
    <t>PRESUPUESTO
OBLIGADO (GIRADO) 2020</t>
  </si>
  <si>
    <t>Observación mensual (200 Caracteres)</t>
  </si>
  <si>
    <t>III ACTIVIDADES SUIFT (PRESUPUESTO) VIGENCIA 2021</t>
  </si>
  <si>
    <t>PRESUPUESTO VIGENCIA SUIFP 2021</t>
  </si>
  <si>
    <t>PRESUPUESTO
OBLIGADO (GIRADO) 2021</t>
  </si>
  <si>
    <t>III ACTIVIDADES SUIFT (PRESUPUESTO) VIGENCIA 2023</t>
  </si>
  <si>
    <t>PRESUPUESTO VIGENCIA SUIFP 2023</t>
  </si>
  <si>
    <t>PRESUPUESTO
OBLIGADO (GIRADO) 2023</t>
  </si>
  <si>
    <t>III ACTIVIDADES SUIFT (PRESUPUESTO) VIGENCIA 2024</t>
  </si>
  <si>
    <t>PRESUPUESTO VIGENCIA SUIFP 2024</t>
  </si>
  <si>
    <t>PRESUPUESTO
OBLIGADO (GIRADO) 2024</t>
  </si>
  <si>
    <t>IV GESTIÓN  (FÍSICO) VIGENCIA 2020</t>
  </si>
  <si>
    <t>DESCRIPCIÓN DEL INDICADORES DE GESTIÓN</t>
  </si>
  <si>
    <t>META VIGENCIA 2020</t>
  </si>
  <si>
    <t>AVANCE META VIGENCIA 2020</t>
  </si>
  <si>
    <t>% AVANCE META VIGENCIA 2020</t>
  </si>
  <si>
    <t>IV GESTIÓN  (FÍSICO) VIGENCIA 2022</t>
  </si>
  <si>
    <t>META VIGENCIA 2022</t>
  </si>
  <si>
    <t>AVANCE META VIGENCIA 2022</t>
  </si>
  <si>
    <t>% AVANCE META VIGENCIA 2022</t>
  </si>
  <si>
    <t>IV GESTIÓN  (FÍSICO) VIGENCIA 2023</t>
  </si>
  <si>
    <t>META VIGENCIA 2023</t>
  </si>
  <si>
    <t>AVANCE META VIGENCIA 2023</t>
  </si>
  <si>
    <t>% AVANCE META VIGENCIA 2023</t>
  </si>
  <si>
    <t>IV GESTIÓN  (FÍSICO) VIGENCIA 2024</t>
  </si>
  <si>
    <t>META VIGENCIA 2024</t>
  </si>
  <si>
    <t>AVANCE META VIGENCIA 2024</t>
  </si>
  <si>
    <t>% AVANCE META VIGENCIA 2024</t>
  </si>
  <si>
    <t>12-OTROS DISTRITO</t>
  </si>
  <si>
    <t>IV GESTIÓN  (FÍSICO) VIGENCIA 2021</t>
  </si>
  <si>
    <t>II PRODUCTO (FÍSICO) VIGENCIA 2021</t>
  </si>
  <si>
    <t>META VIGENCIA 2021</t>
  </si>
  <si>
    <t>AVANCE META VIGENCIA 2021</t>
  </si>
  <si>
    <t>% AVANCE META VIGENCIA 2021</t>
  </si>
  <si>
    <r>
      <t xml:space="preserve">PROGRAMADO </t>
    </r>
    <r>
      <rPr>
        <b/>
        <sz val="12"/>
        <rFont val="Arial"/>
        <family val="2"/>
      </rPr>
      <t>ENE.</t>
    </r>
  </si>
  <si>
    <r>
      <t>PROGRAMADO</t>
    </r>
    <r>
      <rPr>
        <b/>
        <sz val="12"/>
        <rFont val="Arial"/>
        <family val="2"/>
      </rPr>
      <t xml:space="preserve"> FEB.</t>
    </r>
  </si>
  <si>
    <r>
      <t xml:space="preserve">PROGRAMADO </t>
    </r>
    <r>
      <rPr>
        <b/>
        <sz val="12"/>
        <rFont val="Arial"/>
        <family val="2"/>
      </rPr>
      <t>MAR.</t>
    </r>
  </si>
  <si>
    <r>
      <t xml:space="preserve">PROGRAMADO </t>
    </r>
    <r>
      <rPr>
        <b/>
        <sz val="12"/>
        <rFont val="Arial"/>
        <family val="2"/>
      </rPr>
      <t>ABR.</t>
    </r>
  </si>
  <si>
    <r>
      <t xml:space="preserve">PROGRAMADO </t>
    </r>
    <r>
      <rPr>
        <b/>
        <sz val="12"/>
        <rFont val="Arial"/>
        <family val="2"/>
      </rPr>
      <t>MAY.</t>
    </r>
  </si>
  <si>
    <r>
      <t>PROGRAMADO</t>
    </r>
    <r>
      <rPr>
        <b/>
        <sz val="12"/>
        <rFont val="Arial"/>
        <family val="2"/>
      </rPr>
      <t xml:space="preserve"> JUN.</t>
    </r>
  </si>
  <si>
    <r>
      <t>PROGRAMADO</t>
    </r>
    <r>
      <rPr>
        <b/>
        <sz val="12"/>
        <rFont val="Arial"/>
        <family val="2"/>
      </rPr>
      <t xml:space="preserve"> JUL.</t>
    </r>
  </si>
  <si>
    <r>
      <t xml:space="preserve">PROGRAMADO </t>
    </r>
    <r>
      <rPr>
        <b/>
        <sz val="12"/>
        <rFont val="Arial"/>
        <family val="2"/>
      </rPr>
      <t>AGO.</t>
    </r>
  </si>
  <si>
    <r>
      <t xml:space="preserve">PROGRAMADO </t>
    </r>
    <r>
      <rPr>
        <b/>
        <sz val="12"/>
        <rFont val="Arial"/>
        <family val="2"/>
      </rPr>
      <t>SEP.</t>
    </r>
  </si>
  <si>
    <r>
      <t>PROGRAMADO</t>
    </r>
    <r>
      <rPr>
        <b/>
        <sz val="12"/>
        <rFont val="Arial"/>
        <family val="2"/>
      </rPr>
      <t xml:space="preserve"> OCT.</t>
    </r>
  </si>
  <si>
    <r>
      <t xml:space="preserve">PROGRAMADO </t>
    </r>
    <r>
      <rPr>
        <b/>
        <sz val="12"/>
        <rFont val="Arial"/>
        <family val="2"/>
      </rPr>
      <t>NOV.</t>
    </r>
  </si>
  <si>
    <r>
      <t xml:space="preserve">PROGRAMADO  </t>
    </r>
    <r>
      <rPr>
        <b/>
        <sz val="12"/>
        <rFont val="Arial"/>
        <family val="2"/>
      </rPr>
      <t>DIC.</t>
    </r>
  </si>
  <si>
    <t>GIRO VIGENCIA</t>
  </si>
  <si>
    <t>PROGRAMADO VALOR ABSOLUTO VIGENCIA</t>
  </si>
  <si>
    <r>
      <t xml:space="preserve">EJECUTADO </t>
    </r>
    <r>
      <rPr>
        <b/>
        <sz val="12"/>
        <rFont val="Arial"/>
        <family val="2"/>
      </rPr>
      <t>JUN.</t>
    </r>
  </si>
  <si>
    <r>
      <t xml:space="preserve">EJECUTADO </t>
    </r>
    <r>
      <rPr>
        <b/>
        <sz val="12"/>
        <rFont val="Arial"/>
        <family val="2"/>
      </rPr>
      <t>DIC.</t>
    </r>
  </si>
  <si>
    <t>3, % CUMPLIMIENTO 
(En el periodo)</t>
  </si>
  <si>
    <t>4, % CUMPLIMIENTO ACUMULADO (al periodo)</t>
  </si>
  <si>
    <t>5, % CUMPLIMIENTO ACUMULADO (Vigencia) SEGPLAN</t>
  </si>
  <si>
    <t>PROGRAMADO ACUMULADO AL PERIODO
AÑO 2022</t>
  </si>
  <si>
    <t>EJECUTADO ACUMUALDO AL PERIODO
 AÑO 2022</t>
  </si>
  <si>
    <t>PROGRAMADO ACUMULADO SEGPLAN
AÑO 2022</t>
  </si>
  <si>
    <t>EJECUTADO ACUMUALDO  SEGPLAN
 AÑO 2022</t>
  </si>
  <si>
    <t>2, PROGRAMACIÓN Y EJECUCIÓN</t>
  </si>
  <si>
    <t>2. PROGRAMACIÓN Y EJECUCIÓN</t>
  </si>
  <si>
    <t>PROGRAMADO ACUMULADO AL PERIODO
AÑO 2023</t>
  </si>
  <si>
    <t>EJECUTADO ACUMUALDO AL PERIODO
 AÑO 2023</t>
  </si>
  <si>
    <t>PROGRAMADO ACUMULADO SEGPLAN
AÑO 2023</t>
  </si>
  <si>
    <t>EJECUTADO ACUMUALDO  SEGPLAN
 AÑO 2023</t>
  </si>
  <si>
    <t>PROGRAMADO ACUMULADO AL PERIODO
AÑO 2024</t>
  </si>
  <si>
    <t>EJECUTADO ACUMUALDO AL PERIODO
 AÑO 2024</t>
  </si>
  <si>
    <t>PROGRAMADO ACUMULADO SEGPLAN
AÑO 2024</t>
  </si>
  <si>
    <t>EJECUTADO ACUMUALDO  SEGPLAN
 AÑO 2024</t>
  </si>
  <si>
    <r>
      <t xml:space="preserve">REPROGRAMACIÓN </t>
    </r>
    <r>
      <rPr>
        <b/>
        <sz val="12"/>
        <rFont val="Arial"/>
        <family val="2"/>
      </rPr>
      <t>VIGENCIA 
(VALOR INICIAL)</t>
    </r>
  </si>
  <si>
    <r>
      <t>Versión:</t>
    </r>
    <r>
      <rPr>
        <b/>
        <sz val="20"/>
        <color rgb="FFFF0000"/>
        <rFont val="Arial"/>
        <family val="2"/>
      </rPr>
      <t xml:space="preserve"> </t>
    </r>
    <r>
      <rPr>
        <b/>
        <sz val="20"/>
        <rFont val="Arial"/>
        <family val="2"/>
      </rPr>
      <t>14</t>
    </r>
  </si>
  <si>
    <t>Versión : 14</t>
  </si>
  <si>
    <t xml:space="preserve"> Versión : 14</t>
  </si>
  <si>
    <t>PROGRAMADO ACUMULADO SEGPLAN
AÑO 2021</t>
  </si>
  <si>
    <t>EJECUTADO ACUMUALDO AL PERIODO
 AÑO 2021</t>
  </si>
  <si>
    <t>PROGRAMADO ACUMULADO AL PERIODO
AÑO 2021</t>
  </si>
  <si>
    <t>7 ,% DE AVANCE CUATRIENIO</t>
  </si>
  <si>
    <t>8, DESCRIPCIÓN DE LOS AVANCES Y LOGROS ALCANZADOS</t>
  </si>
  <si>
    <t xml:space="preserve">9, RETRASOS 
</t>
  </si>
  <si>
    <t xml:space="preserve">10, SOLUCIONES PLANTEADAS </t>
  </si>
  <si>
    <t>12, FUENTE DE EVIDENCIAS</t>
  </si>
  <si>
    <t>11,  BENEFICIOS O RESULTADOS A LA POBLACIÓN</t>
  </si>
  <si>
    <t>PROGRAMADO ACUMULADO AL PERIODO
AÑO 2020</t>
  </si>
  <si>
    <t>EJECUTADO ACUMUALDO AL PERIODO
 AÑO 2020</t>
  </si>
  <si>
    <t>PROGRAMADO ACUMULADO SEGPLAN
AÑO 2020</t>
  </si>
  <si>
    <t>EJECUTADO ACUMUALDO  SEGPLAN
 AÑO 2020</t>
  </si>
  <si>
    <t>Formato: Programación, Actualización y Seguimiento del Plan de Acción -  Componente de gestión</t>
  </si>
  <si>
    <t>Formato: Programación, Actualización y Seguimiento del Plan de Acción -Componente de Inversión</t>
  </si>
  <si>
    <t>Formato: Programación, Actualización y Seguimiento del Plan de Acción - Componente de Actividades</t>
  </si>
  <si>
    <t>Versión: 14</t>
  </si>
  <si>
    <t>Se agregan  en el componente de gestión y de inversión nuevas columnas para establecer más patrones de medición</t>
  </si>
  <si>
    <t xml:space="preserve">Subdirección de Calidad del Aire, Auditiva y Visual																																																																																																																																							</t>
  </si>
  <si>
    <t xml:space="preserve">7778 - Control a los factores de deterioro de calidad del aire, acústica y visual del Distrito Capital. Bogotá																																																																																																																																							</t>
  </si>
  <si>
    <t xml:space="preserve">02 Cambiar nuestros hábitos de vida para reverdecer a Bogotá y adaptarnos y mitigar la crisis																																																																																																																																							</t>
  </si>
  <si>
    <t xml:space="preserve">35 Manejo y prevención de contaminación																																																																																																																																							</t>
  </si>
  <si>
    <t>Realizar 4.000 acciones de seguimiento y control sobre los elementos de publicidad exterior visual instalados en las zonas con mayor densidad.</t>
  </si>
  <si>
    <t>Número de Acciones de Seguimiento realizadas</t>
  </si>
  <si>
    <t>Numero</t>
  </si>
  <si>
    <t>Suma</t>
  </si>
  <si>
    <t>Realizar 4.700 acciones de seguimiento y control de emisión de ruido a los establecimientos de comercio, industria y servicio ubicados en el perímetro urbano del DC.</t>
  </si>
  <si>
    <t>Realizar el 100% de las acciones para operar, mantener y ampliar la red de monitoreo de ruido ambiental de Bogotá para la identificación de la población urbana afectada por ruido en el Distrito.</t>
  </si>
  <si>
    <t>Porcentaje de acciones  de operación, mantenimiento y monitoreo de la red de ruido realizadas</t>
  </si>
  <si>
    <t>%</t>
  </si>
  <si>
    <t>Constante</t>
  </si>
  <si>
    <t>Reducir en el 10% como promedio ponderado ciudad, la concentración de material particulado PM10 y PM2.5, mediante la implementación del Plan de Gestión Integral de Calidad de Aire</t>
  </si>
  <si>
    <t>Concentración promedio ponderado de ciudad de material particulado PM10.</t>
  </si>
  <si>
    <t>ug/m3</t>
  </si>
  <si>
    <t>Decreciente</t>
  </si>
  <si>
    <t>-</t>
  </si>
  <si>
    <t>( - )</t>
  </si>
  <si>
    <t>6, % CUMPLIMIENTO ACUMULADO (al periodo) cuatrienio</t>
  </si>
  <si>
    <t>REPROGRAMACIÓN VIGENCIA 
(VALOR INICIAL)</t>
  </si>
  <si>
    <t>PROGRAMADO JUN.</t>
  </si>
  <si>
    <t>EJECUTADO JUN.</t>
  </si>
  <si>
    <t>PROGRAMADO JUL.</t>
  </si>
  <si>
    <t>EJECUTADO  JUL.</t>
  </si>
  <si>
    <t>PROGRAMADO AGO.</t>
  </si>
  <si>
    <t>EJECUTADO  AGO.</t>
  </si>
  <si>
    <t>PROGRAMADO SEP.</t>
  </si>
  <si>
    <t>EJECUTADO  SEP.</t>
  </si>
  <si>
    <t>PROGRAMADO OCT.</t>
  </si>
  <si>
    <t>EJECUTADO  OCT.</t>
  </si>
  <si>
    <t>PROGRAMADO NOV.</t>
  </si>
  <si>
    <t>EJECUTADO NOV.</t>
  </si>
  <si>
    <t>PROGRAMADO  DIC.</t>
  </si>
  <si>
    <t>EJECUTADO DIC.</t>
  </si>
  <si>
    <t>PROGRAMADO ENE.</t>
  </si>
  <si>
    <t>EJECUTADO ENE.</t>
  </si>
  <si>
    <t>PROGRAMADO FEB.</t>
  </si>
  <si>
    <t>EJECUTADO FEB.</t>
  </si>
  <si>
    <t>PROGRAMADO MAR.</t>
  </si>
  <si>
    <t>EJECUTADO MAR.</t>
  </si>
  <si>
    <t>PROGRAMADO ABR.</t>
  </si>
  <si>
    <t>EJECUTADO ABR.</t>
  </si>
  <si>
    <t>PROGRAMADO MAY.</t>
  </si>
  <si>
    <t>EJECUTADO  MAY.</t>
  </si>
  <si>
    <t>Aire</t>
  </si>
  <si>
    <t xml:space="preserve">Ruido
</t>
  </si>
  <si>
    <t xml:space="preserve">Red de Ruido
</t>
  </si>
  <si>
    <t>Visual</t>
  </si>
  <si>
    <t>Realizar el 100% de las acciones para operar, mantener y ampliar la red de monitoreo de calidad del aire.</t>
  </si>
  <si>
    <t xml:space="preserve">Formular 29 documentos técnicos de formulación, seguimiento o evaluación de la gestión integral de la calidad del aire de Bogotá.
</t>
  </si>
  <si>
    <t xml:space="preserve">Realizar 4.700 acciones de evaluación, seguimiento y control de emisión de ruido a los establecimientos de comercio, industria y servicio ubicados en el perímetro urbano del D.C.
</t>
  </si>
  <si>
    <t xml:space="preserve">Realizar el 100% de las acciones para operar, mantener y ampliar la Red de Monitoreo de Ruido Ambiental de Bogotá para la identificación de la población urbana afectada por ruido en el distrito.
</t>
  </si>
  <si>
    <t xml:space="preserve">Realizar 7.948 acciones técnico-jurídicas de evaluación, seguimiento y control sobre los elementos de publicidad exterior visual - PEV, instalados en el perímetro urbano del D.C.
</t>
  </si>
  <si>
    <t xml:space="preserve">Atender el 100% de los conceptos técnicos que recomiendan actuaciones administrativas sancionatorias durante la vigencia para mejorar la eficiencia del proceso sancionatorio ambiental.
</t>
  </si>
  <si>
    <t xml:space="preserve">Constante
</t>
  </si>
  <si>
    <t>100%%</t>
  </si>
  <si>
    <t xml:space="preserve">Subdirección de Calidad del Aire, Auditiva y Visual		</t>
  </si>
  <si>
    <t xml:space="preserve">7778 - Control a los factores de deterioro de calidad del aire, acústica y visual del Distrito Capital. Bogotá		</t>
  </si>
  <si>
    <t>Realizar el 100% de las acciones para operar, mantener y ampliar la red de monitoreo de calidad del aire</t>
  </si>
  <si>
    <t>X</t>
  </si>
  <si>
    <t>Ruido</t>
  </si>
  <si>
    <t>Red de Ruido</t>
  </si>
  <si>
    <t>Realizar el 100% de las acciones para operar, mantener y ampliar la Red de Monitoreo de Ruido Ambiental de Bogotá para la identificación de la población urbana afectada por ruido en el distrito.</t>
  </si>
  <si>
    <t>Realizar 7.948 acciones técnico-jurídicas de evaluación, seguimiento y control sobre los elementos de publicidad exterior visual - PEV, instalados en el perímetro urbano del D.C.</t>
  </si>
  <si>
    <t>Atender el 100% de los conceptos técnicos que recomiendan actuaciones administrativas sancionatorias durante la vigencia para mejorar la eficiencia del proceso sancionatorio ambiental</t>
  </si>
  <si>
    <t>Bogotá D.C. Nota: El Plan de Gestión Integral de Calidad del Aire se encuentra enmarcado en las acciones de monitoreo, control y gestión a la calidad del aire, las cuales serán realizadas conjuntamente como ciudad en el marco del desarrollo de gobernanza, es decir que las estrategias, planes y proyectos estarán orientados al cumplimiento de la meta de reducir el 10% promedio ponderado de Material Partículado PM10 y PM2.5 para la ciudad. Como instrumento de planeación aplica para la ciudad y no cuenta con un diferenciador por localidad, sino como eje articulador de acciones que se desarrollen para mejorar la calidad del aire de la ciudad.</t>
  </si>
  <si>
    <t>Todas las Localidades (19).</t>
  </si>
  <si>
    <t>N.A</t>
  </si>
  <si>
    <t>Guaymaral	GYR	4°47'1.52"N	74°2'39.06"W
Usaquén	USQ	4°42'37.26"N	74°1'49.50"W
Suba	SUB	4°45'40.49"N	74° 5'36.46"W
Bolivia	BOL	4°44'9.12"N	74°7'33.18"W
Las Ferias	LFR	4°41'26.52"N	74°4'56.94"W
Centro de Alto Rendimiento	CDAR	4°39'30.48"N	74°5'2.28"W
Estación Móvil 7ma	MOV	4°38'32.75"N	74°5'2.28"W
MinAmbiente	MAM	4°37'31.75"N	74°4'1.13"W
Fontibón	FTB	4°40'41.67"N	74°8'37.75"W
Puente Aranda	PTE	4°37'54.36"N	74°7'2.94"W
Kennedy	KEN	4°37'30.18"N	74°9'40.80"W
Carvajal - Sevillana	CSE	4°35'44.22"N	74°8'54.90"W
Tunal	TUN	4°34'34.41"N	74°7'51.44"W
San Cristóbal	SCR	4°34'21.19"N	74°5'1.73"W
El Jazmín	JAZ	4°36'30.6"N 	74°06'53.8"W
Usme 	USM	4°31'55.4"N 	74°07'01.7"W
Bosa	BOS	4°36'20.2"N 	74°12'14.6"W
Ciudad Bolívar	CBV	4°34'40.1"N 	74°09'58.6"W
Colina	COL	4°44'14.1"N 	74°04'10.0"W
Móvil Fontibón	MOV2	4°40'03.7"N 	74°08'55.9"W</t>
  </si>
  <si>
    <t>DISTRITO CAPITAL</t>
  </si>
  <si>
    <t>Formular 29 documentos técnicos de formulación, seguimiento o evaluación de la gestión integral de la calidad del aire de Bogotá</t>
  </si>
  <si>
    <t>Realizar 8 informes de acciones de evaluación, control y seguimiento a fuentes fijas y fuentes móviles incluidos centros de diagnóstico automotor que operan en el distrito capital.</t>
  </si>
  <si>
    <t>Realizar 4.700 acciones de evaluación, seguimiento y control de emisión de ruido a los establecimientos de comercio, industria y servicio ubicados en el perímetro urbano del D.C.</t>
  </si>
  <si>
    <t xml:space="preserve">Bogotá D.C. Nota: La ejecución y cumplimiento de la meta del Proyecto de Inversión, se desarrolla sobre el Distrito Capital toda vez que su acción de evaluación, control y seguimiento no se delimitan a una o varias zonas especificas, la medición, impacto y resultados generados se aplican a nivel ciudad. </t>
  </si>
  <si>
    <t>1	CAI La Aurora	4,520859002	-74,122551	USME	UPZ57	GRAN YOMASA	Carrera 14L No. 71-03 Sur
2	CAI 20 De Julio	4,572536002	-74,092696	SAN CRISTOBAL	UPZ34	20 DE JULIO	calle 20 a sur No. 6A-46
3	CAI Ciudad Berna	4,582926002	-74,090467	ANTONIO NARIÑO	UPZ35	CIUDAD JARDIN	Calle 11 sur No. 10-03
4	CAI Claret	4,583737001	-74,127257	RAFAEL URIBE URIBE	UPZ39	QUIROGA	Calle 44 No. 27-50 Sur
5	Antonio Nariño	4,584800787	-74,10007024	ANTONIO NARIÃ‘O	UPZ38	RESTREPO	Calle 17 sur No. 16-91
6	CAI Venecia	4,589745001	-74,138379	TUNJUELITO	UPZ42	VENECIA	 Transv 44 No. 50G-00 Sur
7	CAI San Victorino	4,601214002	-74,081783	LOS MARTIRES	UPZ102	LA SABANA	Avenida Caracas con Calle 10
8	CAI Tejar	4,609127001	-74,128176	PUENTE ARANDA	UPZ40	CIUDAD MONTES	Avenida Carrera 68 con Avenida 1 de Mayo
9	CAI Caldas	4,632131001	-74,154017	KENNEDY	UPZ46	CASTILLA	Diagonal 38 sur Carrera 80
10	Edificio Marly	4,637504515	-74,06424644	CHAPINERO	UPZ99	CHAPINERO	Carrera 9 No. 50-60
11	Secretaria Distrital de Ambiente	4,641740007	-74,06575488	CHAPINERO	UPZ99	CHAPINERO	Avenida caracas No. 54-38
12	CAI Galerías	4,641821001	-74,07461	TEUSAQUILLO	UPZ100	GALERIAS	Calle 53 No. 25-01
13	CAI Siete De Agosto	4,658550001	-74,077148	BARRIOS UNIDOS	UPZ98	LOS ALCAZARES	Carrera 30 con Calle 64
14	CAI Modelia	4,664866001	-74,118697	FONTIBON	UPZ114	MODELIA	Carrera 74 No. 24-22
15	Estación Policía Fontibón	4,667842705	-74,14854885	FONTIBON	UPZ75	FONTIBON	Carrera 98 No. 16B-50
16	Jardín Botánico	4,668859017	-74,09874723	ENGATIVA	UPZ105	JARDIN BOTANICO	Calle 63 No. 68-95
17	Hotel Morrison	4,669047548	-74,05441343	CHAPINERO	UPZ97	CHICO LAGO	Calle 84 Bis No. 13-54
18	Estación Policía Santa Cecilia	4,669752341	-74,11901859	FONTIBON	UPZ114	MODELIA	Carrera 81 No. 24D-75
19	Cruz Roja Colombiana	4,673240542	-74,08914905	ENGATIVA	UPZ26	LAS FERIAS	Carrera 68 No. 68B-31
20	Alcaldía Local de Fontibón	4,673435455	-74,14407712	FONTIBON	UPZ75	FONTIBON	Carrera 99 No. 19-43
21	CAI Villa Luz	4,681289001	-74,107361	ENGATIVA	UPZ31	SANTA CECILIA	Carrera 77A No. 64C-26
22	CAI Álamos	4,690443001	-74,117244	ENGATIVA	UPZ116	ALAMOS	Transversal 93 No. 64G-00
23	CAI Navarra	4,695576001	-74,055263	USAQUEN	UPZ16	SANTA BARBARA	Autopista Norte No. 108A-60
24	Edificio Ejecutivo Plaza	4,699811326	-74,05065773	USAQUEN	UPZ16	SANTA BARBARA	Carrera 19A No. 118-13
25	CAI Villa Nidia	4,737773001	-74,022585	USAQUEN	UPZ11	SAN CRISTOBAL NORTE	Calle 163 No. 6A-25
26	CAI Villa Del Prado	4,753339688	-74,04699756	SUBA	UPZ17	SAN JOSE DE BAVARIA	Calle 172 con Autopista Norte</t>
  </si>
  <si>
    <t>Bogotá D.C.</t>
  </si>
  <si>
    <t>*Disminución de la afectación paisajística originada por la sobreexposición de elementos publicitarios en Bogotá a través de la pedagogía y las actuaciones administrativas y jurídicas sobre los presuntos infractores.
*Legalización de la publicidad exterior visual en la ciudad.</t>
  </si>
  <si>
    <t>Información generada por el equipo de trabajo de Publicidad Exterior Visual - PEV.</t>
  </si>
  <si>
    <t>Las metas planteadas, implican la evaluación, control y seguimiento a fuentes de emisión de ruido, para así, identificar aquellas zonas donde las actividades de comercio, industria o servicio están impactando de forma negativa las condiciones acústicas del sector donde se desarrollan, de esta forma, perjudicando la calidad de vida de la comunidad circunvecina, esta identificación debe permitir que la gestión para el mejoramiento del bienestar, la salud y calidad de vida de los ciudadanos en el D.C sea más efectiva por todos los actores involucrados en la problemática ambiental del ruido, esto en el entendido que el compromiso frente al fomento de la calidad acústica del Distrito, depende de todos los generadores de emisiones, por medio del cumplimiento normativo ambiental vigente, que se traduce en una mejor calidad de vida para los ciudadanos.</t>
  </si>
  <si>
    <t>Sistema de Información Ambiental de la Entidad Forest.</t>
  </si>
  <si>
    <t>La correcta operación de la Red de Ruido de Bogotá, permiten una mejor cobertura del monitoreo de niveles de ruido ambiental, así como la identificación de zonas con fuentes sonoras de alto impacto con las cuales se establecen los insumos para la identificación de la población afectada por ruido en el Distrito.</t>
  </si>
  <si>
    <t>la evidencia esta cargada en el servidor de la SCAAV. Isolucion - Sistema de Información Ambiental de la Entidad Forest.</t>
  </si>
  <si>
    <t>Mantener las condiciones ambientales atmosféricas de la ciudad, de acuerdo con la norma nacional de calidad del aire con el objetivo de mejorar las condiciones de vida de la población de la ciudad.</t>
  </si>
  <si>
    <t>http://rmcab.ambientebogota.gov.co</t>
  </si>
  <si>
    <t xml:space="preserve">Realizar 8 informes de acciones de evaluación, control y seguimiento a fuentes fijas y fuentes móviles incluidos centros de diagnóstico automotor que operan en el distrito capital.
</t>
  </si>
  <si>
    <t xml:space="preserve">Formular 29 documentos técnicos de formulación, seguimiento o evaluación de la gestión integral de la calidad del aire de Bogotá
</t>
  </si>
  <si>
    <t>En el marco de la gestión integral de la calidad del aire de Bogotá, hasta la fecha (Junio-2021) se ha venido trabajando en el desarrollo de 3 documentos técnicos, los cuales son: 1. Documento técnico de Plan Aire con sus respectivos anexos y el Decreto del Plan Aire, en el cual se realizaron los ajustes relaciones a las observaciones dadas por la Secretaría Jurídica, el cual se encuentra en proceso de firma en el despacho de la Alcaldía de Bogotá. 2. Plan de Contingencia Distrital para la atención de episodios por condiciones desfavorables de calidad del aire en la ciudad, el cual recibió observaciones del IDIGER y en este momento se encuentran realizando las debidas correcciones, así mismo, se adelantó la Mesa Regional de Calidad del Aire con el propósito de conocer los procedimientos aplicados por la CAR para la atención de episodios de contaminación atmosférica y por último se entregan los avances de la metodología para la evaluación y ajuste de los intervalos del IBOCA. 3. Documento de modelación, el cual se entrega en su versión final para ser revisado y aprobado por parte del subdirector de calidad del aire y así pueda ser publicado.</t>
  </si>
  <si>
    <t>Subdirección de Calidad del Aire, Auditiva y Visual</t>
  </si>
  <si>
    <t>7778 - Control a los factores de deterioro de calidad del aire, acústica y visual del Distrito Capital. Bogotá</t>
  </si>
  <si>
    <t>META PROYECTO</t>
  </si>
  <si>
    <t>ATENDER EL 100% DE LOS CONCEPTOS TÉCNICOS QUE RECOMIENDAN ACTUACIONES ADMINISTRATIVAS SANCIONATORIAS DURANTE LA VIGENCIA PARA MEJORAR LA EFICIENCIA DEL PROCESO SANCIONATORIO AMBIENTAL.</t>
  </si>
  <si>
    <t>FORMULAR 29 DOCUMENTOS TÉCNICOS DE FORMULACIÓN, SEGUIMIENTO O EVALUACIÓN DE LA GESTIÓN INTEGRAL DE LA CALIDAD DEL AIRE DE BOGOTÁ</t>
  </si>
  <si>
    <t>74-RECURSOS PASIVOS EXIGIBLES OTROS DISTRITO</t>
  </si>
  <si>
    <t>REALIZAR 4.000 ACCIONES TÉCNICO-JURÍDICAS DE EVALUACIÓN, SEGUIMIENTO Y CONTROL SOBRE LOS ELEMENTOS DE PUBLICIDAD EXTERIOR VISUAL - PEV, INSTALADOS EN EL PERÍMETRO URBANO DEL D.C.</t>
  </si>
  <si>
    <t>492-MULTAS AMBIENTALES</t>
  </si>
  <si>
    <t>REALIZAR 4.700 ACCIONES DE EVALUACIÓN, SEGUIMIENTO Y CONTROL DE EMISIÓN DE RUIDO A LOS ESTABLECIMIENTOS DE COMERCIO, INDUSTRIA Y SERVICIO UBICADOS EN EL PERÍMETRO URBANO DEL D.C.</t>
  </si>
  <si>
    <t>152-RECURSOS PASIVOS MULTAS</t>
  </si>
  <si>
    <t>REALIZAR 8 INFORMES DE ACCIONES DE EVALUACIÓN, CONTROL Y SEGUIMIENTO A FUENTES FIJAS Y FUENTES MÓVILES INCLUIDOS CENTROS DE DIAGNÓSTICO AUTOMOTOR QUE OPERAN EN EL DISTRITO CAPITAL</t>
  </si>
  <si>
    <t>REALIZAR EL 100% DE ACCIONES PARA OPERAR, MANTENER Y AMPLIAR LA RED DE MONITOREO DE RUIDO AMBIENTAL DE BOGOTÁ PARA LA IDENTIFICACIÓN DE LA POBLACIÓN URBANA AFECTADA POR RUIDO EN EL DISTRITO.</t>
  </si>
  <si>
    <t>REALIZAR EL 100% DE LAS ACCIONES PARA OPERAR, MANTENER Y AMPLIAR LA RED DE MONITOREO DE CALIDAD DEL AIRE</t>
  </si>
  <si>
    <t>1-100-F001-VA-RECURSOS DISTRITO</t>
  </si>
  <si>
    <t>1-100-I073-VA-MULTAS AMBIENTALES</t>
  </si>
  <si>
    <t>1-200-I056-RB-MULTAS AMBIENTALES</t>
  </si>
  <si>
    <t>1.	Controlar y gestionar las emisiones contaminantes generadas por las diferentes fuentes de contaminación atmosférica.</t>
  </si>
  <si>
    <t>271-REDUCIR EN UN 10% COMO PROMEDIO PONDERADO CIUDAD, LA CONCENTRACIÓN DE MATERIAL PARTICULADO PM10 Y PM2.5, MEDIANTE LA IMPLEMENTACIÓN DEL PLAN DE GESTIÓN INTEGRAL DE LA CALIDAD DE AIRE.</t>
  </si>
  <si>
    <t>Porcentaje de reducción en la concentración
promedio ponderado del material partículado PM10 y PM2.5 en la ciudad</t>
  </si>
  <si>
    <t>Porcentaje</t>
  </si>
  <si>
    <t xml:space="preserve">Para el mes de julio de 2020, se remite el reporte de los mantenimientos preventivos y correctivos que se han realizado durante el mes, estos han sido ejecutados por los técnicos de campo. En el reporte se relaciona la fecha del mantenimiento, el No. de inventario, el nombre y la ubicación del equipo, la actividad que se realiza, el tipo de mantenimiento, el técnico responsable y la estación en la cual se realizó el mantenimiento. 
Por otro lado, se realizó la validación diaria de los datos de concentraciones de contaminantes criterio y parámetros meteorológicos que monitorea la RMCAB, se adjunta reporte de operatividad en el que se evidencia un 95,1% de los datos validos para el mes. 
Se realizó el análisis de datos del mes de junio de 2020 para plasmarlo en el informe de calidad del aire, se adjunta el documento de Excel en el que se evidencia el tratamiento de los datos. Asimismo, el equipo de la RMCAB en el mes de julio de 2020 elaboró y publicó el informe mensual de junio. Se adjunta copia de este.  </t>
  </si>
  <si>
    <t xml:space="preserve">No fueron programados avances para el mes de julio, la ejecución respectiva se realizará desde el mes de agosto </t>
  </si>
  <si>
    <t>Julio de 2020: Con el fin de construir el informe correspondiente al segundo semestre de 2020, se realizó intervención mediante actuaciones técnicas, atención a PQRs, visitas de control, acompañamientos entre otras actividades del sector de fuentes fijas, operativos de medición de seguimiento y control ambiental de emisiones a vehículos que transitan en el Distrito, visitas técnicas de auditoria  a centros de diagnóstico automotor del Distrito Capital y la caracterización de procedimientos vigentes correspondientes al control y seguimiento de fuentes móviles, con esta información se adelanta la construcción del informe de acciones de evaluación, control y seguimiento a las fuentes fijas y móviles.</t>
  </si>
  <si>
    <t>2.	Determinar las condiciones acústicas ambientales predominantes, que permitan   gestionar el mejoramiento del bienestar, la salud y calidad de vida de los ciudadanos en el D.C.</t>
  </si>
  <si>
    <t>269-REALIZAR 4.700 ACCIONES DE SEGUIMIENTO Y CONTROL DE EMISIÓN DE RUIDO A LOS ESTABLECIMIENTOS DE COMERCIO, INDUSTRIA Y SERVICIO UBICADOS EN EL PERÍMETRO URBANO DEL D.C.</t>
  </si>
  <si>
    <t>Número de acciones realizadas</t>
  </si>
  <si>
    <t>En cumplimiento a la meta plan de desarrollo planteada para el periodo de julio  2020, el área técnica de ruido realizó cinco (5) visitas técnicas, de las cuales una (1), corresponde a visita efectiva con medición, cuatro (4) visitas no efectivas por presencia de piso húmedo y/o presencia de lloviznas, las cuales, son objeto de reprogramación (articulo 20° Resolución 0627 de 2006) y tres (3) actuaciones técnicas correspondientes a otros documentos, dos (2) Conceptos Técnicos Aclaratorios y un (1) Concepto de Favorabilidad SUGA.  La Meta del proyecto de Inversión presenta avance en el mes de Julio, toda vez que las acciones realizadas se ejecutaron al comienzo del mes de Julio con personal contratado vigente desde el mes de marzo de 2020 y aun en el Plan de Desarrollo BMPT.</t>
  </si>
  <si>
    <t>3.	Fortalecer la cobertura de monitoreo de fuentes de emisión de ruido</t>
  </si>
  <si>
    <t>270-REALIZAR EL 100% DE LAS ACCIONES PARA OPERAR, MANTENER Y AMPLIAR LA RED DE MONITOREO DE RUIDO AMBIENTAL DE BOGOTÁ PARA LA IDENTIFICACIÓN DE LA POBLACIÓN URBANA AFECTADA POR RUIDO EN EL DISTRITO</t>
  </si>
  <si>
    <t>Porcentaje de acciones de operación,
mantenimiento y monitoreo de la red de ruido
realizadas</t>
  </si>
  <si>
    <t xml:space="preserve">Para el presente periodo, se programaron y realizaron visitas técnicas con la Empresa de Telecomunicaciones de Bogotá (ETB), para la instalación de tendido, configuración y puesta en marcha de servicio de internet por canal dedicado de las estaciones de la Red de Monitoreo de Ruido Ambiental de Bogotá (RMRAB) ubicadas en el CAI Berna, Jardín Botánico JCM, Cruz Roja Avenida 68, CAI Quirigua, CAI Las Ferias y CAI Normandía. 
Durante el presente periodo se diligencia y envía por correo electrónico matriz Inventario de equipos/ patrones/ material de referencia y programa de mantenimiento, calibración y verificación. </t>
  </si>
  <si>
    <t>4.	Reducir la saturación del paisaje urbano generada por los elementos de publicidad exterior visual ilegales.</t>
  </si>
  <si>
    <t>268-REALIZAR 4.000 ACCIONES DE SEGUIMIENTO Y CONTROL SOBRE LOS ELEMENTOS DE PUBLICIDAD EXTERIOR VISUAL - PEV, INSTALADOS EN LA ZONAS CON MAYOR DENSIDAD</t>
  </si>
  <si>
    <t>Número de acciones de seguimiento realizadas</t>
  </si>
  <si>
    <t>Se realizaron las siguientes actividades en cumplimiento de la meta
- Siete (7) operativos (5 Op. de sensibilización y 2 Op. de Control) - 87 establecimientos
- Cinco (5) visitas a elementos mayores (vallas tubulares): (3 visitas de evaluación y 2 visitas de control y seguimiento)
- Un (1) documento técnico: 1 Concepto técnico 
- Quince (15) visitas a elementos menores
- Cero (0) actuaciones técnicas de evaluación de elementos de publicidad de la vigencia.
La Meta del proyecto de Inversión presenta avance en el mes de Julio, toda vez que las acciones realizadas se ejecutaron al comienzo del mes de Julio con personal contratado vigente desde el mes de marzo de 2020 y aun en el Plan de Desarrollo BMPT.</t>
  </si>
  <si>
    <t>Durante julio, se atendió el 100% de los conceptos técnicos que recomendaron actuación administrativa sancionatoria, obteniendo el siguiente avance: 
Julio 2020:
N° de Conceptos Técnicos que recomiendan actuaciones administrativas sancionatorias: 13
N° de Conceptos Técnicos atendidos jurídicamente: 13
Total, avance meta julio 2020: 100 % 
Es importante aclarar que los avances en la magnitud de la meta están sujetos a la demanda de conceptos técnicos que genere el área técnica para ser acogidos jurídicamente; por lo tanto, el porcentaje de la magnitud programada es a 100% de conformidad con el volumen de conceptos recibidos durante el periodo.
La Meta del proyecto de Inversión presenta avance en el mes de Julio, toda vez que las actuaciones realizadas se ejecutaron al comienzo del mes de Julio con personal contratado vigente desde el mes de marzo de 2020 y aun en el Plan de Desarrollo BMPT.</t>
  </si>
  <si>
    <t xml:space="preserve">"Para el mes de julio, se realizó los mantenimientos preventivos y correctivos, se realizó la validación diaria de los datos de concentraciones de contaminantes criterio y parámetros meteorológicos que monitorea la RMCAB, el reporte de operatividad para el mes fue del 95,1%. Se realizó el análisis de datos del mes de junio para plasmarlo en el informe de calidad del aire. Asimismo, en el mes de julio de 2020 se elaboró y publicó el informe mensual de junio.
Para el mes de agosto, se realizó los mantenimientos preventivos y correctivos, se realizó la validación diaria de los datos de concentraciones de contaminantes criterio y parámetros meteorológicos que monitorea la RMCAB, el reporte de operatividad para el mes fue del 93,2%. Se realizó el análisis de datos del mes de julio para plasmarlo en el informe de calidad del aire, el informe mensual de julio se publicará a más tardar el 14 de septiembre, debido a los retrasos generados por la reducción de la capacidad operativa del personal durante la primera mitad de agosto."
</t>
  </si>
  <si>
    <t>En el marco de la gestión integral de la calidad del aire de Bogotá, se ha avanzado en la estructuración del contenido de 3 informes, los cuales son: 1. contenido en el cual se encuentra el cierre del PDDAB con los resultados respectivos de su implementación de 2010 a 2020, así como el contenido del plan estratégico para la gestión integral de la calidad del aire; 2. Definición del plan de trabajo con sus alcances teniendo en cuenta los 5 temas estratégicos definidos, avanzando en la concertación de las acciones relacionadas con las mesas de trabajo para la actualización del IBOCA y los lineamientos de protocolos de actuación con la mesa de expertos de calidad del aire, entre otras acciones relacionadas con la gestión de la calidad del aire; 3. Validación de datos e información de inventarios realizada para el Informe Anual de Calidad del Aire Año 2019, como estructura general del documento.</t>
  </si>
  <si>
    <t>Con el fin de construir el informe correspondiente al segundo semestre de 2020, se realizó intervención mediante la generación de actuaciones técnicas, producto de las visitas de Inspección Vigilancia, Control y Monitoreo generadas de la atención a PQRs,  y el ejercicio misional propio de la Entidad, mediante operativos internos, e interinstitucionales, acompañamientos a monitoreo de Fuentes Fijas de combustión externa y Fuentes Fijas de emisión por proceso así como operativos de medición en vía a vehículos que transitan en el Distrito Capital como parte del seguimiento y control ambiental a fuentes móviles, visitas técnicas de auditoria a Centros de Diagnóstico Automotor CDA'S  y la caracterización de procedimientos vigentes correspondientes al control y seguimiento de fuentes móviles.
Con esta información se adelanta la construcción del informe de acciones de evaluación, control y seguimiento a las fuentes fijas y móviles en el cual se reporta el avance de las actividades que desarrolla cada grupo, el cual habla de los objetivos la operatividad del grupo y los programas de autogestión aplicados durante la vigencia  semestre II 2020 teniendo en cuenta el control a los factores de deterioro ambiental  en pro de aportar a la meta plan de desarrollo de reducir en un 10% como promedio ponderado ciudad, la concentración de material partículado pm10 y pm2.5, mediante la implementación del plan de gestión integral de la calidad de aire. Alcanzando un 0.33% de la meta de gestión.</t>
  </si>
  <si>
    <t>En cumplimiento a la meta plan de desarrollo planteada para el periodo de julio  2020, el área técnica de ruido realizó cinco (5) visitas técnicas, de las cuales una (1), corresponde a visita efectiva con medición, cuatro (4) visitas no efectivas por presencia de piso húmedo y/o presencia de lloviznas, las cuales, son objeto de reprogramación (articulo 20° Resolución 0627 de 2006) y tres (3) actuaciones técnicas correspondientes a otros documentos, dos (2) Conceptos Técnicos Aclaratorios y un (1) Concepto de Favorabilidad SUGA.  
Agosto 2020, el área técnica de ruido realizó un total de 1 visita técnica, correspondientes a visita no efectiva, la cual es objeto de reprogramación. 6 actuaciones técnicas correspondientes a otros documentos así; 1 comunicación oficial externa sin visita para finalizar el caso, 1 oficio relacionado con una petición en el marco del SUGA, 1 presentación en ppt para una socialización a realizar en la Cámara de Comercio de Bogotá y 3 documentos técnicos relacionados con informes mensuales de las Acciones Populares que cursan en materia de ruido para un sector de las localidades de Bosa, Antonio Nariño y Teusaquillo. 
Así, el acumulado para el II semestre del 2020 es de: 6 visitas técnicas; 1 visita efectiva con medición, 5 visitas no efectivas objeto de reprogramación. 9 actuaciones técnicas correspondientes a otros documentos, dos 2 conceptos técnicos aclaratorios, dos 2 documentos relacionados con SUGA, 1 comunicación oficial externa para finalizar caso de presunta afectación por emisión de ruido, 1 presentación técnica enviada, vía correo electrónico, dirigida a la Cámara de Comercio de Bogotá y 3 informes mensuales para las Acciones Populares mencionadas previamente.</t>
  </si>
  <si>
    <t>Para el presente periodo, se programaron y realizaron visitas técnicas con la Empresa de Telecomunicaciones de Bogotá (ETB), para la instalación de tendido, configuración y puesta en marcha de servicio de internet por canal dedicado de las estaciones de la Red de Monitoreo de Ruido Ambiental de Bogotá (RMRAB) ubicadas en el CAI Las Ferias, CAI Quirigua y CAI Normandía. 
Asimismo, se participó en las reuniones de seguimiento programadas por los profesionales del laboratorio ambiental de la SDA – LABCIMAB, en donde se programa la presentación de plan de capacitaciones, proyección de matriz de equipos activos, cartas control y demás documentos necesarios para la acreditación en la matriz aire – ruido – ruido ambiental ante el IDEAM.</t>
  </si>
  <si>
    <t>Para la vigencia del Proyecto de Inversión se han realizado (46) acciones de evaluación, control y seguimiento:
            Trece (13) operativos de control y seguimiento, Nueve (09) visitas a elementos mayores, Un (1) documento técnico, Veintitrés (23)  visitas a elementos menores.
JULIO: Se realizaron veintiocho (28) actividades en cumplimiento de la meta
- Siete (7) operativos (5 Op. de sensibilización y 2 Op. de Control) - 87 establecimientos
- Cinco (5) visitas a elementos mayores (vallas tubulares)
- Un (1) documento técnico: 1 Concepto técnico 
- Quince (15) visitas a elementos menores
AGOSTO: se realizaron dieciocho (18) acciones en cumplimiento de la meta
- Seis (06) operativos (03 Op. de control y 03 Op. de sensibilización) - 45 establecimientos.
- Cuatro (04) visitas a elementos mayores (vallas tubulares).
- Ocho (08) visitas a elementos menores de PEV.
Nota: La información de evaluación a elementos de Publicidad Exterior Visual se reporta trimestralmente</t>
  </si>
  <si>
    <t>Para el cumplimiento de las regulaciones asociadas al control de los factores de deterioro de calidad del aire, acústica y visual del Distrito Capital, la Secretaría Distrital de Ambiente durante el mes de Agosto atendió el 100% de los conceptos técnicos que recomiendan una actuación administrativa sancionatoria, obteniendo el siguiente avance: 
Agosto 2020 
N° de Conceptos Técnicos que recomiendan actuaciones administrativas sancionatorias: 13 (Conceptos Técnicos No 6572, 7991, 569, 6322, 13400, 8356, 1360, 8126, 8784, 4927, 7458, 11323, 2092).  
N° de Conceptos Técnicos atendidos jurídicamente: 13 (AUTO N. AUTO DCA-02819-AUTO DCA-02820-AUTO DCA-02821-AUTO DCA-02822-AUTO DCA-02824-AUTO DCA-02861-AUTO DCA-02869-AUTO DCA 02878
AUTO DCA-02882-AUTO DCA-02883-AUTO DCA-02902-AUTO DCA-02903-AUTO DCA-02904)
Total, avance meta Agosto 2020: 100 % 
Por último, es importante tener presente que los avances en la magnitud de la meta están sujetos a la demanda de conceptos técnicos que remitan las áreas para ser acogidos jurídicamente; por lo tanto, el porcentaje de la magnitud programada corresponde al 100%.</t>
  </si>
  <si>
    <t>Para el mes de septiembre el porcentaje de cumplimiento para este indicador es del 100%, basado en: se realizó el reporte de los mantenimientos preventivos y correctivos que se realizaron en el mes, se realizó la validación diaria de los datos de concentraciones de contaminantes criterio y parámetros meteorológicos que monitorea la RMCAB, el reporte de operatividad para el mes de septiembre fue del 95,7%. (el cual es promedio de los datos validos de todos los parámetros de la red  que se genera a través del software Envista).
Se realizó el análisis de datos del mes de agosto de 2020 y del Trimestre abr-jun 2020. Asimismo, el equipo de la RMCAB en el mes de septiembre elaboró y publicó el informe mensual de agosto y el informe Trimestral abr-jun 2020, adicionalmente se publico el informe mensual de julio que estaba retrasado. Se mantiene el proceso de validación de los datos generados por las nuevas estaciones y los equipos, se solicito la activación de las estaciones nuevas (El Jazmín, Usme y Bosa) en el Envista Web. 
De acuerdo con la tipología constante de la meta se presenta un avance acumulado del 100% para la vigencia.</t>
  </si>
  <si>
    <t>En el marco de la gestión integral de la calidad del aire de Bogotá, durante la vigencia en el Proyecto de Inversión se ha avanzado en la estructuración del contenido de 3 informes, los cuales son: 
1. Avance en el desarrollo del documento técnico el cual contiene los resultados y se evidencian las acciones realizadas en el marco del PDDAB de 2010 a 2019 con los indicadores de seguimiento, resultados de las medidas optimas y medidas complementarias. 
2. El documento con las metodologías utilizadas para la estimación de los inventarios de emisión que contemplan enfoques Top-Down y Bottom-Up. Mientras que el primer enfoque utiliza información en un rango de tiempo y zona específica (lo cual es ideal para tener un panorama general del estado de las emisiones a nivel ciudad); el segundo permite desagregar temporal y espacialmente las emisiones, útil para ejercicios de modelación detallada de la calidad del aire.  
3. El documento técnico que recopila las acciones orientados a la definición de los protocolos de actuaciones de alertas ambientales, adelantando además las etapas para la definición y adopción del nuevo IBOCA de acuerdo con lo estipulado por la Resolución 2254 de 2017, adicionalmente se ha nutrido diferentes espacios de gobernanza con temas de articulación entre la SDS y SDA, así como instancia de participación con mesas de expertos, entre otros.
Se presenta un avance acumulado del 25% de la meta para la vigencia 2020. Y del 3,45% para el Cuatrienio.</t>
  </si>
  <si>
    <t>A este corte, se ha avanzado un 0.34% del informe programado en la vigencia, basado en las actividades de recolección de la información de las acciones de seguimiento y control de los grupos de fuentes fijas y fuentes móviles. Este documento  contendrá la presentación del estado del arte de los grupos competentes, descripción de la metodología desarrollada en las acciones de evaluación, seguimiento, control y monitoreo realizadas, con la cual se podrá determinar la toma de decisiones a nivel jurídico y la formulación de proyectos en el marco de la disminución los índices de contaminación ambiental.</t>
  </si>
  <si>
    <t>A 30 de septiembre, se han realizado 120 acciones, equivalentes a: 71 visitas técnicas (8 visitas efectivas con medición, 44 visitas efectivas para cerrar el caso y 19 visitas no efectivas objeto de reprogramación), así como 49 actuaciones técnicas de otros documentos (2 conceptos técnicos aclaratorios, 1 comunicación oficial externa para finalizar caso de presunta afectación por emisión de ruido, 1 presentación técnica enviada, dirigida a la Cámara de Comercio de Bogotá, 15 oficios SUGA, 6 Informes de acciones populares, 1 evaluación de estudio de ruido, 2 participaciones WEBINAR MADS, 19 capacitaciones a los gestores de la OPEL, 1 Socialización a la CAL Mártires, 1 informe para la CAL de Tunjuelito).
Acumulado de 120 equivalente al 28,17% de avance en la vigencia.</t>
  </si>
  <si>
    <t>A este corte, se presenta un avance del 100%, que equivalen a: 1) Visitas técnicas de evaluación de daños a 11 de las estaciones de monitoreo de ruido ambiental que se vieron involucradas en los desmanes ocurridos en los CAI, los días 09 y 10 de septiembre de 2020, y 2) Visitas de mantenimiento preventivo a 20 de las estaciones que componen el sistema. (En caso que se tengan las cantidades de visitas, por favor enunciarlas).</t>
  </si>
  <si>
    <t>Para la vigencia del Proyecto de Inversión se han realizado (192) acciones de evaluación, control y seguimiento:
- Veintiocho (28) operativos de control y seguimiento
- Cincuenta y tres (53) visitas a elementos mayores
- Dos (02) documentos técnicos
- Un (01) cargue de información a la plataforma SIIPEV.
- Cincuenta y cinco (55) evaluaciones a solicitudes de elementos de publicidad exterior visual.
- Cincuenta y tres (53) visitas a elementos menores.
Correspondiente a un avance en la meta para la vigencia del 82,05%, y un avance en la meta del cuatrienio del 4,8%.</t>
  </si>
  <si>
    <t>Para el cumplimiento de las regulaciones asociadas al control de los factores de deterioro de calidad del Aire, Auditiva y Visual del Distrito Capital, la Secretaría Distrital de Ambiente durante el trimestre, se atendió el 100% de los conceptos técnicos que recomiendan una actuación Administrativa Sancionatoria, obteniendo el siguiente avance: 
•	N° de Conceptos Técnicos que recomiendan actuaciones administrativas sancionatorias: 146 
•	N° de Conceptos Técnicos atendidos jurídicamente: 146
Por último, es importante tener presente que los avances en la magnitud de la meta están sujetos a la demanda de conceptos técnicos que remitan las áreas para ser acogidos jurídicamente.</t>
  </si>
  <si>
    <t>De acuerdo con la tipología constante de la meta se presenta un avance acumulado del 100% para la vigencia 2020.  Se realizaron mantenimientos preventivos y correctivos, validación y análisis de datos, incluyendo nuevas estaciones en la RMCAB (Bolivia, Usme, Ciudad Bolívar, Bosa, Jazmín) se trabajó en integración SDA-CAR y en plan de prueba de sensores de bajo costo.
Para el mes de noviembre el porcentaje de cumplimiento para este indicador es del 98%, se realizó el reporte de los mantenimientos preventivos y correctivos que se realizaron en el mes, se realizó la validación diaria de los datos de concentraciones de contaminantes criterio y parámetros meteorológicos que monitorea la RMCAB, el reporte de operatividad para el mes de noviembre fue del 96,4%  el cual es promedio de los datos validos de todos los parámetros de la red  que se genera a través del software Envista. Se realizó el análisis de datos del mes de octubre de 2020. Asimismo, el equipo de la RMCAB en el mes de noviembre elaboró el informe mensual de octubre y lo publicó el 02 de diciembre. Se mantiene el proceso de validación de los datos generados por las nuevas estaciones y los equipos.
Avance acumulado en la ejecución de la meta 100%.</t>
  </si>
  <si>
    <t>En el segundo semestre de 2020, con respecto a lo programado de la meta se tiene un avance del 75%, correspondiendo a 3 documentos técnicos para que al final del año se entreguen los 4 documentos totales, Con respecto al cuatrienio hay un avance del 10,3%, la descripción de las actividades realizadas para el mes de noviembre a continuación:
1.	se procedió a realizar la consolidación de la información de resultados logrados para cada uno de los proyectos, teniendo en cuenta el periodo de implementación definido para cada uno de estos en el marco de las reuniones y concertaciones realizadas, logrando capturar y consolidar la información y datos de los indicadores de resultados y gestión, específicamente lo relacionado con las estrategias sectoriales, ya que las mismas con identificadas como los sectores y fuentes que aportan en mayor proporción a las emisiones de material partículado en la ciudad.
Seguido, se realizó la descripción de la metodología de seguimiento y evaluación a cada uno de los proyectos, mencionada metodología será enfocada a aquellos proyectos que se encuentren en implementación, y mediante el cual se obtienen los resultados respectivos
2.	se realizó la consolidación de la información faltante del documento, en especial en los resultados de resuspendido, en donde se realiza el cálculo de las emisiones de este para el año 2018 y en el documento se realiza la explicación de este cálculo y los resultados encontrados para este año y sus impactos en la calidad de aire. Adicionalmente se realizan correcciones enviadas por el profesional a cargo de la revisión del documento para posteriormente ordenar el documento para la presentación del mes actual. En este documento las secciones que tendrá ejecución para el siguiente mes serán el resumen ejecutivo, conclusiones, y estética del documento, para su presentación final. 
3.	en el marco de la actualización normativa del IBOCA, se busca la armonización con la normatividad nacional, sin dejar a un lado el papel central en la gestión del riesgo que tiene este indicador. Con base en las discusiones y análisis adelantados entre la SDA y la SDS, se avanzó en el borrador del Documento Técnico de Soporte para la primera etapa de modificación normativa del IBOCA. Este documento se desarrolla con base en las justificaciones conceptuales, técnicas y jurídicas del borrador del articulado. En este documento se debe incluir el análisis retrospectivo de los nuevos niveles de alerta que sean definidos en dicha modificación normativa,
Seguidamente, y en el marco del proceso que debe surtir los protocolos de actuación frente a las alertas por calidad del aire, se están realizando las mesas de trabajo y concertación para los mismos, en ese sentido durante este mes de noviembre, se adelantaron diferentes espacios de trabajo para exponer los resultados de la modelación de restricciones para las fuentes fijas y fuentes móviles en la ciudad durante episodios de contaminación atmosférica. Uno de ellos es la articulación entre la Secretaria Distrital de Ambiente y la Secretaria Distrital de Movilidad, y también reuniones con la ANDI exponiendo los resultados de los escenarios de modelación para las fuentes fijas industriales en la ciudad.</t>
  </si>
  <si>
    <t>El avance acumulado para la vigencia 2020 del cumplimiento en la ejecución de la meta es del 0.71% del informe programado esto basado en: las actividades de recolección de la información de las acciones de seguimiento y control de los grupos de fuentes fijas y fuentes móviles. 
El avance acumulado se registra, así:
•	Julio, 017% de avance en el Informe de gestión.
•	Agosto, 0,16% de avance en el Informe de gestión.
•	Septiembre, 0,01% de avance en el Informe de gestión.
•	Octubre, 0,17% de avance en el Informe de gestión.
Avance de Noviembre 0,20, basado en : Este documento contiene la presentación del estado del arte de los grupos competentes, descripción de la metodología desarrollada en las acciones de evaluación, seguimiento, control y monitoreo realizadas, con la cual se podrá determinar la toma de decisiones a nivel jurídico y la formulación de proyectos en el marco de la disminución los índices de contaminación ambiental.
Se registra el inicio de los monitoreos de fuentes fijas como laboratorio acreditado para la toma de muestras de los parámetros de NOx, SO2 y MP en las industrias objeto de control; se atienden las visitas de seguimiento de la autorización realizada por el IDEAM para cada uno de los programas de evaluación control y seguimiento de fuentes móviles. 
Así mismo, se realizan los seguimientos a empresas que son objeto de permiso de emisiones, operativos de medición en vía a vehículos que transitan en el Distrito Capital, visitas técnicas de auditoria a Centros de Diagnóstico Automotor CDA'S, vinculación de empresas al programa de autorregulación y requerimientos ambientales presentados por la ciudadanía.
Alcanzando un 71% del cumplimiento de la meta de inversión para la vigencia 2020.</t>
  </si>
  <si>
    <t>Para la vigencia 2020, se presenta un avance acumulado de la meta de cuatrocientas veintitrés (423) actuaciones, correspondientes al 99,30% de ejecución, es así: 
•	Julio; acciones de seguimiento y control de emisión de ruido; cinco (05) visitas y tres (03) documentos técnicos. Total, ocho (08) acciones.
•	Agosto; acciones de seguimiento y control de emisión de ruido; uno (01) visitas y seis (06) documentos técnicos. Total, siete (07) acciones.
•	Septiembre; acciones de seguimiento y control de emisión de ruido; sesenta y cinco (65) visitas y cuarenta (40) documentos técnicos. Total, ciento cinco (105) acciones.
•	Octubre; acciones de seguimiento y control de emisión de ruido; ciento veinte (120) visitas y veintiocho (28) documentos técnicos. Total, ciento cuarenta y ocho (148) acciones.
•	Noviembre; acciones de seguimiento y control de emisión de ruido; ciento veinte dos (122) visitas y treinta y tres (33) documentos técnicos. Total, ciento cincuenta y cinco acciones (155)
En general se distribuyen:
•	313 visitas técnicas (51 visitas efectivas con medición, 184 visitas efectivas para cerrar el caso y 78 visitas no efectivas (reprogramación).
•	110 actuaciones técnicas de otros documentos:
o	12 informes acciones populares
o	2 conceptos aclaratorios
o	1 presentación a la Cámara de Comercio de Bogotá
o	20 socializaciones OPEL
o	7 socializaciones CAL
o	1 socialización en mesa territorial
o	1 oficio de salida cerrando caso
o	3 estudios de ruido
o	2 WEBINAR con el MADS
o	1 informe CAL
o	60 oficios SUGA
Avance acumulado en la vigencia de 99,30%.</t>
  </si>
  <si>
    <t>En cumplimiento la meta en la vigencia 2020, se presenta un avance del 100%, basado en el desarrollo de actividades así: (tipología de la Meta Constante)
Julio: se avanza en el informe técnico semestral en el cual se relacionan estadística y geográficamente, las empresas que tramitan reactivación económica ante la alcaldía mayor de Bogotá, a fin de clasificar y priorizar posibles establecimientos objeto de monitoreo de ruido, que sirvan de insumo para la identificación del %PUAR. Avance en el periodo 100%.
Agosto: Durante el presente periodo se avanza en la proyección del informe técnico semestral en el cual se incluyen los datos de las estaciones de la Red de Monitoreo de Ruido Ambiental de Bogotá (RMRAB) y los avances en la formulación de procedimiento de validación de los datos generados. Avance en el periodo 100%.
Septiembre: Para el presente periodo se avanza en la proyección del informe semestral de operación de la red de ruido del Distrito, dentro del cual se incluye reporte de siniestros en nueve (9) de las estaciones de monitoreo de ruido que fueron objeto de vandalismo durante las protestas ocurridas el 09 y 10 se septiembre. Avance en el periodo 100%.
Octubre: Durante el presente periodo se avanza con la proyección del informe semestral de operación de la Red de Monitoreo de Ruido Ambiental de Bogotá (RMRAB) en el cual se destacan la realización de las siguientes actividades: reporte de empresas que solicitaron reactivación económica por COVID 19, acreditación del procedimiento de monitoreo de ruido ambiental ante el IDEAM, soporte y mantenimiento a las estaciones de monitoreo de ruido, actualización del visor monitor web MAIGRAI. Avance en el periodo 100%.
Noviembre:  Para el presente mes, se avanza con la proyección del informe semestral de operación de la Red de Monitoreo de Ruido Ambiental de Bogotá (RMRAB) en el cual se reportan principalmente  la realización de las siguientes actividades: reporte de empresas que solicitaron reactivación económica por COVID 19, acreditación del procedimiento de monitoreo de ruido ambiental ante el IDEAM, actividades de soporte y mantenimiento  realizado a las estaciones de monitoreo de ruido, actualización del visor monitor web MAIGRAI , reporte de estaciones de la RMRAB afectadas durante protestas y espacialización de datos de emisión de ruido Colector-ESRI. 
Avance acumulado según la tipología de la meta es del 100% para la vigencia 2020.</t>
  </si>
  <si>
    <t>Para la vigencia 2020 del Proyecto de Inversión se han realizado doscientas veinte nueve (229) acciones de evaluación, control y seguimiento, así:
•	Julio, 28 Acciones, avance de ejecución del 12%.
•	Agosto, 18 Acciones, avance de ejecución del 8%.
•	Septiembre, 136 Acciones, avance de ejecución del 62%.
•	Octubre, 37 Acciones, avance de ejecución del 16%.
•	Noviembre, No se realizaron acciones de evaluación sobre el resto del Distrito, se encaminaron a las Zonas de Alta Densidad.
Avance Acumulado 97,86%.</t>
  </si>
  <si>
    <t>Para el cumplimiento de las regulaciones asociadas al control de los factores de deterioro de calidad del Aire, Auditiva y Visual del Distrito Capital, la Secretaría Distrital de Ambiente durante el periodo del 1 de julio al 30 de noviembre de 2020 atendió el 100% de los conceptos técnicos que recomiendan una actuación Administrativa Sancionatoria, obteniendo el siguiente avance: 
Julio 2020:
N° de Conceptos Técnicos que recomiendan actuaciones administrativas sancionatorias: 13 
N° de Conceptos Técnicos atendidos jurídicamente: 13
Agosto 2020
N° de Conceptos Técnicos que recomiendan actuaciones administrativas sancionatorias: 13 
N° de Conceptos Técnicos atendidos jurídicamente: 13.
Septiembre 2020
N° de Conceptos Técnicos que recomiendan actuaciones administrativas sancionatorias: 133
N° de Conceptos Técnicos atendidos jurídicamente: 133.
Octubre 2020
N° de Conceptos Técnicos que recomiendan actuaciones administrativas sancionatorias: 13
N° de Conceptos Técnicos atendidos jurídicamente: 13.
Noviembre 2020
N° de Conceptos Técnicos que recomiendan actuaciones administrativas sancionatorias: 04
N° de Conceptos Técnicos atendidos jurídicamente: 04.  
Total, avance meta Noviembre 2020: 100 %
Por último, es importante tener presente que los avances en la magnitud de la meta están sujetos a la demanda de conceptos técnicos que remitan los grupos técnicos para ser acogidos jurídicamente; por lo tanto, el porcentaje de la magnitud programada corresponde al 100%</t>
  </si>
  <si>
    <t xml:space="preserve">Para el mes de enero el porcentaje de cumplimiento para este indicador es del 86%, se realizó el reporte de los mantenimientos preventivos y correctivos que se realizaron en el mes, se realizó la validación diaria de los datos de concentraciones de contaminantes criterio y parámetros meteorológicos que monitorea la RMCAB en las estaciones antiguas, quedando pendiente la validación de las estaciones nuevas por falta de contrato del profesional de validación. El reporte de operatividad para el mes de enero fue del 94,5% el cual es promedio de los datos validos de todos los parámetros de la red en las estaciones antiguas que se genera a través del software Envista. Se realizó el análisis de datos del mes de diciembre de 2020 y esta pendiente la terminación y publicación del informe mensual. Se mantiene el proceso de validación de los datos generados por las nuevas estaciones y los equipos. 
Para el mes de enero como parte del proceso de colaboración entre la Red de Monitoreo de Calidad del Aire de Bogotá – RMCAB y los diferentes actores en el establecimiento de esta red colaborativa de sensores de bajo costo se mantuvo la operación de los sensores instalados en la estación de Las ferias por parte del Colectivo CanAir.io, La Universidad Central y La Universidad Nacional. Adicionalmente, se mantiene en operación los sensores de bajo costo del Colectivo CanAir.io en la estación Kennedy y en la estación del Tunal.
Se realizaron mantenimientos preventivos y correctivos, validación y análisis de datos, incluyendo nuevas estaciones en la RMCAB (Bolivia, Usme, Ciudad Bolívar, Bosa, Jazmín) se mantuvo el plan de prueba de sensores de bajo costo.
</t>
  </si>
  <si>
    <t>Avance acumulado para la vigencia 2021 del cumplimiento en la ejecución de la meta es del 100% de la presentación de dos (02) informes programados esto basado en: las actividades de recolección de la información de las acciones de seguimiento y control de los grupos de fuentes fijas y fuentes móviles. 
El avance acumulado se registra, así:
•	Enero 0.1 % de avance en el Informe de gestión de la vigencia 2021.</t>
  </si>
  <si>
    <t>Avance acumulado para la vigencia 2020 del cumplimiento en la ejecución de la meta es del 100% de la presentación de uno (01) informe programado esto basado en: las actividades de recolección de la información de las acciones de seguimiento y control de los grupos de fuentes fijas y fuentes móviles. 
El avance acumulado se registra, así:
•	Julio, 017% de avance en el Informe de gestión.
•	Agosto, 0,16% de avance en el Informe de gestión.
•	Septiembre, 0,01% de avance en el Informe de gestión.
•	Octubre, 0,17% de avance en el Informe de gestión.
•	Noviembre, 0,20% de avance en el Informe de gestión.
Avance de Diciembre 0,29, basado en: Con el fin de construir el informe correspondiente al segundo semestre del año, se realizó intervención mediante actuaciones técnicas, visitas de control, acompañamientos, monitoreos, operativos de medición en vía a vehículos que transitan en el Distrito Capital, visitas técnicas de auditoria a Centros de Diagnóstico Automotor CDA'S, vinculación de empresas al programa de autorregulación y requerimientos ambientales presentados por la ciudadanía. entre otras actividades del grupo fuentes, con esta información se construyó el informe de acciones de evaluación, control y seguimiento a las fuentes de emisión.
Con lo anterior, se evidenciaron fortalezas y acciones de mejora a implementar en los grupos fuentes de emisión, para el cumplimiento de la meta.  
Alcanzando un 100% del cumplimiento de la meta de inversión para la vigencia 2020.</t>
  </si>
  <si>
    <t>En cumplimiento acumulativo de la meta para enero del 2021 se desarrollaron 36 actuaciones técnicas, correspondientes a acciones de seguimiento y control de emisión de ruido (visitas) y documentos técnicos, a continuación, se detallan las acciones:
•	Enero: 20 visitas – 16 documentos técnicos, total 36 acciones.
De las acciones realizadas se resume:
20 visitas técnicas discriminadas así: 8 visitas efectivas con medición, 4 visitas efectivas sin medición, 6 visitas efectivas para cerrar el caso y 2 visitas no efectivas para reprogramar.
16 actuaciones técnicas de otros documentos diferenciados así: 1 informe de la acción popular que cursa en la localidad Antonio Nariño, 1 concepto técnico aclaratorio, 14 oficios SUGA.</t>
  </si>
  <si>
    <t>Enero: Se proyectan informes relacionados con la operación de la Red de Monitoreo de Ruido Ambiental de Bogotá (RMRAB) durante el mes de enero del 2021 en la cual se reportan principalmente la realización de las siguientes actividades acreditación del procedimiento de monitoreo de ruido ambiental ante el IDEAM, actividades de soporte y mantenimiento realizado a las estaciones de monitoreo de ruido, espacialización de datos de emisión de ruido Colector - ESRI y se presenta el procedimiento interno de manejo de PQR´s a la secretaria de salud.</t>
  </si>
  <si>
    <t xml:space="preserve">Acumulado 2021: Para la vigencia del Proyecto de Inversión del año 2021 se han realizado doscientas setenta y ocho (278) acciones de evaluación, control y seguimiento:
Cuatro (04) operativos de control
Doce (12) visitas de evaluación a elementos mayores 
Doscientas sesenta y dos (262) evaluaciones a solicitudes de elementos de publicidad exterior visual.
Acumulado vigencia: Para la vigencia del año 2020 y 2021 del Proyecto de Inversión se han realizado mil quinientas sesenta (1.570) acciones de evaluación, control y seguimiento:
Cincuenta y nueve (59) operativos de control y seguimiento
Ciento nueve (109) visitas a elementos mayores
Tres (03) documentos técnicos
Tres (03) cargues de información a la plataforma SIIPEV.
Mil trescientos cuarenta y dos (1.342) evaluaciones a solicitudes de elementos de publicidad exterior visual.
</t>
  </si>
  <si>
    <t>Para el cumplimiento de las regulaciones asociadas al control de los factores de deterioro de calidad del Aire, Auditiva  y Visual del Distrito Capital,  la Secretaría Distrital de Ambiente programo ejecución de actividades a partir del mes de febrero del 2021.</t>
  </si>
  <si>
    <t>En la ejecución de la meta durante la vigencia 2021; Se han realizado mantenimientos preventivos y correctivos, validación y análisis de datos, incluyendo nuevas estaciones en la RMCAB (Bolivia, Usme, Ciudad Bolívar, Bosa, Jazmín) se mantuvo el plan de prueba de sensores de bajo costo.
Enero; el porcentaje de cumplimiento para este indicador es del 86%, el cual corresponde al reporte de los mantenimientos preventivos y correctivos que se realizaron en el mes, se realizó la validación diaria de los datos de concentraciones de contaminantes criterio y parámetros meteorológicos que monitorea la RMCAB en las estaciones antiguas, quedando pendiente la validación de las estaciones nuevas por falta de contrato del profesional de validación.
Febrero el porcentaje de cumplimiento para este indicador es del 75%, se realizó el reporte de los mantenimientos preventivos y correctivos que se realizaron en el mes, se realizó la validación diaria de los datos de concentraciones de contaminantes criterio y parámetros meteorológicos que monitorea la RMCAB. El reporte de operatividad para el mes de febrero fue del 95,6% el cual es promedio de los datos validos de todos los parámetros de la red en las estaciones que se genera a través del software Envista. Se realizó el análisis de datos del mes de enero de 2021 y esta pendiente la terminación y publicación del informe mensual. Se mantiene el proceso de validación de los datos generados por las nuevas estaciones y los equipos.</t>
  </si>
  <si>
    <t>Avance acumulado para la vigencia 2021 en el cumplimiento de la meta es del 5,3% de la presentación de ocho (08) informes programados esto basado en: las actividades de recolección de la información de las acciones de seguimiento y control de la calidad del aire de Bogotá.
El avance acumulado se registra, así:
•	Enero 0,2 % de avance en el Informe de gestión de la vigencia 2021.
•	Febrero 0,25% de avance en el Informe de gestión de la vigencia 2021.</t>
  </si>
  <si>
    <t>Avance acumulado para la vigencia 2021 del cumplimiento en la ejecución de la meta es del 13% de la presentación de dos (02) informes; programado esto basado en: las actividades de recolección de la información de las acciones de seguimiento y control de los grupos de fuentes fijas y fuentes móviles. 
El avance acumulado se registra, así:
•	Enero 0,15, de avance en la ejecución de la meta.
•	Febrero 0,11, de avance en la ejecución de la meta.
basado en: la intervención mediante actuaciones técnicas, visitas de control, acompañamientos, monitoreos, operativos de medición en vía a vehículos que transitan en el Distrito Capital, visitas técnicas de auditoria a Centros de Diagnóstico Automotor CDA'S, con esta información se construyó el informe de acciones de evaluación, control y seguimiento a las fuentes de emisión.</t>
  </si>
  <si>
    <t>En cumplimiento acumulativo de la meta para 2021 se han desarrollado 52 actuaciones técnicas así: 20 visitas (8 efectivas con medición, 6 efectivas cerrar caso, 2 no efectivas para reprogramar, 4 efectivas sin medición en cumplimiento a actos administrativos) y 32 actuaciones técnicas correspondientes a otros documentos (3 informes acciones populares para las localidades de Antonio Nariño, Bosa y Teusaquillo, 1 concepto técnico aclaratorio, 28 oficios SUGA para eventos de aglomeración de público en el Distrito Capital).  Avnce Acumulado en la vigencia 5,82%</t>
  </si>
  <si>
    <t>A corte Enero 20201, se proyecta el informe relacionado con la operación de la Red de Monitoreo de Ruido Ambiental de Bogotá (RMRAB), en la cual, se reportan principalmente la realización de las  actividades acreditación del procedimiento de monitoreo de ruido ambiental ante el IDEAM, actividades de soporte y mantenimiento realizado a las estaciones de monitoreo de ruido, espacialización de datos de emisión de ruido Colector - ESRI y se presentó el procedimiento interno de manejo de PQR´s a la secretaria de salud.
Febrero: Se proyecta informe relacionado con la operación de la Red de Monitoreo de Ruido Ambiental de Bogotá (RMRAB), se reportan principalmente la realización de las siguientes actividades, de soporte y mantenimiento realizado a las estaciones de monitoreo de ruido, y el avance en el proceso de instalación de las estaciones de la RMRAB afectadas durante protestas. contratación del personal para a la operación de la RMRAB.
Avance acumulado en la vigencia : 100%."</t>
  </si>
  <si>
    <t>Acumulado en la vigencia 2021: se han realizado cuatrocientas ochenta y nueve (489) acciones de evaluación, control y seguimiento:
•	Cuatro (04) operativos de control
•	Doce (12) visitas de evaluación a elementos mayores 
•	Cuatrocientos sesenta y tres (473) evaluaciones a solicitudes de elementos de publicidad exterior visual.
Avance en a la ejecución de la Meta Vigencia; 64,43%.
Acumulada vigencia: Para la vigencia del año 2020 y 2021 del Proyecto de Inversión se han realizado mil setecientas ochenta y un (1.781) acciones de evaluación, control y seguimiento:
Cincuenta y nueve (59) operativos de control y seguimiento
Ciento nueve (109) visitas a elementos mayores
Tres (03) documentos técnicos
Tres (03) cargues de información a la plataforma SIIPEV.
Cincuenta y cuatro (54) visitas IVC a elementos menores
Mil quinientas cincuenta y tres (1.553) evaluaciones a solicitudes de elementos de publicidad exterior visual.  Avance en a la ejecución de la Meta Cuatrienio; 44,53%.</t>
  </si>
  <si>
    <t>La Secretaría Distrital de Ambiente del 01 de febrero al 28 de febrero de 2021 en ejercicio de su función sancionatoria acogió el 100% de los conceptos técnicos relacionados con el recurso ambiental aire, auditiva y visual y que recomiendan una actuación administrativa sancionatoria, como se relaciona a continuación: 
No de Conceptos Técnicos que recomiendan actuaciones administrativas sancionatorias: 18 Conceptos Técnicos.
No de Conceptos Técnicos atendidos jurídicamente: 18 Conceptos Técnicos acogidos
Avance total corte 28 de febrero de 2021: 100%</t>
  </si>
  <si>
    <t>En la ejecución de la meta durante la vigencia 2021, se realizaron mantenimientos preventivos y correctivos, validación y análisis de datos, incluyendo nuevas estaciones en la red (Bolivia, Usme, Ciudad Bolívar, Bosa, Jazmín), y además, se mantuvo el plan de prueba de sensores de bajo costo.
Para el mes de Enero, el porcentaje de cumplimiento para este indicador es del 86%, el cual corresponde al reporte de los mantenimientos preventivos y correctivos que se realizaron en el mes, se realizó la validación diaria de los datos de concentraciones de contaminantes criterio y parámetros meteorológicos que monitorea la red en las estaciones antiguas, quedando pendiente la validación de las estaciones nuevas por falta de contrato del profesional de validación.
Febrero: el porcentaje de cumplimiento para este indicador es del 75%, donde se realizó el reporte de los mantenimientos preventivos y correctivos para el mes, validación diaria de los datos de concentraciones de contaminantes criterio y parámetros meteorológicos que monitorea la red. Se realizó el análisis de datos del mes de enero de 2021 y esta pendiente la terminación y publicación del informe mensual. Se mantiene el proceso de validación de los datos generados por las nuevas estaciones y los equipos.</t>
  </si>
  <si>
    <t>En el marco de la gestión integral de la calidad del aire de Bogotá, se ha venido trabajando en el desarrollo de 3 documentos técnicos, los cuales son: 1. Publicación a consulta publica de los documentos relacionados con el Plan Aire, recopilando observaciones realizadas por los actores externos y posteriormente realizando los debidos ajustes al documento. 2. Concertación de medidas de restricción a las fuentes móviles entre la SDA Y SDM, así mismo, en el marco de actuación definido en la Estrategia Distrital de Respuesta se remitió al IDIGER para su revisión, aprobación y posterior divulgación. 3. Identificación de la metodología del primer informe de modelación por medio de la validación de datos e información del capítulo de modelación de calidad de aire en la ciudad del Informe Anual de Calidad del Aire Año 2019.
Avance acumulado para la vigencia 2021 en el cumplimiento de la meta es del 12,50%. Este seguimiento corresponde a las actividades de recolección de la información, y de las acciones de seguimiento y control de la calidad del aire de Bogotá.
El avance acumulado se registra, así:
•	Enero 0,2.
•	Febrero 0,25.
•	Marzo 0,55 de avance en el Informe de gestión de la vigencia 2021.</t>
  </si>
  <si>
    <t>Avance acumulado para la vigencia 2021 del cumplimiento en la ejecución de la meta es del 36%. Este avance está basado en las actividades de recolección de información de las acciones de seguimiento y control de los grupos de fuentes fijas y fuentes móviles. También en la intervención mediante actuaciones técnicas, visitas de control, acompañamientos, monitoreos, operativos de medición en vía a vehículos que transitan en el Distrito Capital, visitas técnicas de auditoria a Centros de Diagnóstico Automotor CDA'S, con esta información se construyó el informe de acciones de evaluación, control y seguimiento a las fuentes de emisión.
El avance acumulado se registra, así:
•	Enero 0,15, de avance en la ejecución de la meta.
•	Febrero 0,11, de avance en la ejecución de la meta.
•	Marzo 0,1, de avance en la ejecución de la meta.</t>
  </si>
  <si>
    <t>En cumplimiento acumulativo de la meta para 2021 se han desarrollado 156 actuaciones técnicas así: 109 visitas (13 efectivas con medición, 57 efectivas cerrar caso, 30 no efectivas para reprogramar, 9 efectivas sin medición en cumplimiento a actos administrativos) y 47 actuaciones técnicas correspondientes a otros documentos (5 informes acciones populares para las localidades de Antonio Nariño, Bosa y Teusaquillo, 1 concepto técnico aclaratorio, 41 oficios SUGA para eventos de aglomeración de público en el Distrito Capital).</t>
  </si>
  <si>
    <t>La meta presenta un avance del 100%, en el I trimestre del 2021 dado por:
 *Enero 2021, se proyecta el informe relacionado con la operación de la Red de Monitoreo de Ruido Ambiental de Bogotá (RMRAB), en la cual, se reportan principalmente la realización de las actividades acreditación del procedimiento de monitoreo de ruido ambiental ante el IDEAM, actividades de soporte y mantenimiento realizado a las estaciones de monitoreo de ruido, espacialización de datos de emisión de ruido Colector - ESRI y se presentó el procedimiento interno de manejo de PQR´s a la secretaria de salud.
*Febrero: actividades, de soporte y mantenimiento realizado a las estaciones de monitoreo de ruido, y el avance en el proceso de instalación de las estaciones de la RMRAB afectadas durante protestas. contratación del personal para a la operación de la RMRAB.
*Marzo: Se genera informe de avance semestral del mes de marzo relacionado con la operación de la Red de Monitoreo de Ruido Ambiental de Bogotá (RMRAB) durante el primer trimestre del 2021 en la cual se reportan principalmente la realización de las actividades de soporte y mantenimiento realizado a las estaciones de monitoreo de ruido y el avance en el proceso de instalación de las estaciones de la RMRAB afectadas durante protestas, además se realizaron los estudios previos para la renovación de los contratos de arrendamiento y se realizó el análisis técnico de los datos reportados en el mes de enero en el visor WEB MAIGRAI, solicitudes de cotización pata la compra de software y solicitudes de cotizaciones para la calibración de equipos.</t>
  </si>
  <si>
    <t>Para la vigencia del Proyecto de Inversión del año 2021 se han realizado mil trescientas veinte y seis (1.326) acciones de evaluación, control y seguimiento:
Cuatro (05) operativos de control.
Veinticuatro (24) visitas de evaluación a elementos mayores.
Un (01) cargue de información a la plataforma SIIPEV.
Mil doscientas noventa y seis (1.296) evaluaciones a solicitudes de elementos de publicidad exterior visual.
Acumulado Cuatrienio: Para la vigencia del año 2020 y 2021 del Proyecto de Inversión se han realizado dos mil seiscientas diez y ocho (2.618) acciones de evaluación, control y seguimiento:
Sesenta (60) operativos de control y seguimiento
Ciento veintiún (121) visitas a elementos mayores
Tres (03) documentos técnicos
Cuatro (04) cargues de información a la plataforma SIIPEV.
Cincuenta y cuatro (54) visitas IVC a elementos menores
Dos mil trescientas setenta y seis (2.376) evaluaciones a solicitudes de elementos de publicidad exterior visual.</t>
  </si>
  <si>
    <t>La Secretaría Distrital de Ambiente del 01 de enero al 31 de marzo de 2021 en ejercicio de su función sancionatoria acogió el 100% de los conceptos técnicos relacionados con el recurso ambiental aire, auditiva y visual y que recomiendan una actuación administrativa sancionatoria, como se relaciona a continuación: 
No de Conceptos Técnicos que recomiendan actuaciones administrativas sancionatorias: 24 Conceptos Técnicos.
No de Conceptos Técnicos atendidos jurídicamente: 24 Conceptos Técnicos acogidos
Avance total corte 31 de marzo de 2021: 100%.</t>
  </si>
  <si>
    <t>Durante la ejecución 2021, se han realizado mantenimientos preventivos y correctivos, validación y análisis de datos, diaria de las concentraciones de contaminantes criterio y parámetros meteorológicos que monitorea la RMCAB incluyendo nuevas estaciones en la red (Bolivia, Usme, Ciudad Bolívar, Bosa, Jazmín, Colina y Móvil Fontibón), así como sus respectivos informes. Además, se realizó la validación diaria de los datos de concentraciones de contaminantes criterio y parámetros meteorológicos que monitorea la red en las estaciones antiguas. Se mantuvo el plan de prueba de sensores de bajo costo.
Se realizó el análisis de datos del mes de marzo de 2021. 
Como parte del proceso de colaboración entre la Red de Monitoreo de Calidad del Aire de Bogotá – RMCAB y los diferentes actores en el establecimiento de esta red colaborativa de sensores de bajo costo se mantuvo la operación de los sensores instalados en la estación de Las ferias por parte del Colectivo CanAir.io, La Universidad Central y La Universidad Nacional. Adicionalmente, se mantiene en operación los sensores de bajo costo del Colectivo CanAir.io en la estación Kennedy y en la estación del Tunal.
Para el mes de Abril se realizó el análisis de datos del mes de marzo de 2021. Asimismo, el equipo de la RMCAB en el mes de abril publicó los informes de diciembre 2020, enero, febrero 2021 y el informe trimestral oct-dic 2020 que estaba retrasado y se avanzo en la elaboración del informe de marzo de 2021.</t>
  </si>
  <si>
    <t>En el marco de la gestión integral de la calidad del aire de Bogotá, hasta la fecha se ha venido trabajando en el desarrollo de 3 documentos técnicos, los cuales son: 
1.	Revisión y ajuste al documento técnico de Plan Aire, así mismo, su envió a las diferentes secretarias firmantes para su respectiva revisión y firma del Decreto Distrital del Plan Aire y posteriormente, remisión del documento técnico, anexos y Decreto del Plan aire a la alcaldía mayor de Bogotá.
2.	Suscripción entre la SDA y SDS de la Resolución por la cual se establece el nuevo “Índice Bogotano de Calidad del Aire y Riesgo en salud - IBOCA- para la gestión conjunta del riesgo de deterioro del ambiente y de salud humana”. Así mismo, en relación con el Plan de Contingencia y Emergencia Distrital por contaminación atmosférica para la atención de eventos por contaminación atmosférica fue remitido para su revisión al IDIGER.
3.	Adición de los resultados gráficos de modelación y calidad del aire al primer informe de modelación, de igual manera, se han enlistado las posibilidades de mejoras del Sistema Integrado de Modelación de Calidad de Aire.
Este avance de uno (1,6) en términos numéricos, corresponde a:
•	Enero 0,2.
•	Febrero 0,25.
•	Marzo 0,55 
•	Abril 0,60; de avance en el Informe de gestión de la vigencia 2021.</t>
  </si>
  <si>
    <t>En el cumplimiento del (01) informes de gestión programados para la vigencia 2021; se ha alcanzado un avance acumulado en la ejecución de la meta del 0,51, equivalente a un 51% respecto a lo programado. 
Este avance está basado en las actividades de recolección de información de las acciones de evaluación, control y seguimiento de los grupos de fuentes fijas y fuentes móviles. También en la intervención mediante actuaciones técnicas, visitas de control y seguimiento, acompañamientos, monitoreos, operativos de medición en vía a vehículos que transitan en el Distrito Capital, visitas técnicas de auditoria a Centros de Diagnóstico Automotor CDA'S, con esta información se construyó el informe de acciones de evaluación, control y seguimiento a las fuentes de emisión.
El avance acumulado se registra, así:
•	Enero 0,15, de avance en la ejecución de la meta.
•	Febrero 0,11, de avance en la ejecución de la meta.
•	Marzo 0,10, de avance en la ejecución de la meta.
•Abril 0,15, de avance en la ejecución de la meta.</t>
  </si>
  <si>
    <t>Para la vigencia 2021, se han desarrollado 272 actuaciones técnicas que corresponde a un 30,46% respecto a lo programado, y a su vez, un avance del 16,23% durante el cuatrienio.
Este avance del 2021, se conforma de 205 visitas (25 efectivas con medición, 22 efectivas sin medición en cumplimiento a actos administrativos, 97 efectivas para cerrar el caso, 61 no efectivas para reprogramar) y 67 actuaciones técnicas correspondientes a otros documentos (8 informes de acciones populares, para las localidades de Antonio Nariño, Bosa y Teusaquillo, 1 concepto técnico aclaratorio, 52 oficios SUGA, 6 participaciones en reuniones interinstitucionales).</t>
  </si>
  <si>
    <t>La meta presenta un avance del 100% para la vigencia, que corresponde a:
 *Enero 2021, se proyecta el informe relacionado con la operación de la Red de Monitoreo de Ruido Ambiental de Bogotá (RMRAB), en la cual, se reportan principalmente la realización de las actividades acreditación del procedimiento de monitoreo de ruido ambiental ante el IDEAM, actividades de soporte y mantenimiento realizado a las estaciones de monitoreo de ruido, espacialización de datos de emisión de ruido Colector - ESRI y se presentó el procedimiento interno de manejo de PQR´s a la secretaria de salud.
*Febrero: actividades, de soporte y mantenimiento realizado a las estaciones de monitoreo de ruido, y el avance en el proceso de instalación de las estaciones de la RMRAB afectadas durante protestas. contratación del personal para a la operación de la RMRAB.
*Marzo: Se genera informe de avance semestral del mes de marzo relacionado con la operación de la Red de Monitoreo de Ruido Ambiental de Bogotá (RMRAB) durante el primer trimestre del 2021 en la cual se reportan principalmente la realización de las actividades de soporte y mantenimiento realizado a las estaciones de monitoreo de ruido y el avance en el proceso de instalación de las estaciones de la RMRAB afectadas durante protestas, además se realizaron los estudios previos para la renovación de los contratos de arrendamiento y se realizó el análisis técnico de los datos reportados en el mes de enero en el visor WEB MAIGRAI, solicitudes de cotización pata la compra de software y solicitudes de cotizaciones para la calibración de equipos.   
                                                                                                                                                                                                                                          * Abril:  Se genera informe de avance semestral del mes de abril relacionado con la operación de la Red de Monitoreo de Ruido Ambiental de Bogotá (RMRAB) durante los cuatro primeros meses del 2021 en la cual se reportan principalmente la realización de las   actividades de soporte y mantenimiento  realizado a las estaciones de monitoreo de ruido y la instalación de las 10 estaciones de la RMRAB afectadas durante protestas, además se firmaron los estudios previos para la renovación de los contratos de arrendamiento y se realizó el análisis técnico de los datos reportados en el mes de enero en el visor MAIGRAI, e avanzo en la realización del estudio previo para la compra de un software de modelación acústica.</t>
  </si>
  <si>
    <t>Para la vigencia del Proyecto de Inversión del año 2021 se han realizado mil setecientas setenta y cuatro (1.501) acciones de evaluación, control y seguimiento:
Quince (15) operativos de control.
Cuarenta y ocho (48) visitas de evaluación a elementos mayores.
Uno (01) cargue de información a la plataforma SIIPEV.
Mil cuatrocientos treinta y siete(1.437) evaluaciones a solicitudes de elementos de publicidad exterior visual.
Lo anterior, dando un avance para el cuatrienio de (2.793)  acciones de evaluación, control y seguimiento 70 operativos de control y seguimiento,145 visitas a elementos mayores, 03 documentos técnicos, 05 cargues de información a la plataforma SIIPEV, 54 visitas a elementos menores, 2.516 evaluaciones a solicitudes de elementos de publicidad exterior visual.</t>
  </si>
  <si>
    <t>La Secretaría Distrital de Ambiente del 01 de enero al 30 de abril de 2021 en ejercicio de su función sancionatoria acogió el 64% de los conceptos técnicos relacionados con el recurso ambiental aire, auditiva y visual y que recomiendan una actuación administrativa sancionatoria, como se relaciona a continuación: 
No de Conceptos Técnicos que recomiendan actuaciones administrativas sancionatorias: 108 Conceptos Técnicos.
No de Conceptos Técnicos atendidos jurídicamente: 69 Conceptos Técnicos acogidos
Avance total corte 30 de abril de 2021: 64%</t>
  </si>
  <si>
    <t>3201013 - Documentos de lineamientos técnicos para mejorar la calidad ambiental de las áreas urbanas</t>
  </si>
  <si>
    <t>Valor correspondiente a la ejecución de OPS.</t>
  </si>
  <si>
    <t>No se ejecutaron recuros</t>
  </si>
  <si>
    <t xml:space="preserve">Realizar 8 informes de acciones de evaluación, control y seguimiento a fuentes fijas y fuentes móviles incluidos Centros de Diagnóstico Automotor que operan en el Distrito Capital. </t>
  </si>
  <si>
    <t>3201021 - Documentos de instrumentos técnicos de evaluación y seguimiento ambiental</t>
  </si>
  <si>
    <t>Realizar 4.700 acciones de evaluación, seguimiento y control de emisión de ruido a los establecimientos de comercio, industria y servicio ubicados en el perímetro urbano del DC.</t>
  </si>
  <si>
    <t>3201010 - Servicio de divulgación de la incorporación de consideraciones ambientales en la planificación sectorial</t>
  </si>
  <si>
    <t>100% de las acciones para operar, mantener y ampliar la red de monitoreo de ruido ambiental de Bogotá para la identificación del porcentaje de Población Urbana Afectada por Ruido (%PUAR) en el perímetro urbano del DC</t>
  </si>
  <si>
    <t>3201005 - Documentos de estudios técnicos para el fortalecimiento del desempeño ambiental de los sectores productivos</t>
  </si>
  <si>
    <t>Realizar 4.000 acciones técnico-jurídicas de evaluación, seguimiento y control sobre los elementos de publicidad exterior visual - PEV instalados en el perímetro urbano del D.C.</t>
  </si>
  <si>
    <t>Valor correspondiente a la ejecución de OPS. Y pago en la ejecución de contratos de Bienes y Servicios.</t>
  </si>
  <si>
    <t>III ACTIVIDADES SUIFT (PRESUPUESTO) VIGENCIA 2022</t>
  </si>
  <si>
    <t>PRESUPUESTO VIGENCIA SUIFP 2022</t>
  </si>
  <si>
    <t>PRESUPUESTO
OBLIGADO (GIRADO) 2022</t>
  </si>
  <si>
    <t>Estaciones de monitoreo con mantenimiento realizado</t>
  </si>
  <si>
    <t>Número</t>
  </si>
  <si>
    <t>Planes de Acción o Gestión Formulados.</t>
  </si>
  <si>
    <t>Informes elaborados para acompañar la toma de decisiones de autoridades ambientales</t>
  </si>
  <si>
    <t>Visitas realizadas a predios</t>
  </si>
  <si>
    <t>Sistemas de Información Diseñados, Actualizados o en Funcionamiento</t>
  </si>
  <si>
    <t>Informes de seguimiento realizados</t>
  </si>
  <si>
    <t>Porcentaje De Procesos Ejecutados</t>
  </si>
  <si>
    <t xml:space="preserve">"Durante la ejecución 2021, se han realizado mantenimientos preventivos y correctivos, validación y análisis de datos, diaria de las concentraciones de contaminantes criterio y parámetros meteorológicos que monitorea la RMCAB incluyendo las nuevas estaciones en la red (Bolivia, Usme, Ciudad Bolívar, Bosa, Jazmín, Colina y Móvil Fontibón), así como sus respectivos informes. Se mantuvo el plan de prueba de sensores de bajo costo.
Se realizó y publicó el informe mensual de abril de 2021. 
Como parte del proceso de colaboración entre la Red de Monitoreo de Calidad del Aire de Bogotá – RMCAB y los diferentes actores en el establecimiento de esta red colaborativa de sensores de bajo costo se mantuvo la operación de los sensores instalados en la estación de Las Ferias por parte del Colectivo CanAir.io, La Universidad Central y La Universidad Nacional. Se mantiene en operación los sensores de bajo costo del Colectivo CanAir.io en la estación Kennedy y en la estación del Tunal. Adicionalmente se realizó una visita de inspección a la estación de Las Ferias con el personal del proceso de consultoría que lidera el CIMAB para este tema.
Para el mes de mayo se elaboró y publicó el informe mensual de abril de 2021. Asimismo, el equipo de la RMCAB en el mes de mayo publicó el informe de marzo 2021."
</t>
  </si>
  <si>
    <t xml:space="preserve">En el marco de la gestión integral de la calidad del aire de Bogotá, hasta la fecha (Mayo 2021), se ha venido trabajando en el desarrollo de 3 documentos técnicos, los cuales son: 1. Documento técnico de Plan Aire con sus respectivos anexos y el Decreto del Plan Aire, los cual se encuentra en proceso de firma en el despacho de la Alcaldía de Bogotá. 2. Plan de Contingencia Distrital para la atención de episodios por condiciones desfavorables de calidad del aire en la ciudad, el cual se encuentra en proceso de divulgación con las alcaldías municipales de Soacha, Mosquera, Funza, la CAR y SDM de Bogotá, así mismo, se avanzó en la conceptualización del Análisis Costo Beneficio de las medidas de restricción, este instrumento permitirá elegir las restricciones que impacten en menor medida en términos económicos y sociales durante los episodios de contaminación atmosférica. 3. Documento de modelación, en el cual se ha avanzado en la consolidación de las emisiones que se presentan en la ciudad con sus respectivos resultados, de igual manera se realizó la revisión y organización del documento, buscando validar el modelo de calidad del aire y determinar las oportunidades de mejora.
</t>
  </si>
  <si>
    <t xml:space="preserve">"En el cumplimiento de los dos (02) informes de gestión programados para la vigencia 2021; se ha alcanzado un avance acumulado en la ejecución de la meta del 0,65, equivalente a un 25,5% respecto a lo programado. 
Este avance está basado en las actividades de recolección de información de las acciones de evaluación, control y seguimiento de los grupos de fuentes fijas y fuentes móviles. También en la intervención mediante actuaciones técnicas, visitas de control y seguimiento, acompañamientos, monitoreos, operativos de medición en vía a vehículos que transitan en el Distrito Capital, visitas técnicas de auditoria a Centros de Diagnóstico Automotor CDA'S, con esta información se construyó el informe de acciones de evaluación, control y seguimiento a las fuentes de emisión.
El avance acumulado se registra, así:
•Enero 0,15, de avance en la ejecución de la meta.
•Febrero 0,11, de avance en la ejecución de la meta.
•Marzo 0,10, de avance en la ejecución de la meta.
•	Abril 0,15, de avance en la ejecución de la meta.
•	Mayo 0,14, de avance en la ejecución de la meta."
</t>
  </si>
  <si>
    <t xml:space="preserve">"La Secretaría Distrital de Ambiente, en el marco de las acciones de seguimiento y control de emisión de ruido a los establecimientos de comercio, industria y servicio ubicados en el perímetro urbano del D.C., presenta avance acumulado al Plan de Desarrollo de (883) acciones, de los cuales (491) corresponde a la vigencia 2020 y (348) en la vigencia 2021, así:
•	Enero: (20) visitas y (16) documentos técnicos, total (36) acciones.
•	Febrero: (16) documentos técnicos.
•	Marzo: (89) visitas y (15) documentos técnicos, total (104) acciones.
•	 Abril: (96) visitas y (20) documentos técnicos, total mes (116) acciones, 
•	 Mayo: (76) visitas y (50) documentos técnicos, total mes (26) acciones, acumulado (348) acciones
Vigencia 2020:
Se realizaron 491 actuaciones técnicas, correspondientes a las 374 visitas relacionadas con acciones de seguimiento y control a emisiones de ruido y 117 documentos técnicos."
</t>
  </si>
  <si>
    <t xml:space="preserve">"La meta presenta un avance del 100% para la vigencia, que corresponde a:
 *Enero 2021, se proyecta el informe relacionado con la operación de la Red de Monitoreo de Ruido Ambiental de Bogotá (RMRAB), en la cual, se reportan principalmente la realización de las actividades acreditación del procedimiento de monitoreo de ruido ambiental ante el IDEAM, actividades de soporte y mantenimiento realizado a las estaciones de monitoreo de ruido, espacialización de datos de emisión de ruido Colector - ESRI y se presentó el procedimiento interno de manejo de PQR´s a la secretaria de salud.
*Febrero: actividades, de soporte y mantenimiento realizado a las estaciones de monitoreo de ruido, y el avance en el proceso de instalación de las estaciones de la RMRAB afectadas durante protestas. contratación del personal para a la operación de la RMRAB.
*Marzo: Se genera informe de avance semestral del mes de marzo relacionado con la operación de la Red de Monitoreo de Ruido Ambiental de Bogotá (RMRAB) durante el primer trimestre del 2021 en la cual se reportan principalmente la realización de las actividades de soporte y mantenimiento realizado a las estaciones de monitoreo de ruido y el avance en el proceso de instalación de las estaciones de la RMRAB afectadas durante protestas, además se realizaron los estudios previos para la renovación de los contratos de arrendamiento y se realizó el análisis técnico de los datos reportados en el mes de enero en el visor WEB MAIGRAI, solicitudes de cotización pata la compra de software y solicitudes de cotizaciones para la calibración de equipos.
* Abril:  Se genera informe de avance semestral del mes de abril relacionado con la operación de la Red de Monitoreo de Ruido Ambiental de Bogotá (RMRAB) durante los cuatro primeros meses del 2021 en la cual se reportan principalmente la realización de las   actividades de soporte y mantenimiento  realizado a las estaciones de monitoreo de ruido y la instalación de las 10 estaciones de la RMRAB afectadas durante protestas, además se firmaron los estudios previos para la renovación de los contratos de arrendamiento y se realizó el análisis técnico de los datos reportados en el mes de enero en el visor MAIGRAI, e avanzo en la realización del estudio previo para la compra de un software de modelación acústica.
Mayo: Para el mes de Mayo se proyecta en informe de operación de la Red de Monitoreo de Ruido Ambiental de Bogotá (RMRAB), en el cual se relacionan las operaciones y mantenimientos realizados a las estaciones que se encuentran en operación actualmente."
</t>
  </si>
  <si>
    <t xml:space="preserve">"Para la vigencia del Proyecto de Inversión del año 2021 se han realizado dos mil setecientas seis (2.706) acciones de evaluación, control y seguimiento:
Quince (15) operativos de control.
Sesenta (60) visitas de evaluación a elementos mayores.
Un (01) documento técnico firmado.
Tres (03) cargues de información a la plataforma SIIPEV.
Dos mil seiscientas veintisiete (2.627) evaluaciones a solicitudes de elementos de publicidad exterior visual.  Lo anterior, dando un avance para el cuatrienio de 3.998 acciones de evaluación, control y seguimiento 70 operativos de control y seguimiento,157 visitas a elementos mayores, 04 documentos técnicos, 54 visitas a elementos menores, 06 cargues de información a la plataforma SIIPEV, 3.707 evaluaciones a solicitudes de elementos de publicidad exterior visual."
</t>
  </si>
  <si>
    <t xml:space="preserve">"La Secretaría Distrital de Ambiente del 01 de enero al 31 de mayo de 2021 en ejercicio de su función sancionatoria acogió el 87.7% de los conceptos técnicos relacionados con el recurso ambiental aire, auditiva y visual y que recomiendan una actuación administrativa sancionatoria, como se relaciona a continuación: 
No de Conceptos Técnicos que recomiendan actuaciones administrativas sancionatorias: 122 Conceptos Técnicos.
No de Conceptos Técnicos atendidos jurídicamente: 107 Conceptos Técnicos acogidos
Avance  corte 31 mayo de 2021: 87.7%"
</t>
  </si>
  <si>
    <t>En cumplimiento acumulativo de la meta para 2021 se han desarrollado 52 actuaciones técnicas así: 20 visitas (8 efectivas con medición, 6 efectivas cerrar caso, 2 no efectivas para reprogramar, 4 efectivas sin medición en cumplimiento a actos administrativos) y 32 actuaciones técnicas correspondientes a otros documentos (3 informes acciones populares para las localidades de Antonio Nariño, Bosa y Teusaquillo, 1 concepto técnico aclaratorio, 28 oficios SUGA para eventos de aglomeración de público en el Distrito Capital).  Avance Acumulado en la vigencia 5,82%</t>
  </si>
  <si>
    <t>"Para el primer trimestre de la vigencia 2021, se han realizado los mantenimientos mensuales a todos los equipos de todas las estaciones de monitoreo de la red. Para el mes de abril de la vigencia 2021, se han realizado los mantenimientos mensuales a todos los equipos de todas las estaciones de monitoreo de la red.
Para el mes de mayo de la vigencia 2021, se han realizado los mantenimientos mensuales a todos los equipos de todas las estaciones de monitoreo de la red. Sin embargo, se generaron retrasos significativos en la atención a los correctivos debido a la capacidad operativa limitada que tiene la Red actualmente por no contar con los vehículos necesarios para atender las 20 estaciones actuales.
Acumulado de la actividad del 36,16%."</t>
  </si>
  <si>
    <t>"En el cumplimiento de los dos (02) informes de gestión programados para la vigencia 2021; se ha alcanzado un avance acumulado en la ejecución de la meta del 0,65, equivalente a un 25,5% respecto a lo programado. 
Este avance está basado en las actividades de recolección de información de las acciones de evaluación, control y seguimiento de los grupos de fuentes fijas y fuentes móviles. También en la intervención mediante actuaciones técnicas, visitas de control y seguimiento, acompañamientos, monitoreos, operativos de medición en vía a vehículos que transitan en el Distrito Capital, visitas técnicas de auditoria a Centros de Diagnóstico Automotor CDA'S, con esta información se construyó el informe de acciones de evaluación, control y seguimiento a las fuentes de emisión.
El avance acumulado se registra, así:
•Enero 0,15, de avance en la ejecución de la meta.
•Febrero 0,11, de avance en la ejecución de la meta.
•Marzo 0,10, de avance en la ejecución de la meta.
•	Abril 0,15, de avance en la ejecución de la meta.
•	Mayo 0,14, de avance en la ejecución de la meta.</t>
  </si>
  <si>
    <t>"ENERO 20 visitas así: 8 efectivas con medición, 4 efectivas sin medición, correspondientes a actos administrativos, 6 efectivas para cerrar el caso y 2 no efectivas (reprogramar). 
FEBRERO 0 visitas.
MARZO 89 visitas así: 5 visitas efectivas con medición, 5 visitas efectivas sin medición, 51 visitas efectivas cerrar caso, 28 visitas no efectivas (reprogramar). 
ABRIL 96 visitas así: 12 visitas efectivas con medición, 13 visitas efectivas en atención a actos administrativos, 40 visitas efectivas para cerrar el caso y 31 visitas no efectivas (reprogramar).
MAYO: 61 visitas.</t>
  </si>
  <si>
    <t>Durante la vigencia 2021, se ha realizado la construcción y proyección del informe relacionado con la operación de la Red de Monitoreo de Ruido Ambiental de Bogotá (RMRAB) durante los meses de enero, febrero, marzo, abril y Mayo del 2021 en la cual se reportan principalmente la realización de las siguientes actividades: acreditación del procedimiento de monitoreo de ruido ambiental ante el IDEAM, actividades de soporte y mantenimiento realizado a las estaciones de monitoreo de ruido, espacialización de datos de emisión de ruido Colector - ESRI y se presenta el procedimiento interno de manejo de PQR´s a la Secretaría de Salud, la firma  de estudios previos para la renovación de los contratos del Edificio Ejecutivo Plaza, Edificio Marly 51, Edificio Restrepo y Hotel Morrison.</t>
  </si>
  <si>
    <t>"Para la vigencia del Proyecto de Inversión del año 2021 se han realizado dos mil setecientas seis (2.706) acciones de evaluación, control y seguimiento:
Quince (15) operativos de control.
Sesenta (60) visitas de evaluación a elementos mayores.
Un (01) documento técnico firmado.
Tres (03) cargues de información a la plataforma SIIPEV.
Dos mil seiscientas veintisiete (2.627) evaluaciones a solicitudes de elementos de publicidad exterior visual.  Lo anterior, dando un avance para el cuatrienio de 3.998 acciones de evaluación, control y seguimiento 70 operativos de control y seguimiento,157 visitas a elementos mayores, 04 documentos técnicos, 54 visitas a elementos menores, 06 cargues de información a la plataforma SIIPEV, 3.707 evaluaciones a solicitudes de elementos de publicidad exterior visual.</t>
  </si>
  <si>
    <t>"Durante la ejecución 2021, se han realizado mantenimientos preventivos y correctivos, validación y análisis de datos, diaria de las concentraciones de contaminantes criterio y parámetros meteorológicos que monitorea la RMCAB incluyendo las nuevas estaciones en la red (Bolivia, Usme, Ciudad Bolívar, Bosa, Jazmín, Colina y Móvil Fontibón), así como sus respectivos informes. Se mantuvo el plan de prueba de sensores de bajo costo.
Se realizó y publicó el informe trimestral ene-abr 2021 y anual 2020. Adicionalmente se publicó el informe mensual de mayo 2021.
Se mantiene el proceso de validación de los datos generados por las nuevas estaciones y los equipos. Se realizó la revisión de la parte jurídica y de cooperación a la estructura del Convenio entre la SDA y la CAR de Cundinamarca, estableciendo necesidades de poder definir el tipo de convenio a realizar, el periodo de ejecución y el rol de cada entidad para los formatos a utilizar y el cargue de los documentos. En ese sentido, se realizó reunión con los profesionales de la Corporación Autónoma Regional de Cundinamarca para establecer las actividades a realizar en el marco de la integración de las redes de la SDA y la CAR, específicamente lo relacionado con el tema de modelación de calidad del aire, en ese sentido se avanzó en la estructura del Convenio, específicamente en lo relacionado con las actividades para el componente de modelación.
Como parte del proceso de colaboración entre la Red de Monitoreo de Calidad del Aire de Bogotá – RMCAB y los diferentes actores en el establecimiento de esta red colaborativa de sensores de bajo costo se mantuvo la operación de los sensores instalados en la estación de Las Ferias por parte del Colectivo CanAir.io, La Universidad Central y La Universidad Nacional. Adicionalmente, se mantiene en operación los sensores de bajo costo del Colectivo CanAir.io en la estación Kennedy y en la estación del Tunal y se realizó la instalación de los sensores en el marco de la consultoría para evaluación de sensores de bajo costo liderado por el grupo de CIMAB y SATAB.
Para el mes de junio se completo el análisis de datos y la redacción del informe mensual de mayo de 2021. Asimismo, el equipo de la RMCAB en el mes de junio completo la elaboración y publicó los informes trimestrales ene-abr 2021 y anual 2020. Adicionalmente se publicó el informe mensual de mayo.</t>
  </si>
  <si>
    <t>"En el cumplimiento de los dos (02) informes de gestión programados para la vigencia 2021; se ha alcanzado un avance acumulado en la ejecución de la meta de 1 equivalente a un 50% respecto a lo programado. 
Este avance está basado en las actividades de recolección de información de las acciones de evaluación, control y seguimiento de los grupos de fuentes fijas y fuentes móviles. También en la intervención mediante actuaciones técnicas, visitas de control y seguimiento, acompañamientos, monitoreos, operativos de medición en vía a vehículos que transitan en el Distrito Capital, visitas técnicas de auditoria a Centros de Diagnóstico Automotor CDA'S, con esta información se construyó el informe de acciones de evaluación, control y seguimiento a las fuentes de emisión.
El avance acumulado se registra, así:
•	Enero 0,15, de avance en la ejecución de la meta.
•	Febrero 0,11, de avance en la ejecución de la meta.
•	Marzo 0,10, de avance en la ejecución de la meta.
•	Abril 0,15, de avance en la ejecución de la meta.
•	Mayo 0,14, de avance en la ejecución de la meta.
•	Junio 0,35, de avance en la ejecución de la meta.</t>
  </si>
  <si>
    <t>"Para la vigencia 2021, se han desarrollado 463 actuaciones técnicas que corresponde a un 51,85% respecto a lo programado, y a su vez, un avance del 20,2% durante el cuatrienio.
Este avance del 2021, se conforma de 357 (41 visitas efectivas con medición, 24 visitas efectivas sin medición en cumplimiento a actos administrativos, 175 visitas efectivas para cerrar el caso, 117 visitas no efectivas para reprogramar) y 106 actuaciones técnicas correspondientes a otros documentos (14 informes de acciones populares, para las localidades de Antonio Nariño, Bosa, Fontibón y Teusaquillo, 1 concepto técnico aclaratorio, 19 socializaciones a la OPEL, 1 socialización CAL, 1 socialización CAL, 4 otras socializaciones a JAL, Humedal el Burro, mesa de empresarios y mesa de ASOBARES, 4 estudios de ruido, 57 oficios SUGA).</t>
  </si>
  <si>
    <t>"La meta presenta un avance del 100% para la vigencia, que corresponde a:
 *Enero 2021, se proyecta el informe relacionado con la operación de la Red de Monitoreo de Ruido Ambiental de Bogotá (RMRAB), en la cual, se reportan principalmente la realización de las actividades acreditación del procedimiento de monitoreo de ruido ambiental ante el IDEAM, actividades de soporte y mantenimiento realizado a las estaciones de monitoreo de ruido, espacialización de datos de emisión de ruido Colector - ESRI y se presentó el procedimiento interno de manejo de PQR´s a la secretaria de salud.
*Febrero: actividades, de soporte y mantenimiento realizado a las estaciones de monitoreo de ruido, y el avance en el proceso de instalación de las estaciones de la RMRAB afectadas durante protestas. contratación del personal para a la operación de la RMRAB.
*Marzo: Se genera informe de avance semestral del mes de marzo relacionado con la operación de la Red de Monitoreo de Ruido Ambiental de Bogotá (RMRAB) durante el primer trimestre del 2021 en la cual se reportan principalmente la realización de las actividades de soporte y mantenimiento realizado a las estaciones de monitoreo de ruido y el avance en el proceso de instalación de las estaciones de la RMRAB afectadas durante protestas, además se realizaron los estudios previos para la renovación de los contratos de arrendamiento y se realizó el análisis técnico de los datos reportados en el mes de enero en el visor WEB MAIGRAI, solicitudes de cotización pata la compra de software y solicitudes de cotizaciones para la calibración de equipos.
* Abril:  Se genera informe de avance semestral del mes de abril relacionado con la operación de la Red de Monitoreo de Ruido Ambiental de Bogotá (RMRAB) durante los cuatro primeros meses del 2021 en la cual se reportan principalmente la realización de las   actividades de soporte y mantenimiento  realizado a las estaciones de monitoreo de ruido y la instalación de las 10 estaciones de la RMRAB afectadas durante protestas, además se firmaron los estudios previos para la renovación de los contratos de arrendamiento y se realizó el análisis técnico de los datos reportados en el mes de enero en el visor MAIGRAI, e avanzo en la realización del estudio previo para la compra de un software de modelación acústica.
* Mayo: Para el mes de Mayo se proyecta en informe de operación de la Red de Monitoreo de Ruido Ambiental de Bogotá (RMRAB), en el cual se relacionan las operaciones y mantenimientos realizados a las estaciones que se encuentran en operación actualmente.
*Junio: Se termina la consolidación del informe semestral de operación de la Red de Monitoreo de Ruido Ambiental de Bogotá (RMRAB).</t>
  </si>
  <si>
    <t>"Para la vigencia del Proyecto de Inversión del año 2021 se han realizado tres mil quinientas cuatro (3.504) acciones de evaluación, control y seguimiento:
-	Dieciséis (16) operativos de control.
-	Setenta y cuatro (74) visitas de evaluación a elementos mayores.
-	Tres (03) documentos técnicos firmados.
-	Cuatro (04) cargues de información a la plataforma SIIPEV.
-	Tres mil cuatrocientas siete (3.407) evaluaciones a solicitudes de elementos de publicidad exterior visual.
Lo anterior, dando un avance para el cuatrienio de 4.796 acciones de evaluación, control y seguimiento 70 operativos de control y seguimiento,157 visitas a elementos mayores, 04 documentos técnicos, 54 visitas a elementos menores, 06 cargues de información a la plataforma SIIPEV, 3.707 evaluaciones a solicitudes de elementos de publicidad exterior visual.
Para la vigencia del año 2020 y 2021 del Proyecto de Inversión se han realizado tres mil novecientas noventa y ocho (4.796) acciones de evaluación, control y seguimiento:
-	Setenta y un (71) operativos de control y seguimiento
-	Ciento setenta y un (171) visitas a elementos mayores
-	Seis (06) documentos técnicos
-	Cincuenta y cuatro (54) visitas IVC a elementos menores
-	Siete (07) cargues de información a la plataforma SIIPEV
-	Cuatro mil cuatrocientas ochenta y siete (4.487) evaluaciones a solicitudes de elementos de publicidad exterior visual.</t>
  </si>
  <si>
    <t xml:space="preserve">"La Secretaría Distrital de Ambiente del 01 de enero al 30 de junio de 2021 en ejercicio de su función sancionatoria acogió el 91.6% de los conceptos técnicos relacionados con el recurso ambiental aire, auditiva y visual y que recomiendan una actuación administrativa sancionatoria, como se relaciona a continuación: 
No de Conceptos Técnicos que recomiendan actuaciones administrativas sancionatorias: 192 Conceptos Técnicos.
No de Conceptos Técnicos atendidos jurídicamente: 176 Conceptos Técnicos acogidos."
</t>
  </si>
  <si>
    <t>"Para el primer trimestre de la vigencia 2021, se han realizado los mantenimientos mensuales a todos los equipos de todas las estaciones de monitoreo de la red. Para el mes de abril de la vigencia 2021, se han realizado los mantenimientos mensuales a todos los equipos de todas las estaciones de monitoreo de la red.
Para el mes de mayo de la vigencia 2021, se han realizado los mantenimientos mensuales a todos los equipos de todas las estaciones de monitoreo de la red. Sin embargo, se generaron retrasos significativos en la atención a los correctivos debido a la capacidad operativa limitada que tiene la Red actualmente por no contar con los vehículos necesarios para atender las 20 estaciones actuales.
junio, se han realizado los mantenimientos mensuales a todos los equipos de todas las estaciones de monitoreo de la red. Sin embargo, se evidenció una limitación en la operatividad, asociada a los 4 casos positivos de COVID-19 que se presentaron en el equipo de campo.</t>
  </si>
  <si>
    <t xml:space="preserve">"En el cumplimiento de los dos (02) informes de gestión programados para la vigencia 2021; se ha alcanzado un avance acumulado en la ejecución de la meta de 1 equivalente a un 50% respecto a lo programado. 
Este avance está basado en las actividades de recolección de información de las acciones de evaluación, control y seguimiento de los grupos de fuentes fijas y fuentes móviles. También en la intervención mediante actuaciones técnicas, visitas de control y seguimiento, acompañamientos, monitoreos, operativos de medición en vía a vehículos que transitan en el Distrito Capital, visitas técnicas de auditoria a Centros de Diagnóstico Automotor CDA'S, con esta información se construyó el informe de acciones de evaluación, control y seguimiento a las fuentes de emisión.
El avance acumulado se registra, así:
•	Enero 0,15, de avance en la ejecución de la meta.
•	Febrero 0,11, de avance en la ejecución de la meta.
•	Marzo 0,10, de avance en la ejecución de la meta.
•	Abril 0,15, de avance en la ejecución de la meta.
•	Mayo 0,14, de avance en la ejecución de la meta.
•	Junio 0,35, de avance en la ejecución de la meta."
</t>
  </si>
  <si>
    <t>"ENERO 20 visitas así: 8 efectivas con medición, 4 efectivas sin medición, correspondientes a actos administrativos, 6 efectivas para cerrar el caso y 2 no efectivas (reprogramar). 
FEBRERO 0 visitas.
MARZO 89 visitas así: 5 visitas efectivas con medición, 5 visitas efectivas sin medición, 51 visitas efectivas cerrar caso, 28 visitas no efectivas (reprogramar). 
ABRIL 96 visitas así: 12 visitas efectivas con medición, 13 visitas efectivas en atención a actos administrativos, 40 visitas efectivas para cerrar el caso y 31 visitas no efectivas (reprogramar).
MAYO 61 visitas así: 9 visitas efectivas con medición, 2 visitas efectivas en atención a actos administrativos, 33 visitas efectivas para cerrar el caso, 17 visitas no efectivas (reprogramar)
JUNIO 91 visitas así: 7 visitas efectivas con medición, 45 visitas efectivas para cerrar el caso, 39 visitas no efectivas para (reprogramar)."</t>
  </si>
  <si>
    <t>El Plan Estratégico para la Gestión Integral de la Calidad del Aire – Plan Aire 2030, se encuentra enmarcado en el desarrollo de las acciones de monitoreo, control y gestión a la calidad del aire en la ciudad de Bogotá; las cuales serán realizadas conjuntamente como ciudad, en el marco del desarrollo de la estrategia de gobernanza, mediante la ejecución de los 45 proyectos consolidados en su estructura, los cuales aportan al cumplimiento de la meta de reducir el 10% promedio ponderado de Material Partículado PM 10 y PM 2.5 a 2030. 
En ese orden de ideas, el Plan Aire 2030, pretende resolver la problemática de contaminación atmosférica en Bogotá, con la ejecución de los proyectos enfocadas en la mitigación de las principales fuentes generadores de emisión, como son: sector transporte, sector industrial, sector de la construcción e infraestructura urbana, sector comercial y sector de maquinaria fuera de ruta. 
Como instrumento de planeación de la ciudad, no se podrá generar para el Plan Aire una diferenciación territorial en la intervención de las acciones, sino que estará enfocado a los sectores y fuentes de emisiones priorizadas</t>
  </si>
  <si>
    <t>Mapas de Plan Aire ( Anexo SHAPE FILE)</t>
  </si>
  <si>
    <t>Distrito Capital:  Fuentes Fijas
En la ejecución de la meta del PDD y en particular en la meta del Proyecto de Inversión para el caso de los informes de la meta plan de desarrollo y su territorialización especifica se dificulta en algunos casos puntuales ya que las afectaciones generadas son temporales y difíciles de ubicar, para el caso de fuentes fijas, debido a que las emisiones generadas tienen una repetitividad en el tiempo y el espacio ya que las actividades económicas procesos productivos de gran tamaño no pueden trasladarse permanentemente su ubicación por localidades UPZ y barrio es mucho mas factible, en cuanto a los operativos de móviles ya que la secretaria escoge los puntos de control su georefenciacion es mas sencilla.</t>
  </si>
  <si>
    <t>Bogotá D.C. 
Ruido ambiental, de acuerdo con lo establecido en la Resolución 0627 de 2006 del entonces Ministerio de Ambiente, Vivienda y Desarrollo Territorial, se constituyó la Red de Monitoreo de Ruido Ambiental de Bogotá – RMRAB, la cual consiste en un sistema de adquisición en tiempo real de datos acústicos relacionados con ruido ambiental, adquisición que emplea el método descrito en la Norma ISO 1996: Acústica. Descripción, medición y evaluación del ruido ambiental
Nota: Si bien la operación de la red de monitoreo de ruido ambiental de Bogotá, se realiza por estaciones ubicadas en distintos sectores de la ciudad; la medición y resultados generados se establecen a nivel ciudad.</t>
  </si>
  <si>
    <t>Localidades:
USAQUEN
USME
TUNJUELITO
FONTIBON
ENGATIVA
BARRIOS UNIDOS
TEUSAQUILLO
LOS MARTIRES
ANTONIO NARIÑO
PUENTE ARANDA
LA CANDELARIA
RAFAEL URIBE URIBE</t>
  </si>
  <si>
    <t>Durante la ejecución 2021, se han realizado mantenimientos preventivos y correctivos, validación y análisis de datos, diaria de las concentraciones de contaminantes criterio y parámetros meteorológicos que monitorea la RMCAB incluyendo las nuevas estaciones en la red (Bolivia, Usme, Ciudad Bolívar, Bosa, Jazmín, Colina y Móvil Fontibón), así como sus respectivos informes. Se mantuvo el plan de prueba de sensores de bajo costo.
Se realizó y publicó el informe trimestral ene-abr 2021 y anual 2020. Adicionalmente se publicó el informe mensual de mayo 2021.
Se mantiene el proceso de validación de los datos generados por las nuevas estaciones y los equipos. Se realizó la revisión de la parte jurídica y de cooperación a la estructura del Convenio entre la SDA y la CAR de Cundinamarca, estableciendo necesidades de poder definir el tipo de convenio a realizar, el periodo de ejecución y el rol de cada entidad para los formatos a utilizar y el cargue de los documentos. En ese sentido, se realizó reunión con los profesionales de la Corporación Autónoma Regional de Cundinamarca para establecer las actividades a realizar en el marco de la integración de las redes de la SDA y la CAR, específicamente lo relacionado con el tema de modelación de calidad del aire, en ese sentido se avanzó en la estructura del Convenio, específicamente en lo relacionado con las actividades para el componente de modelación.
Como parte del proceso de colaboración entre la Red de Monitoreo de Calidad del Aire de Bogotá – RMCAB y los diferentes actores en el establecimiento de esta red colaborativa de sensores de bajo costo se mantuvo la operación de los sensores instalados en la estación de Las Ferias por parte del Colectivo CanAir.io, La Universidad Central y La Universidad Nacional. Adicionalmente, se mantiene en operación los sensores de bajo costo del Colectivo CanAir.io en la estación Kennedy y en la estación del Tunal y se realizó la instalación de los sensores en el marco de la consultoría para evaluación de sensores de bajo costo liderado por el grupo de CIMAB y SATAB.
Para el mes de junio se completo el análisis de datos y la redacción del informe mensual de mayo de 2021. Asimismo, el equipo de la RMCAB en el mes de junio completo la elaboración y publicó los informes trimestrales ene-abr 2021 y anual 2020. Adicionalmente se publicó el informe mensual de mayo.
Para el mes de julio se reportaron los mantenimientos preventivos y correctivos que se realizaron durante el mes, se realizó la validación diaria de los datos de concentraciones de contaminantes criterio y parámetros meteorológicos que monitorea la RMCAB. Para el mes de julio se completo el análisis de datos y la redacción del informe mensual de junio de 2021, completando su elaboración y posterior publicación. 
Para el mes de julio como parte del proceso de colaboración entre la Red de Monitoreo de Calidad del Aire de Bogotá – RMCAB y los diferentes actores en el establecimiento de esta red colaborativa de sensores de bajo costo se mantuvo la operación de los sensores instalados en la estación de Las Ferias por parte del Colectivo CanAir.io, La Universidad Central y La Universidad Nacional. Se mantiene en operación los sensores de bajo costo del Colectivo CanAir.io en la estación Kennedy y en la estación del Tunal y se realizó la instalación de los microsensores en el marco del proceso de consultoría para evaluación de sensores de bajo costo liderado por el grupo de CIMAB y SATAB. Adicionalmente, se realizó el apoyo para el montaje de otros microsensores en cuatro estaciones de la RMCAB en el marco de un proyecto liderado por la Universidad Nacional y que busca medir la calidad del aire en cinco ciudades del pais con este tipo de instrumentos.</t>
  </si>
  <si>
    <t xml:space="preserve">En el marco de la gestión integral de la calidad del aire de Bogotá, a la fecha (julio - 2021) se han presentado 3 documentos técnicos, los cuales son: 1. Documento técnico de Plan Aire, con sus respectivos anexos y el Decreto del Plan Aire, 2. Informe de seguimiento semestral del grupo de SATAB 2021-I. 3. Documento de modelación. Así mismo, se viene trabajando en el desarrollo de 5 documentos técnicos, los cuales serán presentados en el transcurso del año, siendo: 1. Informe semestral de Seguimiento al Plan Estratégico para la Gestión Integral de la Calidad del Aire – Plan Aire 2030, en el cual se ha venido reportando el avance mensual de los 37 proyectos que se encuentran en el plan de acción. 2. Se ha venido trabajando en la estructuración del documento de inventario de emisiones 2021. 3. Documento protocolo de actuación, donde se ajustó el documento del Plan de Contingencia para la atención de episodios de contaminación atmosférica en la ciudad conforme a las observaciones realizadas por parte del equipo del IDIGER. 4. Documento estrategia de gobernanza, este se incluyó en el plan de gestión integral de Calidad del Aire de Bogotá con dos fases principales: Formulación de la estrategia en 2021-2022 e implementación de la estrategia durante el periodo 2022-2024. 5. Informe de seguimiento semestral del grupo de SATAB 2021-II, en el cual se ha venido trabajando en la descripción de las cuatro líneas estratégicas para su operación: i) Índice Bogotano de Calidad del Aire y Riesgo en salud -IBOCA- ii) Avance en la actualización del Plan de Contingencia para la atención de eventos de contaminación atmosférica iii) Gobernanza de la calidad del aire, iv) Monitoreo y análisis de contaminantes y sensores de bajo costo. 
</t>
  </si>
  <si>
    <t xml:space="preserve">"En el cumplimiento de los dos (02) informes de gestión programados para la vigencia 2021; se ha alcanzado un avance acumulado en la ejecución de la meta de 1 equivalente a un 50% respecto a lo programado. 
Este avance está basado en las actividades de recolección de información de las acciones de evaluación, control y seguimiento de los grupos de fuentes fijas y fuentes móviles. También en la intervención mediante actuaciones técnicas, visitas de control y seguimiento, acompañamientos, monitoreos, operativos de medición en vía a vehículos que transitan en el Distrito Capital, visitas técnicas de auditoria a Centros de Diagnóstico Automotor CDA'S, con esta información se construyó el informe de acciones de evaluación, control y seguimiento a las fuentes de emisión.
El avance acumulado se registra, así:
•	Enero 0,15, de avance en la ejecución de la meta.
•	Febrero 0,11, de avance en la ejecución de la meta.
•	Marzo 0,10, de avance en la ejecución de la meta.
•	Abril 0,15, de avance en la ejecución de la meta.
•	Mayo 0,14, de avance en la ejecución de la meta.
•	Junio 0,35, de avance en la ejecución de la meta.
•	Julio 0,18, de avance en la ejecución de la meta"
</t>
  </si>
  <si>
    <t xml:space="preserve">"La meta presenta un avance del 100% para la vigencia, que corresponde a:
- Enero 2021, se proyecta el informe relacionado con la operación de la Red de Monitoreo de Ruido Ambiental de Bogotá (RMRAB), en la cual, se reportan principalmente la realización de las actividades acreditación del procedimiento de monitoreo de ruido ambiental ante el IDEAM, actividades de soporte y mantenimiento realizado a las estaciones de monitoreo de ruido, espacialización de datos de emisión de ruido Colector - ESRI y se presentó el procedimiento interno de manejo de PQR´s a la secretaria de salud.
- Febrero: actividades, de soporte y mantenimiento realizado a las estaciones de monitoreo de ruido, y el avance en el proceso de instalación de las estaciones de la RMRAB afectadas durante protestas. contratación del personal para a la operación de la RMRAB.
- Marzo: Se genera informe de avance semestral del mes de marzo relacionado con la operación de la Red de Monitoreo de Ruido Ambiental de Bogotá (RMRAB) durante el primer trimestre del 2021 en la cual se reportan principalmente la realización de las actividades de soporte y mantenimiento realizado a las estaciones de monitoreo de ruido y el avance en el proceso de instalación de las estaciones de la RMRAB afectadas durante protestas, además se realizaron los estudios previos para la renovación de los contratos de arrendamiento y se realizó el análisis técnico de los datos reportados en el mes de enero en el visor WEB MAIGRAI, solicitudes de cotización pata la compra de software y solicitudes de cotizaciones para la calibración de equipos.
- Abril:  Se genera informe de avance semestral del mes de abril relacionado con la operación de la Red de Monitoreo de Ruido Ambiental de Bogotá (RMRAB) durante los cuatro primeros meses del 2021 en la cual se reportan principalmente la realización de las   actividades de soporte y mantenimiento  realizado a las estaciones de monitoreo de ruido y la instalación de las 10 estaciones de la RMRAB afectadas durante protestas, además se firmaron los estudios previos para la renovación de los contratos de arrendamiento y se realizó el análisis técnico de los datos reportados en el mes de enero en el visor MAIGRAI, e avanzo en la realización del estudio previo para la compra de un software de modelación acústica.
- Mayo: Para el mes de Mayo se proyecta en informe de operación de la Red de Monitoreo de Ruido Ambiental de Bogotá (RMRAB), en el cual se relacionan las operaciones y mantenimientos realizados a las estaciones que se encuentran en operación actualmente.
- Junio: Se termina la consolidación del informe semestral de operación de la Red de Monitoreo de Ruido Ambiental de Bogotá (RMRAB).
- Julio:  se genera avance del informe  semestral relacionado con la operación de la Red de Monitoreo de Ruido Ambiental de Bogotá (RMRAB) durante el primer mes del segundo semestre del del 2021, en el cual se reportan principalmente la realización de las   actividades de soporte y mantenimiento  realizado a las estaciones de monitoreo de ruido, se hace el reporte del informe semestral de operación y análisis de datos del primer semestre, informe semestral de laboratorio ambiental e infome de gestión. Se avanzó en la realización del estudio previo para la compra de un software de modelación acústica, además se realizó la proyección de presupuesto para el año 2022. Por otro lado se cargaron a SIPSE los documentos actualizados del Edificio Ejecutivo Plaza para la renovación del contrato; en lo refente a materia de acreditación de la metodología de la ISO 1996 ante el IDEAM , se adelantó con la generación y revisión de documentos requeridos en la lista de chequeo generada por la RMRAB"
</t>
  </si>
  <si>
    <t xml:space="preserve">"Durante el mes de julio, se realizaron doscientas sesenta y cinco (265) acciones en cumplimiento de la meta:
Once (11) operativos de control: 55 establecimientos en Teusaquillo
Veinticuatro (24) visitas de evaluación a elementos mayores en Barrios Unidos, Fontibón, Kennedy, Puente Aranda, Suba, Teusaquillo, Tunjuelito y Usaquén.
Ciento once (111) documentos técnicos firmados.
Un (01) cargue de información a la plataforma SIIPEV.
Ciento dieciocho (118) evaluaciones a solicitudes de elementos de publicidad exterior visual.
Para la vigencia del Proyecto de Inversión del año 2021 se han realizado tres mil quinientas cuatro (3.769) acciones de evaluación, control y seguimiento:
Veintisiete (27) operativos de control.
Noventa y ocho (98) visitas de evaluación a elementos mayores.
Ciento catorce (114) documentos técnicos firmados.
Cinco (05) cargues de información a la plataforma SIIPEV.
Tres mil quinientas veinticinco (3.525) evaluaciones a solicitudes de elementos de publicidad exterior visual.
Lo anterior, dando un avance para el cuatrienio de 5.061  acciones de evaluación, control y seguimiento: 82 operativos de control y seguimiento,195 visitas a elementos mayores, 117 documentos técnicos, 54 visitas a elementos menores, 08 cargues de información a la plataforma SIIPEV, 4.605 evaluaciones a solicitudes de elementos de publicidad exterior visual."
</t>
  </si>
  <si>
    <t xml:space="preserve">"La Secretaría Distrital de Ambiente del 01 de enero al 31 de julio de 2021 en ejercicio de su funcion sancionatoria acogió el 97.63% de los conceptos técnicos relacionados con el recurso  ambiental aire, auditiva y visual y que recomiendan una actuación administrativa sancionatoria, como se relaciona a continuación: 
No de Conceptos Técnicos que recomiendan actuaciones administrativas sancionatorias: 294 Conceptos Técnicos.
No de Conceptos Técnicos atendidos jurídicamente: 286 Conceptos Técnicos acogidos
</t>
  </si>
  <si>
    <t>Para la vigencia 2021, se han desarrollado 559 actuaciones técnicas que corresponde a un 62,6% respecto a lo programado para el año, y a su vez, un avance del 22,3% durante el cuatrienio.
Este avance del 2021, se conforma de 440  (49 visitas efectivas con medición, 31 visitas efectivas sin medición en cumplimiento a actos administrativos, 214 visitas efectivas para cerrar el caso, 146 visitas no efectivas para reprogramar) y 119 actuaciones técnicas correspondientes a otros documentos (17 informes de acciones populares, para las localidades de Antonio Nariño, Bosa, Fontibón y Teusaquillo, 1 concepto técnico aclaratorio, 19 socializaciones a la OPEL, 1 socialización CAL, 1 socialización CAL, 4 otras socializaciones a JAL, Humedal el Burro, mesa de empresarios y mesa de ASOBARES, 4 estudios de ruido, 67 oficios SUGA)</t>
  </si>
  <si>
    <t>ENERO 20 visitas así: 8 efectivas con medición, 4 efectivas sin medición, correspondientes a actos administrativos, 6 efectivas para cerrar el caso y 2 no efectivas (reprogramar). 
FEBRERO 0 visitas.
MARZO 89 visitas así: 5 visitas efectivas con medición, 5 visitas efectivas sin medición, 51 visitas efectivas cerrar caso, 28 visitas no efectivas (reprogramar). 
ABRIL 96 visitas así: 12 visitas efectivas con medición, 13 visitas efectivas en atención a actos administrativos, 40 visitas efectivas para cerrar el caso y 31 visitas no efectivas (reprogramar).
MAYO 61 visitas así: 9 visitas efectivas con medición, 2 visitas efectivas en atención a actos administrativos, 33 visitas efectivas para cerrar el caso, 17 visitas no efectivas (reprogramar)
JUNIO 91 visitas así: 7 visitas efectivas con medición, 45 visitas efectivas para cerrar el caso, 39 visitas no efectivas para (reprogramar).
JULIO 83 visitas así: 8 visitas efectivas con medición, 7 visitas efectivas sin medición, 39 visitas efectivas para cerrar el caso y 29 visitas no efectivas para (reprogramar)</t>
  </si>
  <si>
    <t xml:space="preserve">Durante el mes agosto se realizaron doscientas tres (203) acciones en cumplimiento de la meta:
Diez (10) operativos: (09) de control en Teusaquillo y (01) de sensibilización en La Candelaria: 45 y 10 establecimientos respectivamente.
Veinticinco (25) visitas de evaluación a elementos mayores en Barrios Unidos, Engativá, Fontibón, Kennedy, Suba, Teusaquillo, y Usaquén.
Cinco (05) documentos técnicos firmados.
Un (01) cargue de información a la plataforma SIIPEV.
Ciento treinta y dos (132) evaluaciones a solicitudes de elementos de publicidad exterior visual.
Para la vigencia del Proyecto de Inversión del año 2021 se han realizado tres mil novecientas setenta y dos (3.972) acciones de evaluación, control y seguimiento:
Treinta y siete (37) operativos de control y sensibilización
Ciento veintitrés (123) visitas de evaluación a elementos mayores.
Ciento diecinueve (119) documentos técnicos firmados.
Seis (06) cargues de información a la plataforma SIIPEV.
Tres mil seiscientas ochenta y siete (3.687) evaluaciones a solicitudes de elementos de publicidad exterior visual.
Lo anterior, dando un avance para el cuatrienio de 5.264 acciones de evaluación, control y seguimiento: 92 operativos de control y seguimiento, 220 visitas de evaluación a elementos mayores, 122 documentos técnicos, 54 visitas a elementos menores, 09 cargues de información a la plataforma SIIPEV, 4.767 evaluaciones a solicitudes de elementos de publicidad exterior visual.
</t>
  </si>
  <si>
    <t>Para la vigencia 2021, se han desarrollado 661 actuaciones técnicas que corresponde a un 74,0% respecto a lo programado para el año, y a su vez, un avance del 24,5% durante el cuatrienio.
Este avance del 2021, se conforma de 529  (58 visitas efectivas con medición, 45 visitas efectivas sin medición en cumplimiento a actos administrativos, 251 visitas efectivas para cerrar el caso, 175 visitas no efectivas para reprogramar) y 132 actuaciones técnicas correspondientes a otros documentos (18 informes de acciones populares, para las localidades de Antonio Nariño, Bosa, Fontibón y Teusaquillo, 1 concepto técnico aclaratorio, 19 socializaciones a la OPEL, 1 socialización CAL, 1 socialización CAL, 4 otras socializaciones a JAL, Humedal el Burro, mesa de empresarios y mesa de ASOBARES, 5 estudios de ruido, 78 oficios SUGA).</t>
  </si>
  <si>
    <t>La meta presenta un avance del 100% para la vigencia, que corresponde a:
- Enero 2021, se proyecta el informe relacionado con la operación de la Red de Monitoreo de Ruido Ambiental de Bogotá (RMRAB), en la cual, se reportan principalmente la realización de las actividades acreditación del procedimiento de monitoreo de ruido ambiental ante el IDEAM, actividades de soporte y mantenimiento realizado a las estaciones de monitoreo de ruido, espacialización de datos de emisión de ruido Colector - ESRI y se presentó el procedimiento interno de manejo de PQR´s a la secretaria de salud.
- Febrero: actividades, de soporte y mantenimiento realizado a las estaciones de monitoreo de ruido, y el avance en el proceso de instalación de las estaciones de la RMRAB afectadas durante protestas. contratación del personal para a la operación de la RMRAB.
- Marzo: Se genera informe de avance semestral del mes de marzo relacionado con la operación de la Red de Monitoreo de Ruido Ambiental de Bogotá (RMRAB) durante el primer trimestre del 2021 en la cual se reportan principalmente la realización de las actividades de soporte y mantenimiento realizado a las estaciones de monitoreo de ruido y el avance en el proceso de instalación de las estaciones de la RMRAB afectadas durante protestas, además se realizaron los estudios previos para la renovación de los contratos de arrendamiento y se realizó el análisis técnico de los datos reportados en el mes de enero en el visor WEB MAIGRAI, solicitudes de cotización pata la compra de software y solicitudes de cotizaciones para la calibración de equipos.
- Abril:  Se genera informe de avance semestral del mes de abril relacionado con la operación de la Red de Monitoreo de Ruido Ambiental de Bogotá (RMRAB) durante los cuatro primeros meses del 2021 en la cual se reportan principalmente la realización de las   actividades de soporte y mantenimiento  realizado a las estaciones de monitoreo de ruido y la instalación de las 10 estaciones de la RMRAB afectadas durante protestas, además se firmaron los estudios previos para la renovación de los contratos de arrendamiento y se realizó el análisis técnico de los datos reportados en el mes de enero en el visor MAIGRAI, e avanzo en la realización del estudio previo para la compra de un software de modelación acústica.
- Mayo: Para el mes de Mayo se proyecta en informe de operación de la Red de Monitoreo de Ruido Ambiental de Bogotá (RMRAB), en el cual se relacionan las operaciones y mantenimientos realizados a las estaciones que se encuentran en operación actualmente.
- Junio: Se termina la consolidación del informe semestral de operación de la Red de Monitoreo de Ruido Ambiental de Bogotá (RMRAB).
- Julio:  se genera avance del informe  semestral relacionado con la operación de la Red de Monitoreo de Ruido Ambiental de Bogotá (RMRAB) durante el primer mes del segundo semestre del 2021, en el cual se reportan principalmente la realización de las   actividades de soporte y mantenimiento  realizado a las estaciones de monitoreo de ruido, se hace el reporte del informe semestral de operación y análisis de datos del primer semestre, informe semestral de laboratorio ambiental e informe de gestión. Se avanzó en la realización del estudio previo para la compra de un software de modelación acústica, además se realizó la proyección de presupuesto para el año 2022. Por otro lado, se cargaron a SIPSE los documentos actualizados del Edificio Ejecutivo Plaza para la renovación del contrato; en lo refente a materia de acreditación de la metodología de la ISO 1996 ante el IDEAM, se adelantó con la generación y revisión de documentos requeridos en la lista de chequeo generada por la RMRAB.
Agosto: se realiza el 100% de las acciones relacionadas con la operación y mantenimiento de la Red de Monitoreo de Ruido Ambiental de Bogotá (RMRAB), presentación avance del informe semestral para el segundo periodo del 2021, presentación del avance del informe de los Mapas Estratégicos de Ruido del Distrito (MER), actualización de valor central cartas control, seguimiento a arriendos, respuestas a solicitudes ciudadanas, cargue de documentos para la renovación de los contratos de arriendo,  realización de anexo técnico  del estudio previo para la adquisición de un software de modelación acústica, solicitud a la empresa ETB del cronograma de instalación de internet, solicitud de mantenimientos de las estaciones de ruido por parte de la empresa TEKCEN S.A.S. y Cargue de adiciones en el sistema SIPSE del personal de la RMRAB.</t>
  </si>
  <si>
    <t>En el marco de la gestión integral de la calidad del aire de Bogotá, a la fecha se han presentado 3 documentos técnicos, los cuales son: 1. Documento técnico de Plan Aire, con sus respectivos anexos y el Decreto del Plan Aire, 2. Informe de seguimiento semestral del grupo de SATAB 2021-I. 3. Documento de modelación. Así mismo, se viene trabajando en el desarrollo de 5 documentos técnicos, los cuales serán presentados en el transcurso del año, siendo: 1. Informe semestral de Seguimiento al Plan Estratégico para la Gestión Integral de la Calidad del Aire – Plan Aire 2030, en el cual se ha venido reportando el avance mensual de los 37 proyectos que se encuentran en el plan de acción. 2. Se ha venido trabajando en la estructuración y revisión metodológica del Informe de Actualización de Inventarios de Emisiones 2021 - II. 3. Documento protocolo de actuación, donde se ajustó el documento del Plan de Contingencia para la atención de episodios de contaminación atmosférica en la ciudad conforme a las observaciones realizadas por parte del equipo del IDIGER. 4. Documento estrategia de gobernanza, este se incluyó en el plan de gestión integral de Calidad del Aire de Bogotá con dos fases principales: Formulación de la estrategia en 2021-2022 e implementación de la estrategia durante el periodo 2022-2024. 5. Informe de seguimiento semestral del grupo de SATAB 2021-II, en el cual se ha venido trabajando en la descripción de las cuatro líneas estratégicas para su operación: i) Índice Bogotano de Calidad del Aire y Riesgo en salud -IBOCA- ii) Avance en la actualización del Plan de Contingencia para la atención de eventos de contaminación atmosférica iii) Gobernanza de la calidad del aire, iv) Monitoreo y análisis de contaminantes y v) sensores de bajo costo.</t>
  </si>
  <si>
    <t>Durante la ejecución 2021, se han realizado mantenimientos preventivos y correctivos, validación y análisis de datos, diaria de las concentraciones de contaminantes criterio y parámetros meteorológicos que monitorea la RMCAB incluyendo las nuevas estaciones en la red (Bolivia, Usme, Ciudad Bolívar, Bosa, Jazmín, Colina y Móvil Fontibón), así como sus respectivos informes. Se mantuvo el plan de prueba de sensores de bajo costo.
Se realizó y publicó el informe trimestral ene-abr 2021 y anual 2020. Adicionalmente se han publicó los informes mensuales de enero a julio de 2021.
Se mantiene el proceso de validación de los datos generados por las nuevas estaciones y los equipos. Se realizó la revisión de la parte jurídica y de cooperación a la estructura del Convenio entre la SDA y la CAR de Cundinamarca, estableciendo necesidades de poder definir el tipo de convenio a realizar, el periodo de ejecución y el rol de cada entidad para los formatos a utilizar y el cargue de los documentos. En ese sentido, se realizó reunión con los profesionales de la Corporación Autónoma Regional de Cundinamarca para establecer las actividades a realizar en el marco de la integración de las redes de la SDA y la CAR, específicamente lo relacionado con el tema de modelación de calidad del aire, en ese sentido se avanzó en la estructura del Convenio, específicamente en lo relacionado con las actividades para el componente de modelación.
Se realizaron mantenimientos preventivos y correctivos, validación y análisis de datos y se mantuvo el plan de prueba de sensores de bajo costo.
Para el mes de agosto el porcentaje de cumplimiento para este indicador es del 93%. Se reportaron los mantenimientos preventivos y correctivos que se realizaron durante el mes, se realizó la validación diaria de los datos de concentraciones de contaminantes criterio y parámetros meteorológicos que monitorea la RMCAB. El reporte de operatividad para el mes de agosto fue del 92,6%  el cual es promedio de los datos validos de todos los parámetros de la red en las estaciones que se genera a través de Envista. Para el mes de agosto se completo el análisis de datos y la redacción del  informe mensual de julio de 2021, completando su elaboración y posterior publicación. Cabe mencionar que durante agosto los indicadores relacionados con el trabajo en campo se vieron afectados debido a las limitaciones en la operación de la RMCAB asociadas a la baja disponibilidad de vehículos que ha tenido la SCAAV y que ha generado retrasos en la atención a las actividades correctivas y algunas actividades de tipo preventivo debido a que la mayor parte del tiempo solo se cuenta con un vehículo  para atender 20 estaciones y mover 7 contratistas.
Para el mes de agosto como parte del proceso de colaboración entre la Red de Monitoreo de Calidad del Aire de Bogotá – RMCAB y los diferentes actores en el establecimiento de esta red colaborativa de sensores de bajo costo se mantuvo la operación de los sensores instalados en la estación de Las Ferias por parte del Colectivo CanAir.io, La Universidad Central y La Universidad Nacional. Se mantiene en operación los sensores de bajo costo del Colectivo CanAir.io en la estación Kennedy y en la estación del Tunal y se realizó la instalación de los microsensores en el marco del proceso de  consultoria para evaluación de sensores de bajo costo liderado por el grupo de CIMAB y SATAB. Adicionalmente, se realizó el apoyo para el montaje de otros microsensores en cuatro estaciones de la RMCAB en el marco de un proyecto liderado por la Universidad Nacional y que busca medir la calidad del aire en cinco ciudades del pais con este tipo de instrumentos.</t>
  </si>
  <si>
    <t>En el cumplimiento de los dos (02) informes de gestión programados para la vigencia 2021; se ha alcanzado un avance acumulado en la ejecución de la meta de 1,39 equivalente a un 69,5% respecto a lo programado. 
Este avance está basado en las actividades de recolección de información de las acciones de evaluación, control y seguimiento de los grupos de fuentes fijas y fuentes móviles. También en la intervención mediante actuaciones técnicas, visitas de control y seguimiento, acompañamientos, monitoreos, operativos de medición en vía a vehículos que transitan en el Distrito Capital, visitas técnicas de auditoria a Centros de Diagnóstico Automotor CDA'S, con esta información se construyó el informe de acciones de evaluación, control y seguimiento a las fuentes de emisión.
El avance acumulado se registra, así:
•	Enero 0,15, de avance en la ejecución de la meta.
•	Febrero 0,11, de avance en la ejecución de la meta.
•	Marzo 0,10, de avance en la ejecución de la meta.
•	Abril 0,15, de avance en la ejecución de la meta.
•	Mayo 0,14, de avance en la ejecución de la meta.
•	Junio 0,35, de avance en la ejecución de la meta.
•	Julio 0,18, de avance en la ejecución de la meta.
•	Agosto 0,13, de avance en la ejecución de la meta</t>
  </si>
  <si>
    <t>La Secretaría Distrital de Ambiente del 01 de enero al 31 de agosto de 2021 en ejercicio de su función sancionatoria acogió el 97.72% de los conceptos técnicos relacionados con el recurso ambiental aire, auditiva y visual y que recomiendan una actuación administrativa sancionatoria, como se relaciona a continuación: 
No de Conceptos Técnicos que recomiendan actuaciones administrativas sancionatorias: 352 Conceptos Técnicos.
No de Conceptos Técnicos atendidos jurídicamente: 344 Conceptos Técnicos acogidos.</t>
  </si>
  <si>
    <t>Durante el mes de septiembre se realizaron doscientas noventa y cuatro (294) acciones en cumplimiento de la meta:
Diez (10) operativos de control en Engativá y Teusaquillo: 50 establecimientos.
Dieciocho (18) visitas de evaluación a elementos mayores en Antonio Nariño, Chapinero, Fontibón, Suba, Teusaquillo, y Usaquén.
Un (01) cargue de información a la plataforma SIIPEV.
Doscientos sesenta y cinco (265) evaluaciones a solicitudes de elementos de publicidad exterior visual.
Para la vigencia del Proyecto de Inversión del año 2021 se han realizado cuatro mil doscientas sesenta y seis (4.266) acciones de evaluación, control y seguimiento:
Cuarenta y siete (47) operativos de control y sensibilización
Ciento cuarenta y uno (141) visitas de evaluación a elementos mayores.
Ciento diecinueve (119) documentos técnicos firmados.
Siete (07) cargues de información a la plataforma SIIPEV.
Tres mil novecientas cincuenta y dos (3.952) evaluaciones a solicitudes de elementos de publicidad exterior visual.
Lo anterior, dando un avance para el cuatrienio de 5.558 acciones de evaluación, control y seguimiento: 102 operativos de control y seguimiento, 238 visitas de evaluación a elementos mayores, 122 documentos técnicos, 54 visitas a elementos menores, 10 cargues de información a la plataforma SIIPEV, 5.032 evaluaciones a solicitudes de elementos de publicidad exterior visual.</t>
  </si>
  <si>
    <t>Para la vigencia 2021, se han desarrollado 757 actuaciones técnicas que corresponde a un 84,8% respecto a lo programado para el año, y a su vez, un avance del 26,6% durante el cuatrienio.
Este avance del 2021, se conforma de: 622 visitas y 135 actuaciones correspondientes a otros documentos técnicos;
•	I trimestre: 13 efectivas con medición, 9 efectivas sin medición, 57 efectivas para cerrar el caso, 30 no efectivas para reprogramar y 47 otros documentos técnicos. Total, trimestre 156 acciones.
•	II trimestre: 28 efectivas con medición, 15 efectivas sin medición, 118 efectivas para cerrar el caso, 87 no efectivas para reprogramar y 59 otros documentos técnicos. Total, trimestre 307 acciones.
•	III trimestre: 25 efectivas con medición, 29 efectivas sin medición, 113 efectivas para cerrar el caso, 98 no efectivas para reprogramar y 29 otros documentos técnicos. Total, trimestre 294 acciones.</t>
  </si>
  <si>
    <t>Avance del 100% para la vigencia 2021, que corresponde a:
* Primer trimestre del año 2021 se avanza en la consolidación del informe relacionado con la operación de la Red de Monitoreo de Ruido Ambiental de Bogotá (RMRAB), se realizaron actividades, de soporte y mantenimiento realizado a las estaciones de monitoreo de ruido, y el avance en el proceso de instalación de las estaciones de la RMRAB afectadas durante protestas del 2020 y la contratación del personal para a la operación de la RMRAB.
* Segundo trimestre del 2021 se realiza el 100% de las acciones relacionadas con la operación y mantenimiento de la Red de Monitoreo de Ruido Ambiental de Bogotá (RMRAB), presentación avance del informe semestral del 2021, informe de gestión y balance social e informe de laboratorio y metrología para la operación de la RMRAB, actualización de Valor Central Cartas Control, seguimiento a arriendos, respuestas a solicitudes ciudadanas, firma de estudios previos para la renovación de los contratos de arriendo, convenios para la operación de estaciones de monitoreo, reporte de las estaciones vandalizadas, reunión con el comité técnico para la aprobación del contrato de arrendamiento con el Edificio Ejecutivo Plaza, realización de estudio previo para la adquisición de un Software de modelación acústica, acompañamiento a la empresa ETB para la reconexión de internet, verificación y acompañamiento a los mantenimientos de las estaciones de ruido por parte de la empresa TEKCEN S.A.S.
* Tercer trimestre del año 2021; avance del informe semestral relacionado con la operación de la Red de Monitoreo de Ruido Ambiental de Bogotá (RMRAB) durante el segundo mes del segundo semestre del 2021, en la cual se reportan la realización de las actividades de soporte y mantenimiento realizado a las estaciones de monitoreo de ruido, se hace entrega del primer avance del informe de actualización de los Mapas Estratégicos del Distrito (MER), avance del informe de Laboratorio Ambiental y se solicitó concepto técnico sobre la infraestructura tecnológica para la instalación del software de modelación acústica. La acreditación ante el IDEAM y la NTC ISO/IEC 17025, se adelantó con la generación y revisión de documentos requeridos en la lista de chequeo generada para tal fin.</t>
  </si>
  <si>
    <t>En el marco de la gestión integral de la calidad del aire de Bogotá, en el Primer semestre de la vigencia 2021 se han presentado 3 documentos técnicos, asi: 
1. Documento técnico de Plan Aire, con sus respectivos anexos y el Decreto del Plan Aire.
2. Informe de seguimiento semestral del grupo de SATAB 2021-I.
3. Documento de modelación. 
Para el Segundo semestre, se viene trabajando en el desarrollo de 5 documentos técnicos, los cuales serán presentados al termino del segundo semestre del 2021;
1. Informe semestral de Seguimiento al Plan Estratégico para la Gestión Integral de la Calidad del Aire – Plan Aire 2030, en el cual se reporta el avance mensual de los 37 proyectos que se encuentran en el plan de acción. 
2. Estructuración y revisión metodológica del Informe de Actualización de Inventarios de Emisiones 2021 - II.
3. Documento protocolo de actuación, del Plan de Contingencia para la atención de episodios de contaminación atmosférica en la ciudad frente a los componentes de conocimiento del riesgo, reducción del riesgo y manejo de alertas y emergencias.
4. Documento estrategia de Gobernanza, este se incluyó en el plan de gestión integral de Calidad del Aire de Bogotá con dos fases principales: Formulación de la estrategia en 2021-2022 e implementación de la estrategia durante el periodo 2022-2024.
5. Informe de seguimiento semestral del grupo de SATAB 2021-II, descripción de las cuatro líneas estratégicas para su operación: i) Índice Bogotano de Calidad del Aire y Riesgo en salud -IBOCA- ii) Avance en la actualización del Plan de Contingencia para la atención de eventos de contaminación atmosférica iii) Gobernanza de la calidad del aire, iv) Monitoreo y análisis de contaminantes y v) sensores de bajo costo.</t>
  </si>
  <si>
    <t>En el cumplimiento de los dos (02) informes de gestión programados para la vigencia 2021; se ha alcanzado un avance acumulado en la ejecución de la meta de equivalente a un 75% respecto a lo programado. 
Este avance está basado en las actividades de recolección de información de las acciones de evaluación, control y seguimiento de los grupos de fuentes fijas y fuentes móviles. También en la intervención mediante actuaciones técnicas, visitas de control y seguimiento, acompañamientos, monitoreos, operativos de medición en vía a vehículos que transitan en el Distrito Capital, visitas técnicas de auditoria a Centros de Diagnóstico Automotor CDA'S, con esta información se construyó el informe de acciones de evaluación, control y seguimiento a las fuentes de emisión.
Para el primer semestre del año el acumulado es de 1 informe entregado como avance en la ejecución de la meta
Para el segundo semestre del año el acumulado es de 0,48 de avance en la ejecución de la meta.</t>
  </si>
  <si>
    <t>Durante la ejecución 2021, se han realizado mantenimientos preventivos y correctivos, validación y análisis de datos, diaria de las concentraciones de contaminantes criterio y parámetros meteorológicos que monitorea la RMCAB incluyendo las nuevas estaciones en la red (Bolivia, Usme, Ciudad Bolívar, Bosa, Jazmín, Colina y Móvil Fontibón), así como sus respectivos informes. Se mantuvo el plan de prueba de sensores de bajo costo.
Para el tercer trimestre de la vigencia 2021, Se realizaron mantenimientos preventivos y correctivos, validación y análisis de datos, incluyendo nuevas estaciones en la RMCAB (Bolivia, Usme, Ciudad Bolívar, Bosa, Jazmín, Colina y Móvil Fontibón) se trabajó en integración SDA-CAR y se mantuvo el plan de prueba de sensores de bajo costo. Promedio Trimestral 96%
Para el mes de septiembre el porcentaje de cumplimiento para este indicador es del 98%. Se reportaron los mantenimientos preventivos y correctivos que se realizaron durante el mes, se realizó la validación diaria de los datos de concentraciones de contaminantes criterio y parámetros meteorológicos que monitorea la RMCAB. El reporte de operatividad para el mes de septiembre fue del 92,6% el cual es promedio de los datos validos de todos los parámetros de la red en las estaciones que se genera a través de Envista. Para el mes de septiembre se completo el análisis de datos y la redacción del informe mensual de agosto y del informe trimestral abr-jun del 2021, completando su elaboración y posterior publicación.
como parte del proceso de colaboración entre la Red de Monitoreo de Calidad del Aire de Bogotá – RMCAB y los diferentes actores en el establecimiento de esta red colaborativa de sensores de bajo costo se mantuvo la operación de los sensores instalados en la estación de Las Ferias por parte del Colectivo CanAir.io, La Universidad Central y La Universidad Nacional. Se mantiene en operación los sensores de bajo costo del Colectivo CanAir.io en las estaciones Kennedy y Tunal.</t>
  </si>
  <si>
    <t>La Secretaría Distrital de Ambiente del 01 de enero al 30 de septiembre de 2021 en ejercicio de su función sancionatoria acogió el 98% de los conceptos técnicos relacionados con el recurso  ambiental aire, auditiva y visual y que recomiendan una actuación administrativa sancionatoria, como se relaciona a continuación: 
No de Conceptos Técnicos que recomiendan actuaciones administrativas sancionatorias: 627 Conceptos Técnicos.
No de Conceptos Técnicos atendidos jurídicamente: 612 Conceptos Técnicos acogidos.</t>
  </si>
  <si>
    <t>Para el 2021, se han desarrollado 826 actuaciones técnicas correspondientes al 92,5% de lo programado en el año, y un avance del 28% del cuatrienio.
El avance 2021 es: 691 visitas y 135 actuaciones de otros documentos técnicos
•	I trimestre: 13 efectivas de medición, 9 efectivas sin medición, 57 efectivas para cerrar el caso, 30 no efectivas para reprogramar y 47 otros documentos técnicos. Total, trimestre 156 acciones.
•	II trimestre: 28 efectivas de medición, 15 efectivas sin medición, 118 efectivas para cerrar el caso, 87 no efectivas para reprogramar y 59 otros documentos técnicos. Total, trimestre 307 acciones.
•	III trimestre: 25 efectivas de medición, 29 efectivas sin medición, 113 efectivas para cerrar el caso, 98 no efectivas para reprogramar y 29 otros documentos técnicos. Total, trimestre 294 acciones.
•	Octubre: 12 efectivas de medición, 3 efectivas sin medición, 22 efectivas para cerrar el caso, 32 no efectivas para reprogramar. Total, mes 69 acciones.</t>
  </si>
  <si>
    <t>La Secretaría Distrital de Ambiente, en el marco de las acciones de operación, mantenimiento y monitoreo de la red de ruido realizadas, presenta el avance de la vigencia que se detalla a continuación:
Durante el año 2020 se proyectaron los informes correspondientes a la operación Red de Monitoreo de Ruido Ambiental de Bogotá - RMRAB, en la cual, se reportan principalmente la realización de las actividades acreditación del procedimiento de monitoreo de ruido ambiental ante el IDEAM, actividades de soporte y mantenimiento realizado a las estaciones de monitoreo.
*Durante el primer trimestre del año 2021 se avanza en la consolidación del informe relacionado con la operación de la RMRAB, donde se realizaron las siguientes actividades, de soporte y mantenimiento realizado a las estaciones de monitoreo de ruido, y el avance en el proceso de instalación de las estaciones de la RMRAB afectadas durante protestas. contratación del personal para a la operación de la RMRAB.
* Durante el segundo trimestre del 2021 se realiza el 100% de las acciones relacionadas con la operación y mantenimiento de la Red, presentación avance del informe semestral del 2021, informe de gestión y balance social e informe de laboratorio y metrología para la operación de la RMRAB, , Firma de estudios previos para la renovación de los contratos de arriendo, convenios para la operación de estaciones de monitoreo, reporte de las estaciones vandalizadas, realización de estudio previo para la adquisición de un software de modelación acústica.
Durante el decimo (10) mes del año 2021, se mantiene el 100% de avance en la Meta; Se genera avance del informe  semestral relacionado con la operación de la RMRAB, , en la cual se reportan principalmente la realización de las actividades de soporte y mantenimiento  realizado a las estaciones de monitoreo de ruido, se realiza cargue al sistema SIPSE para la compra de los Mapas Estratégicos del Distrito (MER).</t>
  </si>
  <si>
    <t>La meta presenta a Octubre de 2021 un avance del 100% para la vigencia, que corresponde a: 
 *Durante el primer trimestre del año 2021 se avanza en la consolidación del informe relacionado con la operación de la RMRAB, donde se realizaron las siguientes actividades, de soporte y mantenimiento realizado a las estaciones de monitoreo de ruido, y el avance en el proceso de instalación de las estaciones de la RMRAB afectadas durante protestas. contratación del personal para a la operación de la RMRAB.
* Durante el segundo trimestre del 2021 se realiza el 100% de las acciones relacionadas con la operación y mantenimiento de la Red, presentación avance del informe semestral del 2021, informe de gestión y balance social e informe de laboratorio y metrología para la operación de la RMRAB, , Firma de estudios previos para la renovación de los contratos de arriendo, convenios para la operación de estaciones de monitoreo, reporte de las estaciones vandalizadas, realización de estudio previo para la adquisición de un software de modelación acústica.
Durante el decimo (10) mes del año 2021, se mantiene el 100% de avance en la Meta; Se genera avance del informe  semestral relacionado con la operación de la RMRAB, , en la cual se reportan principalmente la realización de las actividades de soporte y mantenimiento  realizado a las estaciones de monitoreo de ruido, se realiza cargue al sistema SIPSE para la compra de los Mapas Estratégicos del Distrito (MER).</t>
  </si>
  <si>
    <t>En el marco de la gestión integral de la calidad del aire de Bogotá, en el Primer semestre de la vigencia 2021 se presentaron los siguientes 3 documentos técnicos, asi: 
1. Documento técnico de Plan Aire, con sus respectivos anexos y el Decreto del Plan Aire.
2. Informe de seguimiento semestral del grupo de SATAB 2021-I.
3. Documento de modelación. 
A continuación, se da el avance de los otros cinco (5) documentos, a presentar:
4. Informe semestral de Seguimiento al Plan Estratégico para la Gestión Integral de la Calidad del Aire – Plan Aire 2030, en el cual se reporta el avance mensual de los 37 proyectos que se encuentran en el plan de acción. 
5. Estructuración y revisión metodológica del Informe de Actualización de Inventarios de Emisiones 2021 - II.
6. Documento protocolo de actuación, del Plan de Contingencia para la atención de episodios de contaminación atmosférica en la ciudad frente a los componentes de conocimiento del riesgo, reducción del riesgo y manejo de alertas y emergencias.
7. Documento estrategia de Gobernanza, este se incluyó en el plan de gestión integral de Calidad del Aire de Bogotá con dos fases principales: Formulación de la estrategia en 2021-2022 e implementación de la estrategia durante el periodo 2022-2024.
8. Informe de seguimiento semestral del grupo de SATAB 2021-II, descripción de las cuatro líneas estratégicas para su operación: i) Índice Bogotano de Calidad del Aire y Riesgo en salud -IBOCA- ii) Avance en la actualización del Plan de Contingencia para la atención de eventos de contaminación atmosférica iii) Gobernanza de la calidad del aire, iv) Monitoreo y análisis de contaminantes y v) sensores de bajo costo.</t>
  </si>
  <si>
    <t>La Secretaría Distrital de Ambiente del 01 de enero al 31 de octubre de 2021 en ejercicio de su función sancionatoria acogió el 99.8% de los conceptos técnicos relacionados con el recurso ambiental aire, auditiva y visual y que recomiendan una actuación administrativa sancionatoria, como se relaciona a continuación: 
No de Conceptos Técnicos que recomiendan actuaciones administrativas sancionatorias: 851 Conceptos Técnicos.
No de Conceptos Técnicos atendidos jurídicamente: 850 Conceptos Técnicos acogidos
Avance corte 30 octubre de 2021: 100%.</t>
  </si>
  <si>
    <t>Durante la ejecución 2021, se han realizado mantenimientos preventivos y correctivos, validación y análisis de datos, diaria de las concentraciones de contaminantes criterio y parámetros meteorológicos que monitorea la RMCAB incluyendo las nuevas estaciones en la red (Bolivia, Usme, Ciudad Bolívar, Bosa, Jazmín, Colina y Móvil Fontibón), así como sus respectivos informes. Se mantuvo el plan de prueba de sensores de bajo costo.
Para el tercer trimestre de la vigencia 2021, Se realizaron mantenimientos preventivos y correctivos, validación y análisis de datos, incluyendo nuevas estaciones en la RMCAB (Bolivia, Usme, Ciudad Bolívar, Bosa, Jazmín, Colina y Móvil Fontibón) se trabajó en integración SDA-CAR y se mantuvo el plan de prueba de sensores de bajo costo. Promedio Trimestral 96%
Para el mes de octubre el porcentaje de cumplimiento para este indicador es del 96%. Se reportaron los mantenimientos preventivos y correctivos que se realizaron durante el mes, se realizó la validación diaria de los datos de concentraciones de contaminantes criterio y parámetros meteorológicos que monitorea la RMCAB. 
Para el mes de octubre se completo el análisis de datos y la redacción del informe mensual de septiembre completando su elaboración y posterior publicación.</t>
  </si>
  <si>
    <t>En el cumplimiento de los dos (02) informes de gestión programados para la vigencia 2021; se ha alcanzado un avance acumulado en la ejecución de la meta de equivalente a un 88,5% respecto a lo programado. 
Este avance está basado en las actividades de recolección de información de las acciones de evaluación, control y seguimiento de los grupos de fuentes fijas y fuentes móviles. También en la intervención mediante actuaciones técnicas, visitas de control y seguimiento, acompañamientos, monitoreos, operativos de medición en vía a vehículos que transitan en el Distrito Capital, visitas técnicas de auditoria a Centros de Diagnóstico Automotor CDA'S, con esta información se construyó el informe de acciones de evaluación, control y seguimiento a las fuentes de emisión.
Para el primer semestre del año el acumulado es de 1 ,0 de avance en la ejecución de la meta
Para el segundo semestre del año el acumulado es de 0,83 de avance en la ejecución de la meta.</t>
  </si>
  <si>
    <t>Para la vigencia del Proyecto de Inversión del año 2021 se han realizado cuatro mil doscientas sesenta y seis (4.841) acciones de evaluación, control y seguimiento:
Cincuenta y cuatro (54) operativos de control y sensibilización
Ciento cuarenta y uno (141) visitas de evaluación a elementos mayores.
Doscientos Cuatro (204) documentos técnicos firmados.
Ocho (08) cargues de información a la plataforma SIIPEV.
Cuatro Mil Cuatrocientas treinta y cuatro (4.434) evaluaciones a solicitudes de elementos de publicidad exterior visual.
Lo anterior, dando un avance para el cuatrienio de 6.133 acciones de evaluación, control y seguimiento: 109 operativos de control y seguimiento, 238 visitas de evaluación a elementos mayores, 207 documentos técnicos, 54 visitas a elementos menores, 11 cargues de información a la plataforma SIIPEV, 5.514 evaluaciones a solicitudes de elementos de publicidad exterior visual.</t>
  </si>
  <si>
    <t>1-601-F001 PAS-OTROS DISTRITO</t>
  </si>
  <si>
    <t>Para la vigencia 2021, se viene trabajando en el desarrollo de 5 documentos técnicos, los cuales serán presentados asi;
1. Informe semestral de Seguimiento al Plan Estratégico para la Gestión Integral de la Calidad del Aire – Plan Aire 2030, en el cual se reporta el avance mensual de los 37 proyectos que se encuentran en el plan de acción. 
2. Estructuración y revisión metodológica del Informe de Actualización de Inventarios de Emisiones 2021 - II.
3. Documento protocolo de actuación, del Plan de Contingencia para la atención de episodios de contaminación atmosférica en la ciudad frente a los componentes de conocimiento del riesgo, reducción del riesgo y manejo de alertas y emergencias.
4. Documento estrategia de Gobernanza, este se incluyó en el plan de gestión integral de Calidad del Aire de Bogotá con dos fases principales: Formulación de la estrategia en 2021-2022 e implementación de la estrategia durante el periodo 2022-2024.
5. Informe de seguimiento semestral del grupo de SATAB 2021-II, descripción de las cuatro líneas estratégicas para su operación: i) Índice Bogotano de Calidad del Aire y Riesgo en salud -IBOCA- ii) Avance en la actualización del Plan de Contingencia para la atención de eventos de contaminación atmosférica iii) Gobernanza de la calidad del aire, iv) Monitoreo y análisis de contaminantes y v) sensores de bajo costo.</t>
  </si>
  <si>
    <t>En el cumplimiento de los dos (02) informes de gestión programados para la vigencia 2021; se ha alcanzado un avance acumulado en la ejecución de la meta de equivalente a un 89% respecto a lo programado. 
Este avance está basado en las actividades de recolección de información de las acciones de evaluación, control y seguimiento de los grupos de fuentes fijas y fuentes móviles. También en la intervención mediante actuaciones técnicas, visitas de control y seguimiento, acompañamientos, monitoreos, operativos de medición en vía a vehículos que transitan en el Distrito Capital, visitas técnicas de auditoria a Centros de Diagnóstico Automotor CDA'S, con esta información se construyó el informe de acciones de evaluación, control y seguimiento a las fuentes de emisión.
Para el primer semestre del año el acumulado es de 1 informe entregado como avance en la ejecución de la meta.</t>
  </si>
  <si>
    <t>Para Octubre de 2021, se han realizado de: 691 visitas 
•	I trimestre: Total, trimestre 109 visitas tecnicas.
•	II trimestre: Total, trimestre 248 visitas tecnicas.
•	III trimestre:  Total, trimestre 265 visitas tecnicas.
Octubre de 2021, Total 69 visitas tecnicas.</t>
  </si>
  <si>
    <t>EJECUTADO ACUMUALDO  SEGPLAN AÑO 2021</t>
  </si>
  <si>
    <t>PROGRAMADO ACUMULADO SEGPLAN AÑO 2021</t>
  </si>
  <si>
    <t>EJECUTADO ACUMUALDO AL PERIODO AÑO 2021</t>
  </si>
  <si>
    <t>PROGRAMADO ACUMULADO AL PERIODO AÑO 2021</t>
  </si>
  <si>
    <t>EJECUTADO ACUMULADO  SEGPLAN
 AÑO 2021</t>
  </si>
  <si>
    <t xml:space="preserve"> AÑO 2021</t>
  </si>
  <si>
    <t>Para el 2021, se han desarrollado 891 actuaciones técnicas correspondientes al 99,8% de lo programado en el año, y un avance del 29,4% del cuatrienio.
El avance 2021 es: 756 visitas y 135 actuaciones de otros documentos técnicos
•	I trimestre: 13 efectivas de medición, 9 efectivas sin medición, 57 efectivas para cerrar el caso, 30 no efectivas para reprogramar y 47 otros documentos técnicos. Total, trimestre 156 acciones.
•	II trimestre: 28 efectivas de medición, 15 efectivas sin medición, 118 efectivas para cerrar el caso, 87 no efectivas para reprogramar y 59 otros documentos técnicos. Total, trimestre 307 acciones.
•	III trimestre: 25 efectivas de medición, 29 efectivas sin medición, 113 efectivas para cerrar el caso, 98 no efectivas para reprogramar y 29 otros documentos técnicos. Total, trimestre 294 acciones.
•	Octubre: 12 efectivas de medición, 3 efectivas sin medición, 22 efectivas para cerrar el caso, 32 no efectivas para reprogramar. Total, mes 69 acciones.
•	Noviembre: 10 efectivas de medición, 2 efectivas sin medición, 11 efectivas para cerrar el caso, 42 no efectivas para reprogramar. Total, mes 65 acciones.</t>
  </si>
  <si>
    <t>En el marco de la gestión integral de la calidad del aire de Bogotá, a la fecha se han presentado 4 documentos técnicos, los cuales son: 1. Documento técnico de Plan Aire, con sus respectivos anexos y el Decreto del Plan Aire. 2. Informe de seguimiento semestral del grupo de SATAB 2021-I. 3. Documento de modelación. 4. Plan de Contingencia para la atención de eventos de contaminación atmosférica.
Así mismo, se viene trabajando en el desarrollo de 4 documentos técnicos, los cuales serán presentados al final del año, siendo: 1. Informe semestral de Seguimiento al Plan Estratégico para la Gestión Integral de la Calidad del Aire – Plan Aire 2030, donde se ha venido reportando el avance mensual de los 37 proyectos que se encuentran en el plan de acción, el cual cuenta con un 50% de ejecución. 2. Respecto al Informe de Actualización del Inventario de Emisiones 2021 – II Se ha venido trabajando en el cálculo de emisiones de Blanck Carbon para el año 2020 y los impactos que este tiene en la calidad del aire, teniendo un 65% de ejecución. 3. Documento estrategia de gobernanza, este se incluyó en el plan de gestión integral de Calidad del Aire de Bogotá con dos fases principales: Formulación de la estrategia en 2021-2022 e implementación de la estrategia durante el periodo 2022-2024, el cual cuenta con un 70% de ejecución. 4. Informe de seguimiento semestral del grupo de SATAB 2021-II, en el cual se ha venido trabajando en la descripción de las cuatro líneas estratégicas para su operación: i) Índice Bogotano de Calidad del Aire y Riesgo en salud -IBOCA- ii) Avance en la actualización del Plan de Contingencia para la atención de eventos de contaminación atmosférica iii) Gobernanza de la calidad del aire, iv) Monitoreo y análisis de contaminantes y v) sensores de bajo costo, el cual cuenta con un 80% de ejecución.
Avance Acumulado de la Meta: 88,75%</t>
  </si>
  <si>
    <t>La meta presenta un avance del 100% para la vigencia, que corresponde a:
*Para el primer trimestre del año 2021 se avanza en la consolidación del informe relacionado con la operación de la Red de Monitoreo de Ruido Ambiental de Bogotá (RMRAB), donde se realizaron las siguientes actividades, de soporte y mantenimiento realizado a las estaciones de monitoreo de ruido, y el avance en el proceso de instalación de las estaciones de la RMRAB afectadas durante protestas. contratación del personal para a la operación de la RMRAB.
* Para el segundo trimestre del 2021 se realizan las acciones relacionadas con la operación y mantenimiento de la Red de Monitoreo de Ruido Ambiental de Bogotá (RMRAB), presentación avance del informe semestral del 2021, actualización de Valor Central Cartas Control, seguimiento a arriendos, respuestas a solicitudes ciudadanas, reporte de las estaciones vandalizadas, reunión con el comité técnico para la aprobación del contrato del ejecutivo plaza,  realización de estudio previo para la adquisición de un software de modelación acústica y acompañamiento a los mantenimientos de las estaciones de ruido por parte de la empresa TEKCEN S.A.S.
*Para el un decimo (11) mes del año 2021 Se genera avance del informe semestral relacionado con la operación de la Red de Monitoreo de Ruido Ambiental de Bogotá (RMRAB), en la cual se reportan principalmente la realización de las actividades de soporte y mantenimiento realizado a las estaciones de monitoreo de ruido, se hace entrega del avance del informe semestral. Por otro lado, se cargaron las adiciones del personal de la RMRAB.</t>
  </si>
  <si>
    <t>La Secretaría Distrital de Ambiente del 01 de enero al 30 de noviembre de 2021 en ejercicio de su función sancionatoria acogió el 100 % de los conceptos técnicos relacionados con el recurso ambiental aire, auditiva y visual y que recomiendan una actuación administrativa sancionatoria, como se relaciona a continuación: 
No de Conceptos Técnicos que recomiendan actuaciones administrativas sancionatorias: 1.023 Conceptos Técnicos.
No de Conceptos Técnicos atendidos jurídicamente: 1.022 Conceptos Técnicos acogidos
Avance con corte 30 noviembre de 2021: 90.9%.</t>
  </si>
  <si>
    <t>Durante la ejecución 2021, se han realizado mantenimientos preventivos y correctivos, validación y análisis de datos, diaria de las concentraciones de contaminantes criterio y parámetros meteorológicos que monitorea la RMCAB incluyendo las nuevas estaciones en la red (Bolivia, Usme, Ciudad Bolívar, Bosa, Jazmín, Colina y Móvil Fontibón), así como sus respectivos informes. Se mantuvo el plan de prueba de sensores de bajo costo.
Para el tercer trimestre de la vigencia 2021, Se realizaron mantenimientos preventivos y correctivos, validación y análisis de datos, incluyendo nuevas estaciones en la RMCAB (Bolivia, Usme, Ciudad Bolívar, Bosa, Jazmín, Colina y Móvil Fontibón) se trabajó en integración SDA-CAR y se mantuvo el plan de prueba de sensores de bajo costo. Promedio Trimestral 96%
Para el mes de octubre el porcentaje de cumplimiento para este indicador es del 96%. Se reportaron los mantenimientos preventivos y correctivos que se realizaron durante el mes, se realizó la validación diaria de los datos de concentraciones de contaminantes criterio y parámetros meteorológicos que monitorea la RMCAB. 
Para el mes de noviembre se completo el análisis de datos y la redacción del informe mensual de septiembre completando su elaboración y posterior publicación.</t>
  </si>
  <si>
    <t>Para la vigencia del Proyecto de Inversión del año 2021 se han realizado cuatro mil ochocientas noventa y ocho (4.898) acciones de evaluación, control y seguimiento:
- Cincuenta y nueve (59) operativos de control y sensibilización
- Ciento cuarenta y uno (141) visitas de evaluación a elementos mayores.
- Doscientos cuatro (204) documentos técnicos firmados.
- Nueve (09) cargues de información a la plataforma SIIPEV.
- Cuatro mil cuatrocientas ochenta y cinco (4.485) evaluaciones a solicitudes de elementos de publicidad exterior visual.
Durante el mes de Noviembre Se realizaron cincuenta y nueve (57) acciones en cumplimiento de la meta:
- Cinco (05) operativos de control en Teusaquillo y Suba: 29 establecimientos.
- Un (01) cargue de información a la plataforma SIIPEV.
- Cuatrocientas cincuenta y un (51) evaluaciones a solicitudes de elementos de publicidad exterior visual.
Lo anterior, dando un avance para el cuatrienio de 6.190 acciones de evaluación, control y seguimiento: 114 operativos de control y seguimiento, 238 visitas de evaluación a elementos mayores, 207 documentos técnicos, 54 visitas a elementos menores, 12 cargues de información a la plataforma SIIPEV, 5.565 evaluaciones a solicitudes de elementos de publicidad exterior visual.</t>
  </si>
  <si>
    <t>En el cumplimiento de los dos (02) informes de gestión programados para la vigencia 2021; se ha alcanzado un avance acumulado en la ejecución de la meta de equivalente a un 97% respecto a lo programado. 
Este avance está basado en las actividades de recolección de información de las acciones de evaluación, control y seguimiento de los grupos de fuentes fijas y fuentes móviles. También en la intervención mediante actuaciones técnicas, visitas de control y seguimiento, acompañamientos, monitoreos, operativos de medición en vía a vehículos que transitan en el Distrito Capital, visitas técnicas de auditoria a Centros de Diagnóstico Automotor CDA'S, con esta información se construyó el informe de acciones de evaluación, control y seguimiento a las fuentes de emisión.
Para el primer semestre del año el acumulado es de 1,0 Informe de seguimiento y avance en la ejecución de la meta
Para el segundo semestre del año el acumulado es de 0,94 de avance en la ejecución de la meta.</t>
  </si>
  <si>
    <t xml:space="preserve">Durante la ejecución 2021, se han realizado mantenimientos preventivos y correctivos, validación y análisis de datos, diaria de las concentraciones de contaminantes criterio y parámetros meteorológicos que monitorea la RMCAB incluyendo las nuevas estaciones en la red (Bolivia, Usme, Ciudad Bolívar, Bosa, Jazmín, Colina y Móvil Fontibón), así como sus respectivos informes. Se mantuvo el plan de prueba de sensores de bajo costo.
</t>
  </si>
  <si>
    <t>Para Octubre de 2021, se han realizado de: 756 visitas 
•	I trimestre: Total, trimestre 109 visitas tecnicas.
•	II trimestre: Total, trimestre 248 visitas tecnicas.
•	III trimestre:  Total, trimestre 265 visitas tecnicas.
Octubre de 2021, Total 69 visitas tecnicas.
Noviembre de 2021, Total 65 visitas tecnicas.</t>
  </si>
  <si>
    <t>Radicado No. 2021IE106063 del 31 de mayo del 2021.</t>
  </si>
  <si>
    <t>Realizar mantenimientos preventivos y correctivos en los equipos de la RMCAB</t>
  </si>
  <si>
    <t>Realizar la validación y análisis de los datos provenientes de las estaciones de la RMCAB</t>
  </si>
  <si>
    <t>Elaborar y publicar en la página de la RMCAB 17 informes periódicos de calidad del aire</t>
  </si>
  <si>
    <t xml:space="preserve">Realizar acciones encaminadas a la integración de las redes de monitoreo de calidad del aire de la CAR y de la RMCAB.
</t>
  </si>
  <si>
    <t xml:space="preserve">Apoyar técnicamente la evaluación y selección de sensores de bajo costo, útiles para el establecimiento de una red de monitoreo de exposición a la contaminación. </t>
  </si>
  <si>
    <t>Realizar la intervención a las Fuentes Fijas  ubicadas en el Distrito Capital, a través de las acciones de evaluación, control,  seguimiento y monitoreo.</t>
  </si>
  <si>
    <t>Atender las solicitudes de quejas, derechos de petición, entes de control y radicados allegadas a la Entidad a través de vistas de inspección, vigilancia y control.</t>
  </si>
  <si>
    <t>Realizar las mediciones a los vehículos durante los operativos de evaluación, control y seguimiento a las fuentes móviles.</t>
  </si>
  <si>
    <t>Programar  y ejecutar las visitas técnicas del programa de auditoria a los centros de diagnóstico automotor que operan en el distrito capital.</t>
  </si>
  <si>
    <t xml:space="preserve">Estructurar y evaluar estrategias alternativas de seguimiento y control a fuentes móviles </t>
  </si>
  <si>
    <t>Realizar documentos técnicos de evaluación y seguimiento de emisión de ruido a establecimientos de comercio, industria y servicio, generados por visitas con medición/sin medición y  no efectivas.</t>
  </si>
  <si>
    <t>Realizar documentos técnicos: oficios evaluación de estudios de emisión de ruido conceptos técnicos aclaratorio y demás documentos relacionados que no requieren visita técnica.</t>
  </si>
  <si>
    <t>Asegurar la continua operación y comunicación de las estaciones de monitoreo que conforman la red de monitoreo de ruido ambiental del Distrito</t>
  </si>
  <si>
    <t>Gestionar los procesos relacionados con la acreditación de la metodología de medición de ruido ambiental ISO 1996 llevado a cabo por la SDA ante el IDEAM</t>
  </si>
  <si>
    <t>Actualizar los mapas estratégicos de ruido de todas las localidades urbanas del Distrito.</t>
  </si>
  <si>
    <t>Elaborar un informe técnico semestral de ruido ambiental que sirva como insumo para la identificación del porcentaje Urbano de Afectados por Ruido (%PUAR)</t>
  </si>
  <si>
    <t>Acoger jurídicamente los conceptos técnicos mediante la proyección de los actos administrativos ambientales de carácter sancionatorio.</t>
  </si>
  <si>
    <t>Realizar el proceso de organización y administración de los documentos de archivos y expedientes sancionatorios.</t>
  </si>
  <si>
    <t>Notificar los actos administrativos en cumplimiento de la normatividad establecida.</t>
  </si>
  <si>
    <t>Realizar acciones de seguimiento y control ambiental en el marco del trámite sancionatorio.</t>
  </si>
  <si>
    <t xml:space="preserve">La Secretaría Distrital de Ambiente del 01 al 31 de enero de 2022 no acogio conceptos técnicos relacionados con el recurso aire, auditiva y visual y que recomiendan una actuación administrativa sancionatoria.
Los avances en la magnitud de la meta están sujetos a la demanda de conceptos técnicos que remita el área técnica para ser acogidos jurídicamente; por lo tanto, el porcentaje de la magnitud programada se subdivide en proporciones de 9,09% (febrero-diciembre) sobre este porcentaje se miden los avances mensuales.  "
</t>
  </si>
  <si>
    <t xml:space="preserve">Mejorar transversalmente el proceso sancionatorio ambiental con el fin de dar cumplimiento a las normas y lineamientos establecidos para controlar los factores de deterioro de calidad del aire, acústica y visual del Distrito Capital y a su vez contribuir al mejoramiento de la calidad de vida de los ciudadanos, a través de la función de vigilancia y control ambiental sobre dicho recurso.
</t>
  </si>
  <si>
    <t xml:space="preserve">"""Sistema de Información Ambiental FOREST 
Archivos de la Dirección de Control Ambiental """
</t>
  </si>
  <si>
    <t xml:space="preserve">La Secretaría Distrital de Ambiente, en el marco de las acciones de operación, mantenimiento y monitoreo de la red de ruido realizadas, presenta el avance de la vigencia que se detalla a continuación:
Vigencia 2020 se realizo el informe correspondiente a la operación Red de Monitoreo de Ruido Ambiental de Bogotá - RMRAB, en el cual, se reporta la realización de las actividades acreditación del procedimiento de monitoreo de ruido ambiental ante el IDEAM, actividades de soporte y mantenimiento realizado a las estaciones de monitoreo.
Vigencia 2021: se realizaron y presentaron los tres (03) informes correspondientes a la vigencia y se mantuvo la operación de la red de ruido.
2022: En el primer mes de la vigencia se mantuvo la operación de la Red, se realizaron el 100% de las operaciones de mantenimiento y monitoreo de la estaciones que conforman la red de ruido.
</t>
  </si>
  <si>
    <t xml:space="preserve">Garantizar el monitoreo permanente de la calidad del aire del distrito capital, informando a la ciudadanía, academia y otras entidades para la toma de decisiones y el seguimiento a la gestión del recurso aire </t>
  </si>
  <si>
    <t>Reporte de mantenimientos preventivos y correctivos: Software Gestor RMCAB http://201.245.192.252:82
Informes de calidad del aire de Bogotá: http://rmcab.ambientebogota.gov.co
Validación y análisis: Software ENVISTA RMCAB
Otros documentos: Servidor SDA - Carpeta RMCAB.</t>
  </si>
  <si>
    <t>Para el Primer mes de la vigencia 2022, Se realizaron los mantenimientos preventivos y correctivos, validación y análisis de datos programados. Igualmente se realizó la validación diaria de los datos de concentraciones de contaminantes criterio y parámetros meteorológicos que monitorea la RMCAB. 
Se completo el análisis de datos y la redacción del informe programado, completando su elaboración y posterior publicación. 
Se mantuvo el proceso de validación de los datos generados por las nuevas estaciones y los equipos para la elaboración de los documentos técnicos en el cual se establece cuales son los beneficios de la integración de las Redes SDA-CAR y la articulación requerida.
Avance acumulado en la vigencia 2022: 100%.</t>
  </si>
  <si>
    <t>No se realizaron avance en la ejecución de la meta; toda vez que el desarrollo del proceso contractual se vio perjudicado por diferentes razones ajenas a la gestión realizada por los grupos que componen esta meta.</t>
  </si>
  <si>
    <t>Contar con los documentos técnicos en los cuales se evidencien las acciones de vigilancia, modelación y gestión de la calidad del aire de la ciudad, incluyendo la gobernanza, riesgos en la salud, restricciones por episodios de contaminación, regionalidad, y el cambio climático.</t>
  </si>
  <si>
    <t xml:space="preserve">\\192.168.175.17\scaav\2. Grupo Fuentes Fijas\INDICADORES POA\POA 2020-02
</t>
  </si>
  <si>
    <t>Con la información recolectada se va compilando la caracterización y documentación para la elaboración del informe semestral y los resultados sirven para determinar el cumplimiento normativo.</t>
  </si>
  <si>
    <t>No se realizaron avance en la ejecución de la meta; toda vez que el desarrollo del proceso contractual se vio rettrasado por diferentes razones ajenas a la gestión realizada por los grupos de fuentes de emisión.</t>
  </si>
  <si>
    <t>Las metas planteadas, implican la evaluación, control y seguimiento a fuentes de emisión de ruido, para así, identificar aquellas zonas donde las actividades de comercio, industria o servicio están impactando de forma negativa las condiciones acústicas del sector donde se desarrollan, de esta forma, perjudicando la calidad de vida de la comunidad circunvecina, esta identificación debe permitir que la gestión para el mejoramiento del bienestar, la salud y calidad de vida de los ciudadanos en el D.C sea más efectiva por todos los actores involucrados en la problemática ambiental del ruido, esto en el entendido que el compromiso frente al fomento de la calidad acústica del Distrito, depende de todos los generadores de emisiones, por medio del cumplimiento normativo ambiental vigente, que se traduce en una mejor calidad de vida para los ciudadanos.
Las metas planteadas, implican la evaluación, control y seguimiento a fuentes de emisión de ruido, para así, identificar aquellas zonas donde las actividades de comercio, industria o servicio están impactando de forma negativa las condiciones acústicas del sector donde se desarrollan, de esta forma, perjudicando la calidad de vida de la comunidad circunvecina, esta identificación debe permitir que la gestión para el mejoramiento del bienestar, la salud y calidad de vida de los ciudadanos en el D.C sea más efectiva por todos los actores involucrados en la problemática ambiental del ruido, esto en el entendido que el compromiso frente al fomento de la calidad acústica del Distrito, depende de todos los generadores de emisiones, por medio del cumplimiento normativo ambiental vigente, que se traduce en una mejor calidad de vida para los ciudadanos.
Las metas planteadas, implican la evaluación, control y seguimiento a fuentes de emisión de ruido, para así, identificar aquellas zonas donde las actividades de comercio, industria o servicio están impactando de forma negativa las condiciones acústicas del sector donde se desarrollan, de esta forma, perjudicando la calidad de vida de la comunidad circunvecina, esta identificación debe permitir que la gestión para el mejoramiento del bienestar, la salud y calidad de vida de los ciudadanos en el D.C sea más efectiva por todos los actores involucrados en la problemática ambiental del ruido, esto en el entendido que el compromiso frente al fomento de la calidad acústica del Distrito, depende de todos los generadores de emisiones, por medio del cumplimiento normativo ambiental vigente, que se traduce en una mejor calidad de vida para los ciudadanos.
Las metas planteadas, implican la evaluación, control y seguimiento a fuentes de emisión de ruido, para así, identificar aquellas zonas donde las actividades de comercio, industria o servicio están impactando de forma negativa las condiciones acústicas del sector donde se desarrollan, de esta forma, perjudicando la calidad de vida de la comunidad circunvecina, esta identificación debe permitir que la gestión para el mejoramiento del bienestar, la salud y calidad de vida de los ciudadanos en el D.C sea más efectiva por todos los actores involucrados en la problemática ambiental del ruido, esto en el entendido que el compromiso frente al fomento de la calidad acústica del Distrito, depende de todos los generadores de emisiones, por medio del cumplimiento normativo ambiental vigente, que se traduce en una mejor calidad de vida para los ciudadanos.
Las metas planteadas, implican la evaluación, control y seguimiento a fuentes de emisión de ruido, para así, identificar aquellas zonas donde las actividades de comercio, industria o servicio están impactando de forma negativa las condiciones acústicas del sector donde se desarrollan, de esta forma, perjudicando la calidad de vida de la comunidad circunvecina, esta identificación debe permitir que la gestión para el mejoramiento del bienestar, la salud y calidad de vida de los ciudadanos en el D.C sea más efectiva por todos los actores involucrados en la problemática ambiental del ruido, esto en el entendido que el compromiso frente al fomento de la calidad acústica del Distrito, depende de todos los generadores de emisiones, por medio del cumplimiento normativo ambiental vigente, que se traduce en una mejor calidad de vida para los ciudadanos.
Las metas planteadas, implican la evaluación, control y seguimiento a fuentes de emisión de ruido, para así, identificar aquellas zonas donde las actividades de comercio, industria o servicio están impactando de forma negativa las condiciones acústicas del sector donde se desarrollan, de esta forma, perjudicando la calidad de vida de la comunidad circunvecina, esta identificación debe permitir que la gestión para el mejoramiento del bienestar, la salud y calidad de vida de los ciudadanos en el D.C sea más efectiva por todos los actores involucrados en la problemática ambiental del ruido, esto en el entendido que el compromiso frente al fomento de la calidad acústica del Distrito, depende de todos los generadores de emisiones, por medio del cumplimiento normativo ambiental vigente, que se traduce en una mejor calidad de vida para los ciudadanos.</t>
  </si>
  <si>
    <t xml:space="preserve">Sistema de Información Ambiental de la Entidad Forest.
</t>
  </si>
  <si>
    <t>En la vigencia 2022, se presenta un avance en el desarrollo de 11 actuaciones técnicas correspondiente a:
El avance 2022 es: 7 visitas y 4 actuaciones de otros documentos técnicos
Total, Actuaciones acumuladas en el PDD 1.399 actuaciones.</t>
  </si>
  <si>
    <t>La evidencia esta cargada en el servidor de la SCAAV. ISOLUCION - Sistema de Información Ambiental de la Entidad FOREST.</t>
  </si>
  <si>
    <t>Disminución de la afectación paisajística originada por la sobreexposición de elementos publicitarios en Bogotá a través de la pedagogía y las actuaciones administrativas y jurídicas sobre los presuntos infractores.
Legalización de la publicidad exterior visual en la ciudad.</t>
  </si>
  <si>
    <t xml:space="preserve">Realizar 8 informes de acciones de evaluación, control y seguimiento a fuentes fijas y fuentes móviles incluidos centros de diagnóstico automotor que operan en el Distrito Capital.
</t>
  </si>
  <si>
    <t>Avance en la elaboraracion de los dos (02) Documentos de seguimiento semestral Plan Aire 2030 (I, II - 2022).</t>
  </si>
  <si>
    <t>Avance en la elaboración de dos (02) documentos técnicos, así; 1. Informe De Modelación De Calidad De Aire Sobre Bogotá Del 2022.
2.Inventario De Emisiones De Bogotá Contaminantes Atmosféricos Del 2022.</t>
  </si>
  <si>
    <t>Avance en la elaboración de dos (02) documentos técnicos de Informe semestral de gestión del SATAB (I - II - 2022).</t>
  </si>
  <si>
    <t>Avance en el desarrollo de  actividades de control y sensibilización de los elementos Publicidad Exteriores Visual - PEV. Por medio de Operativos De Control Y Sensibilización.</t>
  </si>
  <si>
    <t>Avance en la evaluación a Vallas Tubulares , a través de la realización de visitas de control y seguimiento a los elementos mayores dentro del Distrito Capital.</t>
  </si>
  <si>
    <t>Avance en la elaboración de los documentos técnicos requeridos para el adecuado proceso interno de los elementos Publicidad Exteriores Visual - PEV ilegales en el Distrito Capital con la generación de Documentos De Operativos De Control.</t>
  </si>
  <si>
    <t>Realizar el seguimiento y actualización mensual de la información contenida en el Sistema Integrado de Información de Publicidad Exterior Visual - SIIPEV para dar cumplimiento al Acuerdo 610/2015.</t>
  </si>
  <si>
    <t>Evaluación técnica a las solicitudes de registro de los elementos de publicidad exterior visual. - PEV, de acuerdo con las Peticiones y Quejas que alleguen a grupo.</t>
  </si>
  <si>
    <t>&lt;</t>
  </si>
  <si>
    <t>1, 5. PROGRAMACIÓN INICIAL AÑO 2022</t>
  </si>
  <si>
    <t>REALIZAR 7.948 ACCIONES TÉCNICO-JURÍDICAS DE EVALUACIÓN, SEGUIMIENTO Y CONTROL SOBRE LOS ELEMENTOS DE PUBLICIDAD EXTERIOR VISUAL - PEV, INSTALADOS EN EL PERÍMETRO URBANO DEL D.C.</t>
  </si>
  <si>
    <t>1-601-I016-PAS-MULTAS CÓDIGO DE POLICIA</t>
  </si>
  <si>
    <t>No se reporta avance en este periodo</t>
  </si>
  <si>
    <t>No se realizo avance en la ejecución de la meta.</t>
  </si>
  <si>
    <t>No se realizaron avances en la ejecución de la meta.</t>
  </si>
  <si>
    <t xml:space="preserve">La Secretaría Distrital de Ambiente del 01 al 31 de enero de 2022  acogio los conceptos técnicos relacionados con el recurso aire, auditiva y visual y que recomiendan una actuación administrativa sancionatoria.
</t>
  </si>
  <si>
    <t>5, PONDERACIÓN HORIZONTAL AÑO: 2022</t>
  </si>
  <si>
    <t xml:space="preserve">La Secretaría Distrital de Ambiente, en el marco de las acciones de operación, mantenimiento y monitoreo de la red de ruido realizadas, presenta el avance de la vigencia que se detalla a continuación:
2022: En el primer mes de la vigencia se mantuvo la operación de la Red, se realizaron el 100% de las operaciones de mantenimiento y monitoreo de la estaciones que conforman la red de ruido.
Vigencia 2020 se realizo el informe correspondiente a la operación Red de Monitoreo de Ruido Ambiental de Bogotá - RMRAB, en el cual, se reporta la realización de las actividades acreditación del procedimiento de monitoreo de ruido ambiental ante el IDEAM, actividades de soporte y mantenimiento realizado a las estaciones de monitoreo.
Vigencia 2021: se realizaron y presentaron los tres (03) informes correspondientes a la vigencia y se mantuvo la operación de la red de ruido.
</t>
  </si>
  <si>
    <t>6, % CUMPLIMIENTO ACUMULADO (al periodo) DEL CUATRIENIO</t>
  </si>
  <si>
    <t>Para la vigencia del Proyecto de Inversión del año 2022 se han realizado treinta y dos (32) acciones de evaluación, control y seguimiento:
- Diecinueve (19) visitas de evaluación a elementos mayores.
- Un (01) cargue de información a la plataforma SIIPEV.
- Doce (12) evaluaciones a solicitudes de elementos de publicidad exterior visual.
Lo anterior, dando un avance para el cuatrienio de 6.218 acciones de evaluación, control y seguimiento: 
114 operativos de control y seguimiento
269 visitas de evaluación a elementos mayores
207 documentos técnicos, 54 visitas a elementos menores
14 cargues de información a la plataforma SIIPEV
5.614 evaluaciones a solicitudes de elementos de publicidad exterior visual.</t>
  </si>
  <si>
    <t>En el marco de la Gestión Integral de la Calidad del Aire de Bogotá, para el año 2022 se realizará la entrega de seis (06) informes; a la fecha se ha venido trabajando en el desarrollo de tres (03) documentos técnicos, los cuales serán entregados en el primer semestre de la vigencia 2022, estos son: 
1. Informe semestral de Seguimiento al Plan Estratégico para la Gestión Integral de la Calidad del Aire – Plan Aire 2030 (I-2022), donde se elaboró la herramienta de seguimiento y la estructura del informe, para el reporte del avance de los proyectos del Plan Aire. 
2. Informe de gestión del Sistema de Alertas Tempranas Ambientales en su componente aire, donde se viene trabajando en el desarrollo de cinco líneas estratégicas, siendo: i) la Gestión del índice Bogotano de calidad del aire y riesgo en salud; IBOCA ii) el avance en la actualización del Plan de contingencia para la atención de alertas y emergencias por contaminación atmosférica; iii) la Gobernanza de calidad del aire, iv) el Monitoreo y análisis de contaminantes y v) la red colaborativa de microsensores de calidad del aire. 
3. Informe de modelación de calidad de aire sobre Bogotá 2022, donde se consolido la estructura del documento para su debida elaboración.
Avance acumulado de la meta 7,5 % para la vigencia 2022.</t>
  </si>
  <si>
    <t>Para la vigencia 2022 y en el cumplimiento de los dos (02) informes de gestión programados para esta vigencia; se ha alcanzado un avance acumulado en la ejecución de la meta de 0,34 (del Primer Informe para el I semestre del 2022) equivalente a un 16,5 % de avance y el 97% con respecto a lo programado. 
Este avance está basado en las actividades de recolección de información de las acciones de evaluación, control y seguimiento de los grupos de fuentes fijas y fuentes móviles. También en la intervención mediante actuaciones técnicas, visitas de control y seguimiento, acompañamientos, monitoreos, operativos de medición en vía a vehículos que transitan en el Distrito Capital, visitas técnicas de auditoria a Centros de Diagnóstico Automotor CDA'S, con esta información se construyó el informe de acciones de evaluación, control y seguimiento a las fuentes de emisión.
El avance acumulado se registra, así:
•	Enero 0,0, No se registro avance en este periodo.
•	Febrero 0,34, de avance en la ejecución de la meta.</t>
  </si>
  <si>
    <t>Para el 2022, se han adelantado 140 acciones correspondientes al 11,01 % de lo programado en el año y un avance del 32,51 % del cuatrienio.
El avance 2022 es: 110 visitas y 30 otras acciones de gestión.
•	Enero: 3 visitas técnicas sin medición para operativos de acciones populares y 1 visita no efectiva objeto de reprogramación; 6 otros documentos de gestión correspondientes a oficios SUGA y 1 reunión mesa de trabajo Zona Rosa de Chapinero, para un total de 11 acciones.
•	Febrero: 6 visitas con medición, 25 efectivas para cerrar el caso, 75 no efectivas para reprogramar; 30 otros documentos de gestión correspondientes a 4 informes, 3 socializaciones, 3 evaluaciones de estudio de ruido, 6 reuniones, 7 oficios SUGA, para un total de 129 acciones.</t>
  </si>
  <si>
    <t>"La Secretaría Distrital de Ambiente, en el marco de las acciones de operación, mantenimiento y monitoreo de la red de ruido realizadas, presenta el avance de la vigencia que se detalla a continuación:
Vigencia 2020 se realizo el informe correspondiente a la operación Red de Monitoreo de Ruido Ambiental de Bogotá - RMRAB, en el cual, se reporta la realización de las actividades acreditación del procedimiento de monitoreo de ruido ambiental ante el IDEAM, actividades de soporte y mantenimiento realizado a las estaciones de monitoreo.
Vigencia 2021: se realizaron y presentaron los tres (03) informes correspondientes a la vigencia y se mantuvo la operación de la red de ruido.
2022: En el primer mes de la vigencia se mantuvo la operación de la Red, se realizaron el 100% de las operaciones de mantenimiento y monitoreo de las estaciones que conforman la red de ruido.
Febrero:  Se genera avance del informe semestral relacionado con la operación de la Red de Monitoreo de Ruido Ambiental de Bogotá (RMRAB) para el segundo mes de primer semestre del 2022, en la cual se reportan principalmente la realización de las actividades de soporte y mantenimiento realizado a las estaciones de monitoreo de ruido, se envía avance del informe de Laboratorio Ambiental y se realizan capacitaciones para la actualización de los MER. Se realiza seguimiento a los contratos del personal de la RMRAB; en lo referente a materia de acreditación ante el IDEAM y la NTC ISO/IEC 17025, se adelantó con la generación y revisión de documentos requeridos en la lista de chequeo, se presenta los nuevos procedimientos de la RMRAB ante el Laboratorio Ambiental de la SDA."</t>
  </si>
  <si>
    <t xml:space="preserve">La Secretaría Distrital de Ambiente del 01 de enero al 28 de Febrero de 2022 avanzó en la revisión y programación en Plan de trabajo de los conceptos técnicos relacionados con el recurso aire, auditiva y visual y que recomiendan una actuación administrativa sancionatoria.
Los avances en la magnitud de la meta están sujetos a la demanda de conceptos técnicos que remita el área técnica para ser acogidos jurídicamente; por lo tanto, el porcentaje de la magnitud mensual programada es de 100% toda vez que la tipología de medición es "Constante”.
</t>
  </si>
  <si>
    <t>Se realizaron mantenimientos preventivos y correctivos, validación y análisis de datos y publicación de informes periódicos.
Para el mes de febrero el porcentaje de cumplimiento para este indicador es del 97%. Se reportaron los mantenimientos preventivos y correctivos que se realizaron durante el mes, se realizó la validación diaria de los datos de concentraciones de contaminantes criterio y parámetros meteorológicos que monitorea la RMCAB. El reporte de operatividad para el mes de febrero fue del 91,8%  el cual es promedio de los datos validos de todos los parámetros de la red en las estaciones que se genera a través de Envista. Para el mes de febrero se completo el análisis de datos y la redacción del  informe mensual de diciembre del 2021 y el informe mensual de enero de 2022, completando su elaboración y posterior publicación.</t>
  </si>
  <si>
    <t xml:space="preserve">
El avance 2022 es: 110 visitas 
•	Enero: 3 visitas técnicas sin medición para operativos de acciones populares y 1 visita no efectiva objeto de reprogramación;
•	Febrero: 6 visitas con medición, 25 efectivas para cerrar el caso, 75 no efectivas para reprogramar; </t>
  </si>
  <si>
    <t>Realizar 4.700 acciones de seguimiento y control de emisión de ruido a los establecimientos de comercio, industria y servicio ubicados en el perímetro urbano del D.C.</t>
  </si>
  <si>
    <t>Reducir en el 10% como promedio ponderado ciudad, la concentración de material particulado PM10 y PM2.5, mediante la implementación del Plan de Gestión Integral de Calidad de Aire.</t>
  </si>
  <si>
    <t>Para el primer trimestre de la vigencia 2022, Se realizaron mantenimientos preventivos y correctivos, validación y análisis de datos, publicación de informes periódicos, se trabajó en integración SDA-CAR y se mantuvo el plan de prueba de sensores de bajo costo.
Para el mes de marzo el porcentaje de cumplimiento para este indicador es del 100%. Se reportaron los mantenimientos preventivos y correctivos que se realizaron durante el mes, se realizó la validación diaria de los datos de concentraciones de contaminantes criterio y parámetros meteorológicos que monitorea la RMCAB. El reporte de operatividad para el mes de marzo fue del 93,0% el cual es promedio de los datos validos de todos los parámetros de la red en las estaciones que se genera a través de Envista. Para el mes de marzo se completo el análisis de datos y la redacción del informe mensual de febrero del 2022 y el informe trimestral octubre-diciembre 2021, completando su elaboración y posterior publicación.
Se sigue construyendo por parte de la SDA un documento técnico en el cual se establece cuales son los beneficios de la integración de las Redes SDA-CAR y la articulación requerida.
Para el mes de marzo como parte del proceso de colaboración entre la Red de Monitoreo de Calidad del Aire de Bogotá – RMCAB y los diferentes actores en el establecimiento de esta red colaborativa de sensores de bajo costo se mantuvo la operación de los sensores instalados en la estación de Las Ferias por parte del Colectivo CanAir.io, La Universidad Central y La Universidad Nacional. Se mantiene en operación los sensores de bajo costo del Colectivo CanAir.io en las estaciones Kennedy y Tunal. Adicionalmente se instalo un nuevo sensor en la estación de Las Ferias.</t>
  </si>
  <si>
    <t>En el marco de la gestión integral de la calidad del aire de Bogotá, para el año 2022 se realizara la entrega de seis (6) documentos técnicos, de los cuales, a la fecha se ha venido trabajando en el desarrollo de tres (3), siendo estos entregados en el primer semestre de la vigencia 2022, los cuales son: 1. Informe semestral de Seguimiento al Plan Estratégico para la Gestión Integral de la Calidad del Aire – Plan Aire 2030 (I-2022), realizando el debido seguimiento y reporte de los avances de los 41 proyectos en implementación del Plan Aire 2030. 2. Informe de gestión del Sistema de Alertas Tempranas Ambientales en su componente aire, donde se viene trabajando en el desarrollo de cinco líneas estratégicas, siendo: i) la Gestión del índice Bogotano de calidad del aire y riesgo en salud; IBOCA ii) el avance en la actualización del Plan de contingencia para la atención de alertas y emergencias por contaminación atmosférica; iii) la Gobernanza de calidad del aire, iv) el Monitoreo y análisis de contaminantes y v) la red colaborativa de micro-sensores de calidad del aire. 3. Informe de modelación de calidad de aire sobre Bogotá 2022, realizando la actualización de la caracterización de los modelos, la validación de la información y la estructuración general del documento.</t>
  </si>
  <si>
    <t>Para la vigencia 2022 y en el cumplimiento de los dos (02) informes de gestión programados para esta vigencia; se ha alcanzado un avance acumulado en la ejecución de la meta de 0,5 (del Primer Informe para el I semestre del 2022) equivalente a un 25 % de avance y el 100% con respecto a lo programado. 
Este avance está basado en las actividades de recolección de información de las acciones de evaluación, control y seguimiento de los grupos de fuentes fijas y fuentes móviles. También en la intervención mediante actuaciones técnicas, visitas de control y seguimiento, acompañamientos, monitoreos, operativos de medición en vía a vehículos que transitan en el Distrito Capital, visitas técnicas de auditoria a Centros de Diagnóstico Automotor CDA'S, con esta información se construyó el informe de acciones de evaluación, control y seguimiento a las fuentes de emisión.
El avance acumulado se registra, así:
•	Enero 0,0, No se registro avance en este periodo.
•	Febrero 0,33, de avance en la ejecución de la meta.
•	Marzo 0,17, de avance en la ejecución de la meta.</t>
  </si>
  <si>
    <t>La Secretaría Distrital de Ambiente, en el marco de las acciones de operación, mantenimiento y monitoreo de la red de ruido realizadas, presenta el avance de la vigencia que se detalla a continuación:
Vigencia 2020 se realizo el informe correspondiente a la operación Red de Monitoreo de Ruido Ambiental de Bogotá - RMRAB, en el cual, se reporta la realización de las actividades acreditación del procedimiento de monitoreo de ruido ambiental ante el IDEAM, actividades de soporte y mantenimiento realizado a las estaciones de monitoreo.
Vigencia 2021: se realizaron y presentaron los tres (03) informes correspondientes a la vigencia y se mantuvo la operación de la red de ruido.
Para el primer trimestre del 2022  Se genera avance del informe semestral relacionado con la operación de la Red de Monitoreo de Ruido Ambiental de Bogotá (RMRAB) p, en la cual se reportan principalmente la realización de las actividades de soporte y mantenimiento realizado a las estaciones de monitoreo de ruido, se envía avance del informe de Laboratorio Ambiental y se realizan capacitaciones para la actualización de los MER. Se realiza seguimiento a los contratos del personal de la RMRAB; en lo referente a materia de acreditación ante el IDEAM y la NTC ISO/IEC 17025, se adelantó con la generación y revisión de documentos requeridos en la lista de chequeo, se presenta los nuevos procedimientos de la RMRAB ante el Laboratorio Ambiental de la SDA, se participo en las capacitaciones para las actualización de los MER y se adelanto el ingreso al almacén de la entidad de las estaciones entregadas por reposición de las vandalzdas en mayo del 2021.</t>
  </si>
  <si>
    <t>Para el 2022, se han adelantado 249 acciones correspondientes al 19,5% de lo programado en el año y un avance del 34,8% del cuatrienio.
El avance 2022 es: 196 visitas y 53 otras acciones de gestión.
•	I trimestre: 28 visitas efectivas con medición, 12 visitas efectivas sin medición relacionadas con inventarios, sensibilizaciones, visitas en atención a actos administrativos, 39 visitas efectivas para cerrar el caso y 117 visitas no efectivas objeto de reprogramación. En otras acciones de gestión se realizaron 9 informes de acciones populares, 4 estudio de ruido, 10 reuniones o mesas de trabajo, 3 presentaciones socializaciones y 27 oficios SUGA.</t>
  </si>
  <si>
    <t>Durante el mes de Marzo, se realizaron cincuenta y cinco (55) acciones en cumplimiento de la meta:
- Un (01) operativo de control a las zonas de Resto del Distrito
- Ocho (08) visitas de evaluación a elementos mayores.
- Un (01) cargue de información a la plataforma SIIPEV.
- Cuarenta y cinco (45) evaluaciones a solicitudes de elementos de publicidad exterior visual.
Para la vigencia del Proyecto de Inversión del año 2022 se han realizado ochenta y siete (87) acciones de evaluación, control y seguimiento:
- Un (01) operativo de control a zonas de Resto del Distrito.
- Veintisiete (27) visitas de evaluación a elementos mayores.
- Dos (02) cargue de información a la plataforma SIIPEV.
- Cincuenta y siete (57) evaluaciones a solicitudes de elementos de publicidad exterior visual.
Lo anterior, dando un avance para el cuatrienio de 6.329 acciones de evaluación, control y seguimiento: 115 operativos de control y seguimiento, 277 visitas de evaluación a elementos mayores, 207 documentos técnicos, 54 visitas a elementos menores, 15 cargues de información a la plataforma SIIPEV, 5.661 evaluaciones a solicitudes de elementos de publicidad exterior visual.</t>
  </si>
  <si>
    <t>La Secretaría Distrital de Ambiente del 01 de enero al 31 de marzo de 2022 atendió el 100% de los conceptos técnicos generados por afectación al recurso aire, auditiva y visual en el Distrito Capital y que recomiendan actuaciones administrativas sancionatorias, como se relaciona a continuación:
No de Conceptos Técnicos que recomiendan actuaciones administrativas sancionatorias: 33
No de Conceptos Técnicos acogidos jurídicamente mediante acto administrativo: 33
Avance total corte 31 de marzo de 2022 (Vigencia): 100% 
*Los avances en la magnitud de la meta están sujetos a la demanda de conceptos técnicos que remita el área técnica para ser acogidos jurídicamente; por lo tanto, el porcentaje de la magnitud mensual programada es de 100% toda vez que la tipología de medición es "Constante".</t>
  </si>
  <si>
    <t>La Secretaría Distrital de Ambiente del 01 de enero al 30 de abril de 2022 atendió el 100% de los conceptos técnicos generados por afectación al recurso aire, auditiva y visual en el Distrito Capital y que recomiendan actuaciones administrativas sancionatorias, como se relaciona a continuación:
No de Conceptos Técnicos que recomiendan actuaciones administrativas sancionatorias: 326
No de Conceptos Técnicos acogidos jurídicamente mediante acto administrativo: 326
Avance total corte 30 de abril de 2022 (Vigencia): 100% 
Acorde con la programación establecida, durante el mes de enero y febrero se realizaron las actividades encaminadas a la elaboración de planes de trabajo y organización de los equipos técnicos y juridicos.
Los avances en la magnitud de la meta están sujetos a la demanda de conceptos técnicos que remita el área técnica para ser acogidos jurídicamente; por lo tanto, el porcentaje de la magnitud mensual programada es de 100% toda vez que la tipologia de medición es "Constante".</t>
  </si>
  <si>
    <t>N.A.</t>
  </si>
  <si>
    <t>La Secretaría Distrital de Ambiente, en el marco de las acciones de operación, mantenimiento y monitoreo de la red de ruido realizadas, presenta el avance de la vigencia que se detalla a continuación:
Vigencia 2020 se realizó el informe correspondiente a la operación Red de Monitoreo de Ruido Ambiental de Bogotá - RMRAB, en el cual, se reporta la realización de las actividades acreditación del procedimiento de monitoreo de ruido ambiental ante el IDEAM, actividades de soporte y mantenimiento realizado a las estaciones de monitoreo.
Vigencia 2021: se realizaron y presentaron los tres (03) informes correspondientes a la vigencia y se mantuvo la operación de la red de ruido.
En la vigencia 2022; se continua con la generación del avance del informe semestral relacionado con la operación de la Red de Monitoreo de Ruido Ambiental de Bogotá (RMRAB), en la cual se reportan principalmente la realización de las actividades de soporte y mantenimiento realizado a las estaciones de monitoreo de ruido, se envía avance del informe de Laboratorio Ambiental. Se realiza seguimiento a los contratos del personal de la RMRAB; en lo referente a materia de acreditación ante el IDEAM y la NTC ISO/IEC 17025, se adelantó con la generación y revisión de documentos requeridos en la lista de chequeo, se presenta los nuevos procedimientos de la RMRAB ante el Laboratorio Ambiental de la SDA, se participó en las capacitaciones para las actualizaciones de los MER y se adelantó el ingreso al almacén del software SoundPLAN.</t>
  </si>
  <si>
    <t xml:space="preserve">En el marco de la gestión integral de la calidad del aire de Bogotá, para el año 2022 se realizará la entrega de seis (6) documentos técnicos, de los cuales, a la fecha se ha venido trabajando en el desarrollo de tres (3), siendo estos entregados en el primer semestre de la vigencia 2022, los cuales son: 
1.	Informe semestral de Seguimiento al Plan Estratégico para la Gestión Integral de la Calidad del Aire – Plan Aire 2030 (I-2022), realizando el debido seguimiento y reporte de los avances de los 41 proyectos en implementación del Plan Aire 2030. 
2.	Informe de gestión del Sistema de Alertas Tempranas Ambientales en su componente aire, donde se viene trabajando en el desarrollo de cinco líneas estratégicas, siendo: i) la Gestión del índice Bogotano de calidad del aire y riesgo en salud; IBOCA ii) el avance en la actualización del Plan de contingencia para la atención de alertas y emergencias por contaminación atmosférica; iii) la Gobernanza de calidad del aire, iv) el Monitoreo y análisis de contaminantes y v) la red colaborativa de microsensores de calidad del aire. 
3.	Informe de modelación de calidad de aire sobre Bogotá 2022, realizando la actualización del análisis de emisiones con sus respectivos cálculos y los cálculos correspondientes a las trayectorias de los contaminantes del aire.
El Avance acumulado en el desarrollo de los informes es del 26,67 %, que corresponde al 100% de la programación inicial de la meta para el año 2022.  </t>
  </si>
  <si>
    <t>Para el 2022, se han adelantado 364 acciones correspondientes al 28,62 % de lo programado en el año y un avance del 37,28% del cuatrienio.
El avance 2022 es: 291 visitas y 73 otras acciones de gestión.
• I trimestre: 28 visitas efectivas con medición, 12 visitas efectivas sin medición relacionadas con inventarios, sensibilizaciones, visitas en atención a actos administrativos, 39 visitas efectivas para cerrar el caso y 117 visitas no efectivas objeto de reprogramación. En otras acciones de gestión se realizaron 9 informes de acciones populares, 4 estudio de ruido, 10 reuniones o mesas de trabajo, 3 presentaciones o socializaciones y 27 oficios SUGA.
•	Abril: 13 visitas efectivas con medición, 38 visitas efectivas en atención a actos administrativos, sensibilizaciones, inventarios, 14 visitas efectivas para cerrar el caso y 30 visitas no efectivas objeto de reprogramación. En otras acciones de gestión 6 informes de acciones populares, 2 presentaciones o socializaciones, 3 estudios de ruido, 2 reuniones o mesas de trabajo y 7 oficios SUGA.</t>
  </si>
  <si>
    <t>En el cumplimiento de los dos (02) informes de gestión programados para la vigencia 2022; se ha alcanzado un avance basado en las actividades de recolección de información de las acciones de evaluación, control y seguimiento de los grupos de fuentes fijas y fuentes móviles. También en la intervención mediante actuaciones técnicas, visitas de control y seguimiento, acompañamientos, monitoreos, operativos de medición en vía a vehículos que transitan en el Distrito Capital, visitas técnicas de auditoría a Centros de Diagnóstico Automotor CDA'S, con esta información se construyó el informe de acciones de evaluación, control y seguimiento a las fuentes de emisión.
Para el primer semestre del año el acumulado es de 0,67 de avance en la ejecución de la meta, esto corresponde al 100% en la ejecución acumulada programada.</t>
  </si>
  <si>
    <t>Para la vigencia del Proyecto de Inversión en el primer trimestre del año 2022 se han realizado ochenta y siete (87) acciones de evaluación, control y seguimiento:
- Seis (06) operativos de control a zonas de Resto del Distrito.
- Cincuenta (50) visitas de evaluación a elementos mayores.
- Tres (03) cargues de información a la plataforma SIIPEV.
- Ciento treinta y ocho (138) evaluaciones a solicitudes de elementos de publicidad exterior visual.
Durante el mes de Abril, se realizaron ciento diez (110) acciones en cumplimiento de la meta:
- Cinco (05) operativos de control a las zonas de Resto del Distrito
- Veintitrés (23) visitas de evaluación a elementos mayores.
- Un (01) cargue de información a la plataforma SIIPEV.
- Ochenta y uno (81) evaluaciones a solicitudes de elementos de publicidad exterior visual.
Lo anterior, dando un avance para el cuatrienio de 6.439 acciones de evaluación, control y seguimiento: 120 operativos de control y seguimiento, 300 visitas de evaluación a elementos mayores, 207 documentos técnicos, 54 visitas a elementos menores, 16 cargues de información a la plataforma SIIPEV, 5.742 evaluaciones a solicitudes de elementos de publicidad exterior visual.</t>
  </si>
  <si>
    <t>MAYO:
Durante el mes de Mayo, se realizaron doscientos sesenta y tres (263) acciones en cumplimiento de la meta:
- Trece (13) operativos de control a las zonas de Resto del Distrito
- Veinticinco (25) visitas de evaluación a elementos mayores.
- Once (11) documentos técnicos firmados para el resto del Distrito.
- Un (01) cargue de información a la plataforma SIIPEV.
- Doscientos trece (213) evaluaciones a solicitudes de elementos de publicidad exterior visual.
Para la vigencia del Proyecto de Inversión del año 2022 se han realizado cuatrocientos sesenta (460) acciones de evaluación, control y seguimiento:
- Diecinueve (19) operativos de control a zonas de Resto del Distrito.
- Setenta y cinco (75) visitas de evaluación a elementos mayores.
- Once (11) documentos técnicos firmados para el resto del Distrito.
- Cuatro (04) cargues de información a la plataforma SIIPEV.
- Trescientos cincuenta y uno (351) evaluaciones a solicitudes de elementos de publicidad exterior visual.
Lo anterior, dando un avance para el cuatrienio de 6.702 acciones de evaluación, control y seguimiento: 133 operativos de control y seguimiento, 325 visitas de evaluación a elementos mayores, 218 documentos técnicos, 54 visitas a elementos menores, 17 cargues de información a la plataforma SIIPEV, 5.955 evaluaciones a solicitudes de elementos de publicidad exterior visual.</t>
  </si>
  <si>
    <t>Vigencia 2022: 558 acciones, avance del 43,87% de lo planeado 2022, cumplimiento del 41,40% del PDD, así en 466 visitas y 92 otras acciones de gestión.
• I trimestre: 28 efectivas con medición, 12 efectivas sin medición (inventarios, sensibilizaciones, actos administrativos) 39 efectivas para cerrar el caso y 117 no efectivas objeto de reprogramación. Otras acciones de gestión 9 informes de acciones populares AP, 4 estudio de ruido, 10 mesas de trabajo, 3 socializaciones y 27 SUGA.
•	Abril: 13 efectivas con medición, 38 efectiva sin medición, 14 efectivas cerrar el caso y 30 no efectivas. Otras acciones de gestión 6 informes de AP, 2 socializaciones, 3 estudios de ruido, 2 mesas de trabajo y 7 SUGA.
•	Mayo: 6 efectivas con medición, 100 técnicas sin medición (86 a inventarios, sensibilizaciones, seguimiento a actos administrativos y 14 para cerrar el caso) y 69 no efectivas. Otras acciones de gestión 5 informes de AP, 2 socializaciones, 2 estudios de ruido, 8 mesas de trabajo y 2 SUGA.</t>
  </si>
  <si>
    <t>La Secretaría Distrital de Ambiente, en el marco de las acciones de operación, mantenimiento y monitoreo de la red de ruido realizadas, presenta el avance de la vigencia que se detalla a continuación:
Vigencia 2020 se realizó el informe correspondiente a la operación Red de Monitoreo de Ruido Ambiental de Bogotá - RMRAB, en el cual, se reporta la realización de las actividades acreditación del procedimiento de monitoreo de ruido ambiental ante el IDEAM, actividades de soporte y mantenimiento realizado a las estaciones de monitoreo.
Vigencia 2021: se realizaron y presentaron los tres (03) informes correspondientes a la vigencia y se mantuvo la operación de la red de ruido.
En la vigencia 2022; para Mayo: Durante el presente periodo se realiza el 100% de las acciones relacionadas con la operación y mantenimiento de la Red de Monitoreo de Ruido Ambiental de Bogotá (RMRAB), presentación avance del informe semestral de operación de la RMRAB, actualización de Valor Central Cartas Control, seguimiento a arriendos, respuestas a solicitudes ciudadanas, estudios previos para la adquisición de baterías. Además, se desinstalan 20 estaciones de monitoreo de ruido ambiental con la finalidad de salvaguardar su integridad física.</t>
  </si>
  <si>
    <t xml:space="preserve">En el marco de la gestión integral de la calidad del aire de Bogotá, para el año 2022 se realizará la entrega de seis (6) documentos técnicos, de los cuales, a la fecha se ha venido trabajando en el desarrollo de tres (3), siendo estos entregados en el primer semestre de la vigencia 2022, los cuales son: 
1. Informe semestral de Seguimiento al Plan Estratégico para la Gestión Integral de la Calidad del Aire – Plan Aire 2030 (I-2022), realizando el debido seguimiento y reporte de los avances de los 41 proyectos en implementación del Plan Aire 2030. 
2. Informe de gestión del Sistema de Alertas Tempranas Ambientales en su componente aire, donde se viene trabajando en el desarrollo de cinco líneas estratégicas, siendo: i) la Gestión del índice Bogotano de calidad del aire y riesgo en salud; IBOCA ii) el avance en la actualización del Plan de contingencia para la atención de alertas y emergencias por contaminación atmosférica; iii) la Gobernanza de calidad del aire, iv) el Monitoreo y análisis de contaminantes y v) la red colaborativa de microsensores de calidad del aire. 
3. Informe de modelación de calidad de aire sobre Bogotá 2022, incluyendo los resultados de los modelos WRF y retro trayectorias creando la información de los datos meteorológicos estimados.
El Avance acumulado para la vigencia 2022 en el desarrollo de los informes es del 38,38 %; esto es correspondiente al 100% de la programación inicial de la meta para el año 2022.  </t>
  </si>
  <si>
    <t>Se realizaron mantenimientos preventivos y correctivos, validación y análisis de datos y publicación de informes periódicos.
Para el mes de mayo el porcentaje de cumplimiento para este indicador es del 97%. Se reportaron los mantenimientos preventivos y correctivos que se realizaron durante el mes, se realizó la validación diaria de los datos de concentraciones de contaminantes criterio y parámetros meteorológicos que monitorea la RMCAB. El reporte de operatividad para el mes de Mayo fue del 94,0% el cual es promedio de los datos validos de todos los parámetros de la red en las estaciones que se genera a través de Envista. 
Para el mes de Mayo se completó el análisis de datos y la redacción del informe mensual de abril de 2022, completando su elaboración y posterior publicación.</t>
  </si>
  <si>
    <t>En el cumplimiento de los dos (02) informes de gestión programados para la vigencia 2022; se ha alcanzado un avance basado en las actividades de recolección de información de las acciones de evaluación, control y seguimiento de los grupos de fuentes fijas y fuentes móviles. También en la intervención mediante actuaciones técnicas, visitas de control y seguimiento, acompañamientos, monitoreos, operativos de medición en vía a vehículos que transitan en el Distrito Capital, visitas técnicas de auditoría a Centros de Diagnóstico Automotor CDA'S, con esta información se construyó el informe de acciones de evaluación, control y seguimiento a las fuentes de emisión.
Para el informe No, 1 correspondiente al primer semestre del año el acumulado es de 0,82 % de avance en la ejecución de la meta.</t>
  </si>
  <si>
    <t>La Secretaría Distrital de Ambiente del 01 de enero al 31 de mayo de 2022 atendió el 100% de los conceptos técnicos generados por afectación al recurso aire, auditiva y visual en el Distrito Capital y que recomiendan actuaciones administrativas sancionatorias, como se relaciona a continuación:
No de Conceptos Técnicos que recomiendan actuaciones administrativas sancionatorias: 741
No de Conceptos Técnicos acogidos jurídicamente mediante acto administrativo: 741
Avance total corte 31 de mayo de 2022 (Vigencia): 100% 
Acorde con la programación establecida, durante el mes de enero y febrero se realizaron las actividades encaminadas a la elaboración de planes de trabajo y organización de los equipos técnicos y jurídicos.
Los avances en la magnitud de la meta están sujetos a la demanda de conceptos técnicos que remita el área técnica para ser acogidos jurídicamente; por lo tanto, el porcentaje de la magnitud mensual programada es de 100% toda vez que la tipología de medición es Constante.</t>
  </si>
  <si>
    <t>Concentración promedio ponderado de ciudad de material particulado PM 2,5.</t>
  </si>
  <si>
    <t>La Secretaría Distrital de Ambiente del 01 de enero al 30 de junio de 2022 atendió el 100% de los conceptos técnicos generados por afectación al recurso aire, auditiva y visual en el Distrito Capital y que recomiendan actuaciones administrativas sancionatorias, como se relaciona a continuación:
No de Conceptos Técnicos que recomiendan actuaciones administrativas sancionatorias: 900
No de Conceptos Técnicos acogidos jurídicamente mediante acto administrativo: 900
Avance total corte 30 de junio de 2022 (Vigencia): 100% 
Acorde con la programación establecida, durante el mes de enero y febrero se realizaron las actividades encaminadas a la elaboración de planes de trabajo y organización de los equipos técnicos y jurídicos.
Los avances en la magnitud de la meta están sujetos a la demanda de conceptos técnicos que remita el área técnica para ser acogidos jurídicamente; por lo tanto, el porcentaje de la magnitud mensual programada es de 100% toda vez que la tipología de medición es "Constante".</t>
  </si>
  <si>
    <t>685 acciones, avance del 53,85% de lo planeado 2022, cumplimiento del 44,1% del PDD, en 579 visitas y 106 otras acciones de gestión.
I trimestre: 28 efectivas con medición, 12 efectivas sin medición (inventarios, sensibilizaciones, actos administrativos) 39 efectivas para cerrar el caso y 117 no efectivas objeto de reprogramación. Otras acciones de gestión 9 informes de acciones populares AP, 4 estudio de ruido, 10 mesas de trabajo, 3 socializaciones y 27 SUGA.
II trimestre: 23 efectivas con medición, 191 efectivas sin medición correspondientes a (141 inventarios, socializaciones o seguimiento a actos administrativos y 50 para cerrar el caso) y 169 no efectivas objeto de reprogramación. Otras acciones de gestión 15 informes de acciones populares, 4 presentaciones o socializaciones, 7 estudios de ruido, 16 reuniones o mesas de trabajo, 11 SUGA.</t>
  </si>
  <si>
    <t>En el marco de la gestión integral de la calidad del aire de Bogotá, para el año 2022 se contempla la entrega de seis (6) documentos técnicos, de los cuales, para el presente periodo se reporta la entrega final de tres (3), los cuales son: 
1. Informe semestral de Seguimiento al Plan Estratégico para la Gestión Integral de la Calidad del Aire – Plan Aire 2030 (I-2022), donde se contempla el debido seguimiento y reporte de los avances de los 41 proyectos en implementación del Plan Aire 2030.
2. Informe semestral (I-2022) de gestión del Sistema de Alertas Tempranas Ambientales en su componente aire, donde se abordaron cinco líneas estratégicas, siendo: i) la Gestión del índice Bogotano de calidad del aire y riesgo en salud; IBOCA ii) el avance en la actualización del Plan de contingencia para la atención de alertas y emergencias por contaminación atmosférica; iii) la Gobernanza de calidad del aire, iv) el Monitoreo y análisis de contaminantes y v) la red colaborativa de microsensores de calidad del aire. 
3. Informe Técnico Anual de Modelación Atmosférica de Bogotá 2021, realizando la modelación del transporte y la transformación de los contaminantes para la ciudad.</t>
  </si>
  <si>
    <t>JUNIO:
Durante el mes de Junio, se realizaron ochenta y siete (87) acciones en cumplimiento de la meta:
- Tres (03) operativos de control a las zonas de Resto del Distrito
- Veinticuatro (24) visitas de evaluación a elementos mayores.
- Quince (15) documentos técnicos firmados para el resto del Distrito.
- Un (01) cargue de información a la plataforma SIIPEV.
- Cuarenta y cuatro (44) evaluaciones a solicitudes de elementos de publicidad exterior visual.
Para la vigencia del Proyecto de Inversión del año 2022 se han realizado un quinientos cuarenta y siete (547) acciones de evaluación, control y seguimiento:
- Veintidós (22) operativos de control a zonas de Resto del Distrito.
- Noventa y nueve (99) visitas de evaluación a elementos mayores.
- Veintiséis (26) documentos técnicos firmados para el resto del Distrito.
- Cinco (05) cargues de información a la plataforma SIIPEV.
- Trescientos noventa y cinco (395) evaluaciones a solicitudes de elementos de publicidad exterior visual.
Lo anterior, dando un avance para el cuatrienio de 6.789 acciones de evaluación, control y seguimiento: 136 operativos de control y seguimiento, 349 visitas de evaluación a elementos mayores, 233 documentos técnicos, 54 visitas a elementos menores, 18 cargues de información a la plataforma SIIPEV, 5.999 evaluaciones a solicitudes de elementos de publicidad exterior visual.</t>
  </si>
  <si>
    <t>La Secretaría Distrital de Ambiente, en el marco de las acciones de operación, mantenimiento y monitoreo de la red de ruido realizadas, presenta el avance de la vigencia que se detalla a continuación:
Vigencia 2020 se realizó el informe correspondiente a la operación Red de Monitoreo de Ruido Ambiental de Bogotá - RMRAB, en el cual, se reporta la realización de las actividades acreditación del procedimiento de monitoreo de ruido ambiental ante el IDEAM, actividades de soporte y mantenimiento realizado a las estaciones de monitoreo.
Vigencia 2021: se realizaron y presentaron los tres (03) informes correspondientes a la vigencia y se mantuvo la operación de la red de ruido.
En la vigencia 2022; Durante el presente periodo se realiza el 100% de las acciones relacionadas con la operación y mantenimiento de la Red de Monitoreo de Ruido Ambiental de Bogotá (RMRAB), presentación del informe semestral de operación de la RMRAB, actualización de Valor Central Cartas Control, seguimiento a arriendos, respuestas a solicitudes ciudadanas, estudios de mercado parala adquisición de estaciones Meteorológicas. Además, se realizó la gestión para reinstalar 20 estaciones de monitoreo de ruido ambiental las cuales se habían desmontado con la finalidad de salvaguardar su integridad física.</t>
  </si>
  <si>
    <t>En el cumplimiento de los dos (02) informes de gestión programados para la vigencia 2022; se ha alcanzado un avance basado en las actividades de recolección de información de las acciones de evaluación, control y seguimiento de los grupos de fuentes fijas y fuentes móviles. También en la intervención mediante actuaciones técnicas, visitas de control y seguimiento, acompañamientos, monitoreos, operativos de medición en vía a vehículos que transitan en el Distrito Capital, visitas técnicas de auditoría a Centros de Diagnóstico Automotor CDA'S, con esta información se construyó el informe de acciones de evaluación, control y seguimiento a las fuentes de emisión.
Para el informe No, 1 correspondiente al primer semestre del año el acumulado es de 100 % de avance en la ejecución de la meta.</t>
  </si>
  <si>
    <t>Se realizaron mantenimientos preventivos y correctivos, validación y análisis de datos y publicación de informes periódicos.
Para el mes de Junio el porcentaje de cumplimiento para este indicador es del 100%. Se reportaron los mantenimientos preventivos y correctivos que se realizaron durante el mes, se realizó la validación diaria de los datos de concentraciones de contaminantes criterio y parámetros meteorológicos que monitorea la RMCAB. El reporte de operatividad para el mes de Junio fue del 100% el cual es promedio de los datos validos de todos los parámetros de la red en las estaciones que se genera a través de Envista. Para el mes de junio se completó el análisis de datos y la redacción del  informe mensual de mayo de 2022 y el informe trimestral enero-marzo 2022 completando su elaboración y posterior publicación. Se completó el  análisis de datos y la redacción del  informe anual de 2021, sin embargo, la publicación se realizará en el mes de julio debido a que durante todo junio se atendió la auditoria de acreditación por parte del IDEAM, lo que impidió que el proceso de revisión y aprobación se realizara dentro de los plazos establecidos en el procedimiento interno.
Para el mes de Junio se completó el análisis de datos y la redacción del informe mensual de Mayo  de 2022, completando su elaboración y posterior publicación.</t>
  </si>
  <si>
    <t xml:space="preserve">Para la vigencia del Proyecto de Inversión del año 2022 se han realizado seiscientos doce (612) acciones de evaluación, control y seguimiento:
- Veintitrés (23) operativos de control a zonas de Resto del Distrito.
- Ciento veintisiete (127) visitas de evaluación a elementos mayores.
- Cuarenta y tres (43) documentos técnicos firmados para el resto del Distrito.
- Seis (06) cargues de información a la plataforma SIIPEV.
- Cuatrocientos trece (413) evaluaciones a solicitudes de elementos de publicidad exterior visual.
Lo anterior, dando un avance para el cuatrienio de 6.854 acciones de evaluación, control y seguimiento: 137 operativos de control y seguimiento, 377 visitas de evaluación a elementos mayores, 250 documentos técnicos, 54 visitas a elementos menores, 19 cargues de información a la plataforma SIIPEV, 6.017 evaluaciones a solicitudes de elementos de publicidad exterior visual. 
JULIO:
Durante el mes de Julio, se realizaron sesenta y cinco (65) acciones en cumplimiento de la meta:
- Un (01) operativo de control a las zonas de Resto del Distrito
- Veintiocho (28) visitas de evaluación a elementos mayores.
- Diecisiete (17) documentos técnicos firmados para el resto del Distrito.
- Un (01) cargue de información a la plataforma SIIPEV.
- Dieciocho (18) evaluaciones a solicitudes de elementos de publicidad exterior visual.
</t>
  </si>
  <si>
    <t>En la vigencia 2022 se han realizado un total de 823 acciones, 64,70% de lo planeado, 47,1% del PDD, en 699 visitas y 124 otras acciones.
I trimestre: 28 efectivas con medición, 12 efectivas sin medición (sensibilizaciones, actos administrativos) 39 efectivas cerrar el caso y 117 no efectivas reprogramaciones. Otras acciones 9 informes acciones populares AP, 4 estudio de ruido, 10 mesas de trabajo, 3 socializaciones y 27 SUGA.
II trimestre: 23 efectivas con medición, 191 efectivas sin medición (141, sensibilizaciones, actos administrativos y 50 para cerrar el caso) y 169 no efectivas reprogramaciones. Otras acciones 15 informes de AP, 4 socializaciones, 7 estudios de ruido, 16 mesas de trabajo, 11 SUGA.
Julio: 120 visitas técnicas correspondientes a: 8 visitas efectivas con medición, 63 efectivas sin medición (40 sensibilizaciones, actos administrativos y 23 para cerrar el caso) y 49 visitas no efectivas reprogramar. Otras acciones 4 informes AP, 3 presentaciones o socializaciones, 1 estudio de ruido, 6 mesas de trabajo y 4 SUGA.</t>
  </si>
  <si>
    <t>La Secretaría Distrital de Ambiente, en el marco de las acciones de operación, mantenimiento y monitoreo de la red de ruido realizadas, presenta el avance de la vigencia que se detalla a continuación:
Vigencia 2020 se realizó el informe correspondiente a la operación Red de Monitoreo de Ruido Ambiental de Bogotá - RMRAB, en el cual, se reporta la realización de las actividades acreditación del procedimiento de monitoreo de ruido ambiental ante el IDEAM, actividades de soporte y mantenimiento realizado a las estaciones de monitoreo.
Vigencia 2021: se realizaron y presentaron los tres (03) informes correspondientes a la vigencia y se mantuvo la operación de la red de ruido.
*Para el segundo semestre del 2022 Se genera avance del informe semestral relacionado con la operación de la Red de Monitoreo de Ruido Ambiental de Bogotá (RMRAB) , en la cual se reportan principalmente la realización de las actividades de soporte y mantenimiento realizado a las estaciones de monitoreo de ruido, se envía informe de Laboratorio Ambiental . Se realiza seguimiento a los contratos del personal de la RMRAB; en lo referente a materia de acreditación ante el IDEAM y la NTC ISO/IEC 17025, se adelantó con la generación y revisión de documentos requeridos en la lista de chequeo, se presenta los nuevos procedimientos de la RMRAB ante el Laboratorio Ambiental de la SDA, se realizó estudio de mercado para la adquisición de baterías secas de 12 voltios, estaciones meteorológicas y calibración de sonómetros. Además, se realizó el desmonte de 20 estaciones de monitoreo de ruido ambiental ubicadas en los CAI de la ciudad con el objetivo de salvaguarda su integridad física por posibles actos bandalicos y se generó el avance para la re instalación de la mismas.</t>
  </si>
  <si>
    <t>Se realizaron mantenimientos preventivos y correctivos, validación y análisis de datos y publicación de informes periódicos.
Para el mes de julio el porcentaje de cumplimiento para este indicador es del 100%. Se reportaron los mantenimientos preventivos y correctivos que se realizaron durante el mes, se realizó la validación diaria de los datos de concentraciones de contaminantes criterio y parámetros meteorológicos que monitorea la RMCAB. El reporte de operatividad para el mes de julio fue del 92,7% el cual es promedio de los datos validos de todos los parámetros de la red en las estaciones que se genera a través de Envista.  Para el mes de julio se completó el análisis de datos y la redacción del informe mensual de junio de 2022 y la revisión pendiente del informe anual de 2021, completando su elaboración y posterior publicación.</t>
  </si>
  <si>
    <t xml:space="preserve">En el marco de la gestión integral de la calidad del aire de Bogotá, para el año 2022 se contempla la entrega de seis (6) documentos técnicos, de los cuales, tres (3) se presentaron en el primer semestre del año, siendo: 
•	Informe semestral de Seguimiento al Plan Estratégico para la Gestión Integral de la Calidad del Aire – Plan Aire 2030 (I-2022).
•	Informe semestral (I-2022) de gestión del Sistema de Alertas Tempranas Ambientales en su componente aire.
•	Informe Técnico Anual de Modelación Atmosférica de Bogotá 2021. 
Para el presente periodo se ha venido trabajando en el desarrollo de los tres (3) documentos restantes, los cuales son: 
1. Informe semestral de Seguimiento al Plan Estratégico para la Gestión Integral de la Calidad del Aire – Plan Aire 2030 (II-2022) donde se contempla el debido seguimiento y reporte de los avances de los 41 proyectos en implementación del Plan Aire 2030. 
2. Informe semestral (I-2022) de gestión del Sistema de Alertas Tempranas Ambientales en su componente aire, donde se abordaron cinco líneas estratégicas, siendo: i) la Gestión del índice Bogotano de calidad del aire y riesgo en salud; IBOCA ii) el avance en la actualización del Plan de contingencia para la atención de alertas y emergencias por contaminación atmosférica; iii) la Gobernanza de calidad del aire, iv) el Monitoreo y análisis de contaminantes y v) la red colaborativa de microsensores de calidad del aire. 
3. Inventario de emisiones correspondiente a la información del año 2021, realizando la estructura y actualización de información para los respectivos cálculos. </t>
  </si>
  <si>
    <t>En el cumplimiento de los dos (02) informes de gestión programados para la vigencia 2022; se ha alcanzado un avance basado en las actividades de recolección de información de las acciones de evaluación, control y seguimiento de los grupos de fuentes fijas y fuentes móviles. También en la intervención mediante actuaciones técnicas, visitas de control y seguimiento, acompañamientos, monitoreos, operativos de medición en vía a vehículos que transitan en el Distrito Capital, visitas técnicas de auditoría a Centros de Diagnóstico Automotor CDA'S, con esta información se construyó el informe de acciones de evaluación, control y seguimiento a las fuentes de emisión.
Para el mes de julio del año en curso, el acumulado es de 1,17 de avance en la ejecución de la meta.</t>
  </si>
  <si>
    <t>La Secretaría Distrital de Ambiente del 01 de enero al 31 de julio de 2022 atendió el 100% de los conceptos técnicos generados por afectación al recurso aire, auditiva y visual en el Distrito Capital y que recomiendan actuaciones administrativas sancionatorias, como se relaciona a continuación:
No de Conceptos Técnicos que recomiendan actuaciones administrativas sancionatorias: 994
No de Conceptos Técnicos acogidos jurídicamente mediante acto administrativo: 994
Avance total corte 31 de julio de 2022 (Vigencia): 100% 
Acorde con la programación establecida, durante el mes de enero y febrero se realizaron las actividades encaminadas a la elaboración de planes de trabajo y organización de los equipos técnicos y jurídicos.
Los avances en la magnitud de la meta están sujetos a la demanda de conceptos técnicos que remita el área técnica para ser acogidos jurídicamente; por lo tanto, el porcentaje de la magnitud mensual programada es de 100% toda vez que la tipología de medición es ""Constante".</t>
  </si>
  <si>
    <r>
      <rPr>
        <b/>
        <u/>
        <sz val="10"/>
        <rFont val="Arial"/>
        <family val="2"/>
      </rPr>
      <t>DISTRITO</t>
    </r>
    <r>
      <rPr>
        <sz val="10"/>
        <rFont val="Arial"/>
        <family val="2"/>
      </rPr>
      <t xml:space="preserve">:
Bogotá D.C. Nota: La ejecución y cumplimiento de la meta del Proyecto de Inversión, se desarrolla sobre el Distrito Capital toda vez que su acción de evaluación, control y seguimiento no se delimitan a una o varias zonas especificas, la medición, impacto y resultados generados se aplican a nivel ciudad. </t>
    </r>
  </si>
  <si>
    <t xml:space="preserve">
AGOSTO:
Durante el mes de Agosto, se realizaron noventa y nueve (99) acciones en cumplimiento de la meta:
- Un (01) operativo de control a las zonas de Resto del Distrito
- Veintiún (21) visitas de evaluación a elementos mayores.
- Trece (13) documentos técnicos firmados para el resto del Distrito.
- Un (01) cargue de información a la plataforma SIIPEV.
- Sesenta y tres (63) evaluaciones a solicitudes de elementos de publicidad exterior visual.
Para la vigencia del Proyecto de Inversión del año 2022 se han realizado setecientos once (711) acciones de evaluación, control y seguimiento:
- Veinticuatro (24) operativos de control a zonas de Resto del Distrito.
- Ciento cuarenta y ocho (148) visitas de evaluación a elementos mayores.
- Cincuenta y seis (56) documentos técnicos firmados para el resto del Distrito.
- Siete (07) cargues de información a la plataforma SIIPEV.
- Cuatrocientos setenta y seis (476) evaluaciones a solicitudes de elementos de publicidad exterior visual.</t>
  </si>
  <si>
    <t>Vigencia 2022 Total 940 acciones, 64,70% de lo planeado del año, 49,5% del PDD.
I trim: 28 con medición, 12 sin medición, 39 cerrar el caso y 117 reprogramar. Otras acciones 9 informes acciones populares AP, 4 estudio de ruido, 10 mesas de trabajo, 3 socializaciones y 27 SUGA.
II trim: 23 con medición, 191 sin medición (141, sensibilizaciones, actos administrativos y 50 cerrar el caso) y 169 reprogramar. Otras acciones 15 informes AP, 4 socializaciones, 7 estudios de ruido, 16 mesas de trabajo, 11 SUGA.
Julio 8 con medición, 63 sin medición (40 sensibilizaciones, actos administrativos y 23 cerrar el caso) y 49 reprogramar. Otras acciones 4 informes AP, 3 presentaciones, 1 estudio de ruido, 6 mesas de trabajo y 4 SUGA  
Agosto 100 visitas así: 4 con medición, 41 sin medición (21 sensibilizaciones, seguimiento a actos administrativos y 20 cerrar el caso) y 55 reprogramar. Otras acciones de gestión 17: 6 informes AP, 1 presentaciones, 3 estudios de ruido, 2 mesas de trabajo y 5 SUGA.</t>
  </si>
  <si>
    <t>En el marco de la gestión integral de la calidad del aire de Bogotá, para el año 2022 se contempla la entrega de seis (6) documentos técnicos, de los cuales, tres (3) se presentaron en el primer semestre del año, siendo: Informe semestral de Seguimiento al Plan Estratégico para la Gestión Integral de la Calidad del Aire – Plan Aire 2030 (I-2022), Informe semestral (I-2022) de gestión del Sistema de Alertas Tempranas Ambientales en su componente aire y el Informe Técnico Anual de Modelación Atmosférica de Bogotá 2021. 
Para el presente periodo se ha venido trabajando en el desarrollo de los tres (3) documentos restantes, los cuales son: 1. Informe semestral de Seguimiento al Plan Estratégico para la Gestión Integral de la Calidad del Aire – Plan Aire 2030 (II-2022) donde se contempla el debido seguimiento y reporte de los avances de los 41 proyectos en implementación del Plan Aire 2030. 2. Informe semestral (I-2022) de gestión del Sistema de Alertas Tempranas Ambientales en su componente aire, donde se abordaron cinco líneas estratégicas, siendo: i) la Gestión del índice Bogotano de calidad del aire y riesgo en salud; IBOCA ii) el avance en la actualización del Plan de contingencia para la atención de alertas y emergencias por contaminación atmosférica; iii) la Gobernanza de calidad del aire, iv) el Monitoreo y análisis de contaminantes y v) la red colaborativa de microsensores de calidad del aire. 3. Inventario de emisiones correspondiente a la información del año 2021, realizando la validación de datos y reestructuración del documento.</t>
  </si>
  <si>
    <t>"La Secretaría Distrital de Ambiente, en el marco de las acciones de operación, mantenimiento y monitoreo de la red de ruido realizadas, presenta el avance de la vigencia que se detalla a continuación:
Vigencia 2020 se realizó el informe correspondiente a la operación Red de Monitoreo de Ruido Ambiental de Bogotá - RMRAB, en el cual, se reporta la realización de las actividades acreditación del procedimiento de monitoreo de ruido ambiental ante el IDEAM, actividades de soporte y mantenimiento realizado a las estaciones de monitoreo.
Vigencia 2021: se realizaron y presentaron los tres (03) informes correspondientes a la vigencia y se mantuvo la operación de la red de ruido.
Agosto. Se continua con la operación de la Red al 100 % en su ejecución."</t>
  </si>
  <si>
    <t>La Secretaría Distrital de Ambiente del 01 de enero al 31 de agosto de 2022 atendió el 92,48% de los conceptos técnicos generados por afectación al recurso aire, auditiva y visual en el Distrito Capital y que recomiendan actuaciones administrativas sancionatorias, como se relaciona a continuación:
No de Conceptos Técnicos que recomiendan actuaciones administrativas sancionatorias: 1144
No de Conceptos Técnicos acogidos jurídicamente mediante acto administrativo: 1058
Avance total corte 31 de Agosto de 2022 (Vigencia): 92,48% sin embrago el avance de la magnitud física se deja en un 100% dado que la tipología del reporte es constate. 
Acorde con la programación establecida, durante el mes de enero a agosto se realizaron las actividades encaminadas a la elaboración de planes de trabajo y organización de los equipos técnicos y jurídicos.
Los avances en la magnitud de la meta están sujetos a la demanda de conceptos técnicos que remita el área técnica para ser acogidos jurídicamente; por lo tanto, el porcentaje de la magnitud mensual programada es de 100% toda vez que la tipología de medición es "Constante".</t>
  </si>
  <si>
    <t>En el cumplimiento de los dos (02) informes de gestión programados para la vigencia 2022; se ha alcanzado un avance basado en las actividades de recolección de información de las acciones de evaluación, control y seguimiento de los grupos de fuentes fijas y fuentes móviles. También en la intervención mediante actuaciones técnicas, visitas de control y seguimiento, acompañamientos, monitoreos, operativos de medición en vía a vehículos que transitan en el Distrito Capital, visitas técnicas de auditoría a Centros de Diagnóstico Automotor CDA'S, con esta información se construyó el informe de acciones de evaluación, control y seguimiento a las fuentes de emisión.
Para el mes de agosto del año en curso, el acumulado es de 1,34 de avance en la ejecución de la meta.</t>
  </si>
  <si>
    <t>Se realizaron mantenimientos preventivos y correctivos, validación y análisis de datos y publicación de informes periódicos.
Para el mes de agosto el porcentaje de cumplimiento para este indicador es del 95%. Se reportaron los mantenimientos preventivos y correctivos que se realizaron durante el mes, se realizó la validación diaria de los datos de concentraciones de contaminantes criterio y parámetros meteorológicos que monitorea la RMCAB. El reporte de operatividad para el mes de agosto fue del 89,1% el cual es promedio de los datos validos de todos los parámetros de la red en las estaciones que se genera a través de Envista.  Para el mes de agosto se completó el análisis de datos y la redacción del informe mensual de julio de 2022, completando su elaboración y posterior publicación.</t>
  </si>
  <si>
    <t>La Secretaría Distrital de Ambiente del 01 de enero al 30 de septiembre de 2022 atendió el 90,19% de los conceptos técnicos generados por afectación al recurso aire, auditiva y visual en el Distrito Capital y que recomiendan actuaciones administrativas sancionatorias, como se relaciona a continuación:
No de Conceptos Técnicos que recomiendan actuaciones administrativas sancionatorias: 1326
No de Conceptos Técnicos acogidos jurídicamente mediante acto administrativo: 1196
Avance total corte 30 de septiembre de 2022 (Vigencia): 90,19% sin embrago el avance de la magnitud física se deja en un 100% dado que la tipología del reporte es constate. 
Acorde con la programación establecida, durante el mes de enero a agosto se realizaron las actividades encaminadas a la elaboración de planes de trabajo y organización de los equipos técnicos y jurídicos.
Los avances en la magnitud de la meta están sujetos a la demanda de conceptos técnicos que remita el área técnica para ser acogidos jurídicamente; por lo tanto, el porcentaje de la magnitud mensual programada es de 100% toda vez que la tipología de medición es ""Constante".</t>
  </si>
  <si>
    <t>La Secretaría Distrital de Ambiente del 01 de enero al 30 de septiembre de 2022 atendió el 90,19% de los conceptos técnicos generados por afectación al recurso aire, auditiva y visual en el Distrito Capital y que recomiendan actuaciones administrativas sancionatorias, como se relaciona a continuación:
No de Conceptos Técnicos que recomiendan actuaciones administrativas sancionatorias: 1326
No de Conceptos Técnicos acogidos jurídicamente mediante acto administrativo: 1196.</t>
  </si>
  <si>
    <t xml:space="preserve">Del 01 de febrero al 30 de septiembre de 2022 se realizaron 24.966 acciones archivísticas asociadas al proceso de organización y administración documental relacionado con el recurso aire, auditiva y visual; así:
Apertura: 1.479				
Inserción: 2.284				
Encarpetado de expedientes: 1.035				
Préstamo de expedientes: 4.151				
Ordenación:1.287				
FUID: 3.213				
Hoja de control: 3.950				
Levantamiento base de datos inserciones DCA: 98				
Asociación de radicados- FOREST: 579				
Apoyo saneamiento jurídico: 168				
foliación: 2.491				
Control de Calidad: 243				
Inserciones expedientes sancionatorios: 3.876				
Entrega de Inserciones PROTECH: 13				
Apoyo saneamiento Jurídico: 22				
Atención ventanilla:77	</t>
  </si>
  <si>
    <t>Del 01 de febrero al 30 de septiembre de 2022 se realizaron 3.176 notificaciones de actos adminisrativos sancionatorios asociados al recurso aire, auditiva y visual</t>
  </si>
  <si>
    <t>Del 1 de febrero al 30 de septiembre de 2022 se ejecutaron las siguientes actividades asociadas al proceso de seguimiento y control al recurso aire, auditiva y visual:
Aprobación y firma de 70 Informes Técnicos de Criterios con los cuales se determina la sanción ambiental a establecer al infractor del recurso ambiental.</t>
  </si>
  <si>
    <t>La Secretaría Distrital de Ambiente, en el marco de las acciones de seguimiento y control sobre los elementos de Publicidad Exterior Visual- PEV en las zonas con mayor densidad, ha avanzado al Plan de Desarrollo en (1.902) acciones, de las cuales (195) corresponden a la vigencia 2020, (794) acciones para la vigencia 2021, y (913) para la vigencia 2022. A continuación, se detalla el avance total: (703) operativos de sensibilización y control, (313) visitas a elementos mayores de PEV y (886) documentos técnicos.
Para Septiembre 2022, se realizaron doscientos cuarenta y dos (242) acciones de seguimiento y control en las zonas críticas de mayor densidad para los elementos menores de PEV y para elementos mayores así:
Treinta y cuatro (34) operativos: (17) de control en Kennedy, (9) de control en Bosa, (4) en Chapinero, (1) de control en Ciudad Bolívar, (3) de control en San Cristóbal interviniendo 85, 45, 20, 5 y 15 establecimientos respectivamente.
Diez (10) visitas para elementos mayores: (10) de control en Kennedy.
Ciento noventa y ocho (198) documentos técnicos: firmados para las zonas que entran a ZMD.
Siendo así, un acumulado anual de: (304) operativos de sensibilización y control, (141) visitas a elementos mayores de PEV, y (468) documentos técnicos.</t>
  </si>
  <si>
    <t>Durante el mes de Septiembre, se realizaron ciento setenta y uno (171) acciones en cumplimiento de la meta:
- Quince (15) operativos de control a las zonas de Resto del Distrito
- Diecinueve (19) visitas de evaluación a elementos mayores.
- Quince (15) documentos técnicos firmados para el resto del Distrito.
- Un (01) cargue de información a la plataforma SIIPEV.
- Ciento veintiún (121) evaluaciones a solicitudes de elementos de publicidad exterior visual.
Para la vigencia del Proyecto de Inversión del año 2022 se han realizado ochocientos ochenta y dos (882) acciones de evaluación, control y seguimiento:
- Treinta y nueve (39) operativos de control a zonas de Resto del Distrito.
- Ciento sesenta y siete (167) visitas de evaluación a elementos mayores.
- Setenta y uno (71) documentos técnicos firmados para el resto del Distrito.
- Ocho (08) cargues de información a la plataforma SIIPEV.
- Quinientos noventa y siete (597) evaluaciones a solicitudes de elementos de publicidad exterior visual.
Lo anterior, dando un avance para el cuatrienio de 7.124 acciones de evaluación, control y seguimiento: 153 operativos de control y seguimiento, 417 visitas de evaluación a elementos mayores, 278 documentos técnicos, 54 visitas a elementos menores, 21 cargues de información a la plataforma SIIPEV, 6.201 evaluaciones a solicitudes de elementos de publicidad exterior visual.</t>
  </si>
  <si>
    <t>Para el mes de Septiembre de 2022, se realizaron quince (15) operativos sobre una zona del resto del distrito, diferente a las zonas de mayor saturación.
Engativá: 06 operativos en la UPZ 26 Las Ferias
Los Mártires: 06 operativos en la UPZ 102 La Sabana
Teusaquillo: 03 operativos en las UPZ 100 Galerías y 106 La Esmeralda
Acumulado:
Primer Trimestre: 01 operativo de control.
Segundo Trimestre: 21 operativos de control.
Tercer Trimestre: 17 operativo de control.
Avance de la actividad 74,97%.</t>
  </si>
  <si>
    <t>Para el mes de Septiembre fueron realizadas un total de diecinueve (19) visitas de evaluación a elementos mayores de PEV como sigue:
Antonio Nariño: 01 visita en la UPZ 38 Restrepo
Suba: 03 visitas en las UPZ 24 Niza y 28 El rincón.
Puente Aranda: 01 visita en la UPZ 40 Ciudad montes.
Kennedy: 01 visita en la UPZ 79 Calandaima.
Usaquén: 05 visitas en las UPZ 15 Country Club y 16 Santa Barbara, 09 Verbenal, 13 Los Cedros, 11 San Cristóbal Norte
Teusaquillo: 02 visita en las UPZ 107 Quinta paredes, 101 Teusaquillo
Barrios Unidos: 02 visitas en la UPZ 22 Doce de Octubre
Chapinero: 01 visita en la UPZ 97 Chicó Lago
Ciudad Bolívar: 01 visita en la UPZ 65 Arborizadora
Engativá: 02 visita en las UPZ 105 Jardín Botánico y 26 Las Ferias 
Acumulado:
Primer Trimestre: 27 visitas de evaluación a elementos mayores.
Segundo Trimestre: 72 visitas de evaluación a elementos mayores.
Tercer Trimestre: 68 visitas de evaluación a elementos mayores.
Avance Acumulado de la Actividad: 69,59%.</t>
  </si>
  <si>
    <t>Acumulado anual de la vigencia 2022 RD
Enero (00) documentos técnicos pendientes por firma para reportar.
Febrero (00) documentos técnicos pendientes por firma para reportar.
Marzo (00) documentos técnicos pendientes por firma para reportar.
Abril (00) documentos técnicos pendientes por firma para reportar.
Mayo (11) documentos técnicos con firma para reportar.
Junio (15) documentos técnicos con firma para reportar.
Julio (17) documentos técnicos con firma para reportar.
Agosto (13) documentos técnicos con firma para reportar.
Septiembre (15) documentos técnicos con firma para reportar.
Avance de la Actividad: 41,65%</t>
  </si>
  <si>
    <t>Se realizó el seguimiento al Sistema Integrado de Información de Publicación Exterior Visual – SIIPEV y se validó el cargue de la información contenida en la plataforma.
Acumulado:
Primer Trimestre: 02 cargues en el SIIPEV.
Segundo Trimestre: 03 cargues en el SIIPEV.
Tercer Trimestre: 02 cargues en el SIIPEV.
Avance de la Actividad: 66,64%</t>
  </si>
  <si>
    <t>Se realizó la evaluación de (121) solicitudes de registro dentro de la vigencia 2022 que dejaron como resultado: 121 registros.
Avance Acumulado de la Actividad: 70,64%</t>
  </si>
  <si>
    <t>En cumplimiento de la meta se presenta avance acumulado al PDD de 2.470 acciones así:
Vigencia 2020: 491 Acciones de Seguimiento realizadas.
Vigencia 2021: 897 Acciones de Seguimiento realizadas.
Vigencia 2022: 1082 Acciones de Seguimiento realizadas; así:
• I trimestre: 249 acciones, correspondientes a 196 visitas y 53 otras acciones de gestión
• II trimestre: 436 acciones, correspondientes a 383 visitas y 53 otras acciones de gestión
• III trimestre: 397 acciones, correspondientes a 342 visitas y 55 otras acciones de gestión
Para un cumplimiento total del 52,55% en el PDD.</t>
  </si>
  <si>
    <t>Total vigencia 2022: 1082 acciones, 85,1% de lo planeado y 52,6% del PDD.
I trimestre: 28 con medición, 12 sin medición, 39 cerrar el caso y 117 reprogramar. Otras acciones 9 informes acciones populares AP, 4 estudio de ruido, 10 mesas de trabajo, 3 socializaciones y 27 SUGA.
II trimestre: 23 con medición, 191 sin medición (141, sensibilizaciones, actos administrativos y 50 cerrar el caso) y 169 reprogramar. Otras acciones 15 informes AP, 4 socializaciones, 7 estudios de ruido, 16 mesas de trabajo, 11 SUGA.
III trimestre: 17 con medición, 160 sin medición (93 sensibilizaciones, actos administrativos y 67 cierre de caso) y 165 para reprogramar. Otras acciones 15 informes AP, 5 socializaciones, 8 estudios de ruido, 12 mesas de trabajo, 15 SUGA.</t>
  </si>
  <si>
    <t>Avance Acumulado de la Actividad: 85,90%
•	I trimestre, planeadas 192, ejecutadas 196: 4 en enero, 106 en febrero y 86 en marzo. diferenciadas así:  28 efectivas con medición, 12 efectivas sin medición relacionadas con inventarios, sensibilizaciones, a actos administrativos, 39 efectivas para cerrar el caso y 117 para reprogramación.
•	II trimestre, planeadas 330, ejecutadas 383:  95 en abril, 175 en mayo y 113 en junio. Diferenciadas así: 23 efectivas con medición, 191 efectivas sin medición relacionadas con inventarios, sensibilizaciones, a actos administrativos y visitas para cerrar el caso, 169 para reprogramación.
•	III trimestre, planeadas 330, ejecutadas 342: 120 julio, 100 agosto, 122 septiembre. Diferenciadas así: 17 efectivas con medición, 160 efectivas sin medición (93 sensibilizaciones, actos administrativos y 67 para cerrar el caso) y 165 para reprogramar.</t>
  </si>
  <si>
    <t>Avance Acumulado de la Actividad: 80.50%
I trimestre: fueron planeadas 40 otras acciones y ejecutado fue 53.de los cuales, 9 informes de acciones populares, 4 estudios de ruido, 10 reuniones o mesas de trabajo, 3 presentaciones o socializaciones y 27 oficios SUGA.
II trimestre: fueron planeados 60 otras acciones y ejecutadas 53 de las cuales 15 informes de acciones populares, 4 presentaciones o socializaciones, 7 estudios de ruido, 16 reuniones o mesas de trabajo y 11 oficios SUGA.
III trimestre: fueron planeadas 60 otras acciones de gestión y ejecutadas 55, de las cuales 15 informes de acciones populares, 5 presentaciones, 8 estudios de ruido, 12 reuniones o mesas de trabajo y 15 oficios SUGA.</t>
  </si>
  <si>
    <t>En el marco de la gestión integral de la calidad del aire de Bogotá, para el año 2022 se contempla la entrega de seis (6) documentos técnicos, de los cuales, 
Tres (3) se presentaron en el primer y segundo trimestre del año, siendo: Informe semestral de Seguimiento al Plan Estratégico para la Gestión Integral de la Calidad del Aire – Plan Aire 2030 (I-2022), Informe semestral (I-2022) de gestión del Sistema de Alertas Tempranas Ambientales en su componente aire y el Informe Técnico Anual de Modelación Atmosférica de Bogotá 2021. 
Para el tercer trimestre se ha venido trabajando en el desarrollo de los tres (3) documentos restantes, los cuales son: 
1. Informe semestral de Seguimiento al Plan Estratégico para la Gestión Integral de la Calidad del Aire – Plan Aire 2030 (II-2022) donde se contempla el debido seguimiento y reporte de los avances de los 41 proyectos en implementación del Plan Aire 2030. 
2. Informe semestral (I-2022) de gestión del Sistema de Alertas Tempranas Ambientales en su componente aire, donde se abordaron cinco líneas estratégicas, siendo: i) la Gestión del índice Bogotano de calidad del aire y riesgo en salud; IBOCA ii) el avance en la actualización del Plan de contingencia para la atención de alertas y emergencias por contaminación atmosférica; iii) la Gobernanza de calidad del aire, iv) el Monitoreo y análisis de contaminantes y v) la red colaborativa de microsensores de calidad del aire. 
3. Inventario de emisiones correspondiente a la información del año 2021, realizando la desagregación espacio temporal de las emisiones de fuentes por material resuspendido y desgaste de llantas, y la elaboración de  gráficas de los incendios forestales reportado para el año 2021.</t>
  </si>
  <si>
    <t>Septiembre: Conforme a lo ejecutado en el mes de septiembre del 2022 se realizó el debido seguimiento y reporte de los avances de los 41 proyectos en implementación del Plan Aire 2030, arrojando como resultado para el presente corte, 30 proyectos que se encuentran con una correcta ejecución que corresponden al 73% y 11 proyectos que han presentado algún tipo de cuellos de botella. 
Avance Acumulado de la Actividad: 65%.</t>
  </si>
  <si>
    <t>Septiembre: Se realizó la desagregación espacio temporal de las emisiones de fuentes por material resuspendido y desgaste de llantas, adicionalmente se elaboraron las gráficas de los incendios forestales reportado para el año 2021, que tienen influencia en la contaminación atmosférica de la ciudad de Bogotá. Finalmente se verifican las ubicaciones de las fuentes fijas industriales para realizar posteriormente su desagregación. 
Avance Acumulado de la Actividad: 65%.</t>
  </si>
  <si>
    <t>Septiembre: Durante el mes de septiembre se avanzó en el segundo Informe semestral de gestión del Sistema de Alertas Tempranas Ambientales en su componente aire. Este documento contiene los avances relacionados con cinco líneas estratégicas relacionadas con: i) la Gestión del índice Bogotano de calidad del aire y riesgo en salud; IBOCA ii) el avance en la actualización del Plan de contingencia para la atención de alertas y emergencias por contaminación atmosférica; iii) la Gobernanza de calidad del aire, iv) el Monitoreo y análisis de contaminantes y v) la red colaborativa de microsensores de calidad del aire.
Avance Acumulado de la Actividad: 65%.</t>
  </si>
  <si>
    <t>Para el primer trimestre de la vigencia 2022, se han realizado los mantenimientos mensuales a todos los equipos de todas las estaciones de monitoreo de la red. 
Para el segundo trimestre de la vigencia 2022, se han realizado los mantenimientos mensuales a todos los equipos de todas las estaciones de monitoreo de la red. 
Para el tercer trimestre de la vigencia 2022, se han realizado los mantenimientos mensuales a todos los equipos de todas las estaciones de monitoreo de la red. 
En septiembre, se han realizado los mantenimientos mensuales a todos los equipos de todas las estaciones de monitoreo de la red.
Avance Acumulado de la Actividad: 74,97 %</t>
  </si>
  <si>
    <t>En el primer y segundo trimestre de la vigencia 2022, se realizó la validación diaria de los datos de concentraciones de contaminantes criterio y parámetros meteorológicos que monitorea la RMCAB, se emitió el reporte de operatividad mensual respectivo, que corresponde a los datos reportados por las estaciones de la RMCAB. Se realizó el análisis de datos requeridos para la elaboración de los informes que corresponden al trimestre, de acuerdo con lo proyectado. 
Para el mes de septiembre, se realizó la validación diaria de los datos de concentraciones de contaminantes criterio y parámetros meteorológicos que monitorea la RMCAB. El reporte de operatividad para el mes de septiembre fue del 86,7% el cual es promedio de los datos validos de todos los parámetros de la red en las estaciones que se genera a través de Envista, y este mes se vio afectado por problemas muy graves que se presentaron en las estaciones Carvajal - Sevillana y Móvil 7ma con  los aires acondicionados y en Kennedy con el DATALOGGER, los cuales obligaron a invalidar un número importante o todos los datos de dichas estaciones durante el mes. Para el mes de septiembre se completó el análisis de datos y la redacción del informe mensual de mayo de 2022 y el informe trimestral abril-junio 2022 completando su elaboración y posterior publicación.  
Avance Acumulado: 74,97%.</t>
  </si>
  <si>
    <t>Para el primer trimestre de 2022, se completó el análisis de datos y la redacción del informe mensual de diciembre del 2021, el informe mensual de enero de 2022, informe mensual de febrero del 2022 y el informe trimestral octubre-diciembre 2021, completando su elaboración y posterior publicación.
Para el segundo trimestre de 2022, se completó el análisis de datos y la redacción del informe mensual de marzo del 2022, el informe mensual de abril de 2022, informe mensual de mayo del 2022 y el informe trimestral enero-marzo 2022, completando su elaboración y posterior publicación.
Para el tercer trimestre de 2022, se completó el análisis de datos y la redacción del informe mensual de junio del 2022, el informe mensual de julio de 2022, el informe anual de 2021, informe mensual de agosto del 2022 y el informe trimestral abril-junio 2022, completando su elaboración y posterior publicación.
 Para el mes de septiembre se completó el análisis de datos y la redacción del informe trimestral abril - junio 2022 y del informe mensual de agosto de 2022 completando su elaboración y posterior publicación. 
Avance Acumulado 76,44%.</t>
  </si>
  <si>
    <t>Para el primer trimestre de la vigencia 2022, se construyó por parte de la SDA un documento técnico en el cual se establece cuáles son los beneficios de la integración de las Redes SDA-CAR y la articulación requerida.
Para el segundo trimestre de la vigencia 2022, se realizó una reunión entre delegados de la SDA y la CAR, la cual tuvo como objetivo realizar la revisión de avances para la articulación de las medidas a fuentes fijas en Bogotá y la región.
Para el tercer trimestre de la vigencia 2022, se mantienen las conversaciones entre las áreas técnicas de la CAR y la SDA para atender los requerimientos en lo relacionados con el convenio, se avanza en la revisión de avances para la articulación de las medidas a fuentes fijas en Bogotá y la región.  
 Para el mes de septiembre, se mantienen las conversaciones entre las áreas técnicas de la CAR y la SDA para atender los requerimientos relacionados con el convenio y se avanza en la revisión de actividades para la articulación de las medidas a fuentes fijas en Bogotá y la región.
Avance Acumulado 75%.</t>
  </si>
  <si>
    <t>Para el primer y segundo trimestre de la vigencia 2022, como parte del proceso de colaboración entre la Red de Monitoreo de Calidad del Aire de Bogotá – RMCAB y los diferentes actores en el establecimiento de esta red colaborativa de sensores de bajo costo se mantuvo la operación de los sensores instalados en la estación de Las Ferias por parte del Colectivo CanAir.io, La Universidad Central y La Universidad Nacional. Se mantiene en operación los sensores de bajo costo del Colectivo CanAir.io en las estaciones Kennedy y Tunal. 
Para el tercer trimestre de la vigencia 2022, se mantiene la verificación de los sensores instalados, se apoyó el lanzamiento de la red colaborativa de microsensores en el marco de un taller de cooperación con C40, adicionalmente se han realizado otros montajes en la estación Las Ferias para evaluar diferentes sensores.
Para el mes de septiembre, se mantiene la verificación de los sensores instalados, se apoyó el lanzamiento de la red colaborativa de microsensores en el marco del taller de cooperación con C40, adicionalmente se han realizado otros montajes en la estación Las Ferias para evaluar diferentes sensores.
Avance Acumulado 75%.</t>
  </si>
  <si>
    <t>En el tercer trimestre de la vigencia 2022, se realizaron mantenimientos preventivos y correctivos, validación y análisis de datos y publicación de informes periódicos.
Para el mes de septiembre el porcentaje de cumplimiento para este indicador es del 95%. Se reportaron los mantenimientos preventivos y correctivos que se realizaron durante el mes, se realizó la validación diaria de los datos de concentraciones de contaminantes criterio y parámetros meteorológicos que monitorea la RMCAB. El reporte de operatividad para el mes de agosto fue del 89,1% el cual es promedio de los datos validos de todos los parámetros de la red en las estaciones que se genera a través de Envista.  Para el mes de septiembre se completó el análisis de datos y la redacción del informe mensual de julio de 2022, completando su elaboración y posterior publicación.</t>
  </si>
  <si>
    <t>La Secretaría Distrital de Ambiente, en el marco de las acciones de operación, mantenimiento y monitoreo de la red de ruido realizadas, presenta el avance en el PDD como se detalla a continuación:
Vigencia 2020 se realizó el informe correspondiente a la operación Red de Monitoreo de Ruido Ambiental de Bogotá - RMRAB, en el cual, se reporta la realización de las actividades acreditación del procedimiento de monitoreo de ruido ambiental ante el IDEAM, actividades de soporte y mantenimiento realizado a las estaciones de monitoreo.
Vigencia 2021: se realizaron y presentaron los tres (03) informes correspondientes a la vigencia y se mantuvo la operación de la red de ruido.
Para el segundo semestre del 2022; Se genera avance del informe semestral relacionado con la operación de la Red de Monitoreo de Ruido Ambiental de Bogotá (RMRAB), en la cual se reportan principalmente la realización de las actividades de soporte y mantenimiento realizado a las estaciones de monitoreo de ruido, se envía informe de Laboratorio Ambiental. En lo referente a materia de acreditación ante el IDEAM y la NTC ISO/IEC 17025, se adelantó la generación y revisión de documentos requeridos en la lista de chequeo, se presenta los nuevos procedimientos de la RMRAB ante el Laboratorio Ambiental de la SDA. Además, se realizó el desmonte de 20 estaciones de monitoreo de ruido ambiental ubicadas en los CAI de la ciudad con el objetivo de salvaguarda su integridad física por posibles actos vandálicos y se generó el avance para la reinstalación de estas, se genera informe de los indicadores relacionados con el día sin carro y moto en la ciudad de Bogotá.</t>
  </si>
  <si>
    <t>Para el tercer trimestre del 2022, se aseguró la continua operación de la RMRAB realizando el cronograma de mantenimiento de las estaciones y pago de los arriendos.</t>
  </si>
  <si>
    <t>Para el tercer trimestre del 2022 se llevó a cabo la revisión y verificación de los documentos pertenecientes al procedimiento PA10-PR14 en cumplimiento a lo establecido en la ISO/IEC17025.</t>
  </si>
  <si>
    <t>En el tercer trimestre del 2022 se realizan pruebas con los mapas de la localidad de Barrios Unidos.</t>
  </si>
  <si>
    <t>Para el tercer trimestre del 2022, se ha realizado la construcción y proyección del informe relacionado con la operación y funcionamiento de la Red de Monitoreo de Ruido Ambiental, adelanto de los documentos para la acreditación del procedimiento de monitoreo de ruido ambiental ante el IDEAM y las actividades de soporte y mantenimiento.</t>
  </si>
  <si>
    <t>Durante el Primer Semestre de 2022 se realizó intervención mediante la generación de actuaciones técnicas, producto de 630 visitas de Inspección, Vigilancia, Control y Operativos en Bogotá, dada la declaratoria de Alerta Fase 1 de la Res. 00135 de 2022, así como, en el ejercicio misional propio de la Entidad a las fuentes fijas de emisión.; atendiendo tramites de la siguiente manera 478 DP, 116PQR, 34 IAS y 1009 radicados para un total de 1637 solicitudes, generando un total de 859 actuaciones técnicas.
Para el tercer trimestre2022  se realizó intervención mediante la generación de actuaciones técnicas, producto de las labores de Inspección, Vigilancia y Control en el ejercicio misional propio de la Entidad a las fuentes fijas de emisión.  atendiendo tramites de la siguiente manera 212 DP, 70 PQR, 9 IAS y 474 radicados para un total de 765 solicitudes, generando un total de 504 actuaciones técnicas 363 actuaciones técnicas entre conceptos técnico e informes y 141 oficios de respuesta.
Avance Acumulado un 87,4 % en esta actividad.</t>
  </si>
  <si>
    <t>Durante el Primer Semestre de 2022 se realizó intervención mediante la generación de actuaciones técnicas, producto de 630 visitas de Inspección, Vigilancia, Control y Operativos en el ejercicio misional propio de la Entidad a las fuentes fijas de emisión.; atendiendo tramites de la siguiente manera 478 DP, 116PQR, 34 IAS y 1009 radicados para un total de 1637 solicitudes.
Para el tercer trimestre: 2022  atendieron procesos de la siguiente manera 212 DP, 70 PQR, 9 IAS y 474 radicados para un total de 765 solicitudes realizando  292 visitas de Inspección, Vigilancia, Control y monitoreo en el ejercicio misional propio de la Entidad a las fuentes fijas de emisión.
Avance Acumulado un 74,97% en esta actividad.</t>
  </si>
  <si>
    <t>Durante el tercer trimestre de 2022: Se evidenció un acumulado de 31,68%, corresponde a 6387 pruebas de emisión a fuentes móviles efectuadas en el periodo (julio - septiembre), de las cuales 2362 aprobadas, 4025 rechazadas, 3062 comparendos, 713 inmovilizados; de las pruebas realizadas 3791 tipo OTTO, 2419 tipo DIESEL y 177 tipo MOTOS. 
Para el mes de septiembre se realizaron un total de 2550 revisiones (900 aprobadas, 1650 rechazadas, 1236 comparendos, 306 inmovilizados) las cuales corresponden a 1582 tipo otto, 897 tipo diésel y 71 tipo motos
Avance Acumulado un 70,7% en esta actividad.</t>
  </si>
  <si>
    <t>Durante el tercer trimestre de 2022: Se evidenció un acumulado de 29,23%, Corresponde a 9 visitas de certificación y 10 visitas de seguimiento a Centros de Diagnóstico Automotor (CDAs) en el periodo (julio - septiembre).
Para el mes de septiembre de 2022 y con el fin de construir el informe correspondiente al segundo semestre, se realizaron tres (3) visitas de certificación y tres (3) seguimiento respectivamente, a los Centros de Diagnóstico Automotor:  CDA CAPITAL CARROS 7 SAS, CDA READY TO RACE SA, CDA SANTA LIBRADA SAS, CDA AUTOCHECK CALLE 170 SAS,CDA RTM SANCRISTOBAL NORTE SAS, CDA DEL SIETE SAS, 
Avance Acumulado un 73,86% en esta actividad.</t>
  </si>
  <si>
    <t>En el marco de la gestión integral de la calidad del aire de Bogotá, para el año 2022 se contempla la entrega de seis (6) documentos técnicos, de los cuales a septiembre se lleva una avance acumulado de la vigenica de 4,1 documentos así: Tres (3) se presentaron en el primer y segundo trimestre del año, siendo: Informe semestral de Seguimiento al Plan Estratégico para la Gestión Integral de la Calidad del Aire – Plan Aire 2030 (I-2022), Informe semestral (I-2022) de gestión del Sistema de Alertas Tempranas Ambientales en su componente aire y el Informe Técnico Anual de Modelación Atmosférica de Bogotá 2021 y para el tercer trimestre se ha venido trabajando en el desarrollo de los tres (3) documentos restantes, los cuales son: 1. Informe semestral de Seguimiento al Plan Estratégico para la Gestión Integral de la Calidad del Aire – Plan Aire 2030 (II-2022) donde se contempla el debido seguimiento y reporte de los avances de los 41 proyectos en implementación del Plan Aire 2030. 2. Informe semestral (I-2022) de gestión del Sistema de Alertas Tempranas Ambientales en su componente aire, donde se abordaron cinco líneas estratégicas, siendo: i) la Gestión del índice Bogotano de calidad del aire y riesgo en salud; IBOCA ii) el avance en la actualización del Plan de contingencia para la atención de alertas y emergencias por contaminación atmosférica; iii) la Gobernanza de calidad del aire, iv) el Monitoreo y análisis de contaminantes y v) la red colaborativa de microsensores de calidad del aire. 3. Inventario de emisiones correspondiente a la información del año 2021, realizando la desagregación espacio temporal de las emisiones de fuentes por material resuspendido y desgaste de llantas, y la elaboración de  gráficas de los incendios forestales reportado para el año 2021.
Lo anterior, llevando un avance del cuatrienio de 16,1 documentos.</t>
  </si>
  <si>
    <t>A corte septiembre, se lleva un avance acumulado de la vigencia de 1082 acciones y del cuatrienio de 2470 acciones. Respecto al avane de la vigencia 2022, para el I trimestre: 28 con medición, 12 sin medición, 39 cerrar el caso y 117 reprogramar. Otras acciones 9 informes acciones populares AP, 4 estudio de ruido, 10 mesas de trabajo, 3 socializaciones y 27 SUGA. II trimestre: 23 con medición, 191 sin medición (141, sensibilizaciones, actos administrativos y 50 cerrar el caso) y 169 reprogramar. Otras acciones 15 informes AP, 4 socializaciones, 7 estudios de ruido, 16 mesas de trabajo, 11 SUGA.  III trimestre: 17 con medición, 160 sin medición (93 sensibilizaciones, actos administrativos y 67 cierre de caso) y 165 para reprogramar. Otras acciones 15 informes AP, 5 socializaciones, 8 estudios de ruido, 12 mesas de trabajo, 15 SUGA.</t>
  </si>
  <si>
    <t>En el cumplimiento de los dos (02) informes de gestión programados para la vigencia 2022, se ha llevado un avance del 1,51 informes. Lo anterior obedence al avance basado en las actividades de recolección de información de las acciones de evaluación, control y seguimiento de los grupos de fuentes fijas y fuentes móviles. También en la intervención mediante actuaciones técnicas, visitas de control y seguimiento, acompañamientos, monitoreos, operativos de medición en vía a vehículos que transitan en el Distrito Capital, visitas técnicas de auditoría a Centros de Diagnóstico Automotor CDA'S, con esta información se construyó el informe de acciones de evaluación, control y seguimiento a las fuentes de emisión.
Lo anterior, se lleva un avance del cuatrienio de 4,51 informes</t>
  </si>
  <si>
    <t>La Secretaría Distrital de Ambiente, en el marco de las acciones de operación, mantenimiento y monitoreo de la red de ruido realizadas, presenta el avance en el PDD como se detalla a continuación: Vigencia 2020 se realizó el informe correspondiente a la operación Red de Monitoreo de Ruido Ambiental de Bogotá - RMRAB, en el cual, se reporta la realización de las actividades acreditación del procedimiento de monitoreo de ruido ambiental ante el IDEAM, actividades de soporte y mantenimiento realizado a las estaciones de monitoreo.  Vigencia 2021: se realizaron y presentaron los tres (03) informes correspondientes a la vigencia y se mantuvo la operación de la red de ruido.  Para el segundo semestre del 2022; Se genera avance del informe semestral relacionado con la operación de la Red de Monitoreo de Ruido Ambiental de Bogotá (RMRAB), en la cual se reportan principalmente la realización de las actividades de soporte y mantenimiento realizado a las estaciones de monitoreo de ruido, se envía informe de Laboratorio Ambiental. En lo referente a materia de acreditación ante el IDEAM y la NTC ISO/IEC 17025, se adelantó la generación y revisión de documentos requeridos en la lista de chequeo, se presenta los nuevos procedimientos de la RMRAB ante el Laboratorio Ambiental de la SDA. Además, se realizó el desmonte de 20 estaciones de monitoreo de ruido ambiental ubicadas en los CAI de la ciudad con el objetivo de salvaguarda su integridad física por posibles actos vandálicos y se generó el avance para la reinstalación de estas, se genera informe de los indicadores relacionados con el día sin carro y moto en la ciudad de Bogotá.</t>
  </si>
  <si>
    <t>Para la vigencia del Proyecto de Inversión del año 2022 se han realizado 882 acciones de evaluación, control y seguimiento asi: 
- Treinta y nueve (39) operativos de control a zonas de Resto del Distrito.
- Ciento sesenta y siete (167) visitas de evaluación a elementos mayores.
- Setenta y uno (71) documentos técnicos firmados para el resto del Distrito.
- Ocho (08) cargues de información a la plataforma SIIPEV.
- Quinientos noventa y siete (597) evaluaciones a solicitudes de elementos de publicidad exterior visual.
Lo anterior, dando un avance para el cuatrienio de 7.124 acciones de evaluación, control y seguimiento: 153 operativos de control y seguimiento, 417 visitas de evaluación a elementos mayores, 278 documentos técnicos, 54 visitas a elementos menores, 21 cargues de información a la plataforma SIIPEV, 6.201 evaluaciones a solicitudes de elementos de publicidad exterior visual.</t>
  </si>
  <si>
    <t>La Secretaría Distrital de Ambiente, en el marco del cumplimiento de la meta de la concentración promedio ponderado de ciudad de material particulado PM10. Los avances se detallan a continuación: Para dar cumplimiento al reporte de la meta de reducción, se calcula el promedio ponderado (móvil anual), con un 40% representado por las estaciones de la zona suroccidente (Carvajal-Sevillana, Kennedy y Puente Aranda) y el 60% restante, correspondiente al resto de estaciones (antiguas) de la ciudad. En consecuencia, se calcula el valor para cada estación con el promedio de los valores diarios, posteriormente se calcula el promedio mensual para cada estación del periodo de corte.  Este promedio busca establecer el cambio en las concentraciones teniendo en cuenta la periodicidad de los ciclos anuales de calidad del aire en la ciudad. Vigencia 2022 a 30 de Septiembre: 37,7 microgramos por metro cubico. Cabe aclarar que estos indicadores corresponden a la medición de variables físicas como la concentración de material particulado en el aire, que dependen de factores como la meteorología, las emisiones de las fuentes locales, la actividad económica y la dinámica de la ciudad, los eventos regionales y globales de contaminación, entre otros, por lo que no es posible garantizar que su tendencia siempre sea decreciente, pese a que la meta se proyectó como una reducción a lo largo del cuatrienio, considerando que las gestiones encaminadas al mejoramiento de la calidad del aire establecidas en el marco del Plan Aire, tienen un impacto en la reducción de las emisiones locales.</t>
  </si>
  <si>
    <t>La Secretaría Distrital de Ambiente, en el marco del cumplimiento de la meta de la concentración promedio ponderado de ciudad de material particulado PM 2.5. Los avances se detallan a continuación:Para dar cumplimiento al reporte de la meta de reducción, se calcula el promedio ponderado (móvil anual), con un 40% representado por las estaciones de la zona suroccidente (Carvajal-Sevillana, Kennedy y Puente Aranda) y el 60% restante, correspondiente al resto de estaciones (antiguas) de la ciudad. En consecuencia, se calcula el valor para cada estación con el promedio de los valores diarios, posteriormente se calcula el promedio mensual para cada estación del periodo de corte.  Este promedio busca establecer el cambio en las concentraciones teniendo en cuenta la periodicidad de los ciclos anuales de calidad del aire en la ciudad. Vigencia 2022 a 30 de Septiembre: 19,4 microgramos por metro cubico. Cabe aclarar que estos indicadores corresponden a la medición de variables físicas como la concentración de material particulado en el aire, que dependen de factores como la meteorología, las emisiones de las fuentes locales, la actividad económica y la dinámica de la ciudad, los eventos regionales y globales de contaminación, entre otros, por lo que no es posible garantizar que su tendencia siempre sea decreciente, pese a que la meta se proyectó como una reducción a lo largo del cuatrienio, considerando que las gestiones encaminadas al mejoramiento de la calidad del aire establecidas en el marco del Plan Aire, tienen un impacto en la reducción de las emisiones locales.</t>
  </si>
  <si>
    <t>En el tercer trimestre de la vigencia 2022, se realizaron mantenimientos preventivos y correctivos, validación y análisis de datos y publicación de informes periódicos, cumpliendo así durante la vigencia un cumplimiento del 100%, reportando los mantenimientos preventivos y correctivos que se realizaron durante el mes, se realizó la validación diaria de los datos de concentraciones de contaminantes criterio y parámetros meteorológicos que monitorea la RMCAB. Para el mes de septiembre se completó el análisis de datos y la redacción del informe mensual de julio de 2022, completando su elaboración y posterior publicación.</t>
  </si>
  <si>
    <t>La Secretaría Distrital de Ambiente del 01 de enero al 30 de septiembre de 2022 atendió el 100% de los conceptos técnicos generados por afectación al recurso aire, auditiva y visual en el Distrito Capital y que recomiendan actuaciones administrativas sancionatorias, como se relaciona a continuación: No de Conceptos Técnicos que recomiendan actuaciones administrativas sancionatorias: 1326
No de Conceptos Técnicos acogidos jurídicamente mediante acto administrativo: 1196.</t>
  </si>
  <si>
    <t>Para el tercer trimetre de la vigencia, Se integró la justificación de los nuevos métodos de seguimiento y control de conteo de número de partículas y de medición de concentración de PM en el DTS de etiquetado ambiental, se realizó el reporte del estado de los proyectos de cooperación relacionados a fuentes móviles. En el proyecto de sensores remotos se retomaron las comunicaciones con ICCT y se revisaron alternativas para llevar a cabo el piloto en la ciudad, el proyecto de patrulla caza-infractores tuvo avances en el diseño visual de la patrulla realizada por el grupo de comunicaciones. En el proyecto de etiquetado ambiental vehicular se realizó y entregó el DTS y proyecto de resolución en su versión final</t>
  </si>
  <si>
    <t>7, LOGROS CORTE A  SEPTIEMBRE AÑO 2022</t>
  </si>
  <si>
    <t xml:space="preserve">TOTAL </t>
  </si>
  <si>
    <t>Formato: Programación, Actualización y Seguimiento del Plan de Acción - Componente de  Territorialización</t>
  </si>
  <si>
    <t>PERIODO:</t>
  </si>
  <si>
    <t>CORTE A SEPTIEMBBRE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</si>
</sst>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0_-;\-&quot;$&quot;* #,##0_-;_-&quot;$&quot;* &quot;-&quot;_-;_-@_-"/>
    <numFmt numFmtId="165" formatCode="_-&quot;$&quot;* #,##0.00_-;\-&quot;$&quot;* #,##0.00_-;_-&quot;$&quot;* &quot;-&quot;??_-;_-@_-"/>
    <numFmt numFmtId="166" formatCode="_(&quot;$&quot;* #,##0.00_);_(&quot;$&quot;* \(#,##0.00\);_(&quot;$&quot;* &quot;-&quot;??_);_(@_)"/>
    <numFmt numFmtId="167" formatCode="_(* #,##0.00_);_(* \(#,##0.00\);_(* &quot;-&quot;??_);_(@_)"/>
    <numFmt numFmtId="168" formatCode="_(&quot;$&quot;\ * #,##0.00_);_(&quot;$&quot;\ * \(#,##0.00\);_(&quot;$&quot;\ * &quot;-&quot;??_);_(@_)"/>
    <numFmt numFmtId="169" formatCode="_-* #,##0.00\ &quot;€&quot;_-;\-* #,##0.00\ &quot;€&quot;_-;_-* &quot;-&quot;??\ &quot;€&quot;_-;_-@_-"/>
    <numFmt numFmtId="170" formatCode="_-* #,##0.00\ _€_-;\-* #,##0.00\ _€_-;_-* &quot;-&quot;??\ _€_-;_-@_-"/>
    <numFmt numFmtId="171" formatCode="_ &quot;$&quot;\ * #,##0.00_ ;_ &quot;$&quot;\ * \-#,##0.00_ ;_ &quot;$&quot;\ * &quot;-&quot;??_ ;_ @_ "/>
    <numFmt numFmtId="172" formatCode="_ * #,##0.00_ ;_ * \-#,##0.00_ ;_ * &quot;-&quot;??_ ;_ @_ "/>
    <numFmt numFmtId="173" formatCode="0.0%"/>
    <numFmt numFmtId="174" formatCode="_ * #,##0_ ;_ * \-#,##0_ ;_ * &quot;-&quot;??_ ;_ @_ "/>
    <numFmt numFmtId="175" formatCode="_-* #,##0\ _€_-;\-* #,##0\ _€_-;_-* &quot;-&quot;??\ _€_-;_-@_-"/>
    <numFmt numFmtId="176" formatCode="_(&quot;$&quot;\ * #,##0_);_(&quot;$&quot;\ * \(#,##0\);_(&quot;$&quot;\ * &quot;-&quot;_);_(@_)"/>
    <numFmt numFmtId="177" formatCode="#,##0.00\ \€"/>
    <numFmt numFmtId="178" formatCode="#,##0.00_ ;\-#,##0.00\ "/>
    <numFmt numFmtId="179" formatCode="#,##0.000"/>
    <numFmt numFmtId="180" formatCode="&quot;$&quot;\ #,##0"/>
    <numFmt numFmtId="181" formatCode="&quot;$&quot;\ #,##0.00"/>
    <numFmt numFmtId="182" formatCode="#,##0.0"/>
    <numFmt numFmtId="183" formatCode="0.0"/>
    <numFmt numFmtId="184" formatCode="#,##0.0_ ;\-#,##0.0\ "/>
    <numFmt numFmtId="185" formatCode="_-* #,##0_-;\-* #,##0_-;_-* &quot;-&quot;??_-;_-@_-"/>
    <numFmt numFmtId="186" formatCode="_-&quot;$&quot;\ * #,##0.0_-;\-&quot;$&quot;\ * #,##0.0_-;_-&quot;$&quot;\ * &quot;-&quot;_-;_-@_-"/>
    <numFmt numFmtId="187" formatCode="_-[$$-240A]\ * #,##0_-;\-[$$-240A]\ * #,##0_-;_-[$$-240A]\ * &quot;-&quot;??_-;_-@_-"/>
    <numFmt numFmtId="188" formatCode="#,##0_ ;[Red]\-#,##0\ "/>
  </numFmts>
  <fonts count="87" x14ac:knownFonts="1">
    <font>
      <sz val="11"/>
      <color theme="1"/>
      <name val="Calibri"/>
      <family val="2"/>
      <scheme val="minor"/>
    </font>
    <font>
      <sz val="11"/>
      <color indexed="8"/>
      <name val="Calibri"/>
      <family val="2"/>
    </font>
    <font>
      <b/>
      <sz val="10"/>
      <name val="Arial"/>
      <family val="2"/>
    </font>
    <font>
      <sz val="11"/>
      <name val="Arial"/>
      <family val="2"/>
    </font>
    <font>
      <sz val="10"/>
      <name val="Arial"/>
      <family val="2"/>
    </font>
    <font>
      <sz val="12"/>
      <name val="Arial"/>
      <family val="2"/>
    </font>
    <font>
      <sz val="11"/>
      <color indexed="8"/>
      <name val="Calibri"/>
      <family val="2"/>
    </font>
    <font>
      <sz val="12"/>
      <color indexed="8"/>
      <name val="Arial"/>
      <family val="2"/>
    </font>
    <font>
      <sz val="8"/>
      <name val="Calibri"/>
      <family val="2"/>
    </font>
    <font>
      <sz val="10"/>
      <name val="Arial"/>
      <family val="2"/>
    </font>
    <font>
      <b/>
      <sz val="14"/>
      <name val="Arial"/>
      <family val="2"/>
    </font>
    <font>
      <b/>
      <sz val="12"/>
      <name val="Arial"/>
      <family val="2"/>
    </font>
    <font>
      <sz val="8"/>
      <name val="Arial"/>
      <family val="2"/>
    </font>
    <font>
      <sz val="10"/>
      <name val="Arial"/>
      <family val="2"/>
    </font>
    <font>
      <b/>
      <sz val="9"/>
      <color indexed="81"/>
      <name val="Tahoma"/>
      <family val="2"/>
    </font>
    <font>
      <b/>
      <sz val="8"/>
      <name val="Arial"/>
      <family val="2"/>
    </font>
    <font>
      <sz val="9"/>
      <name val="Arial"/>
      <family val="2"/>
    </font>
    <font>
      <sz val="9"/>
      <color indexed="8"/>
      <name val="Arial"/>
      <family val="2"/>
    </font>
    <font>
      <b/>
      <sz val="9"/>
      <name val="Arial"/>
      <family val="2"/>
    </font>
    <font>
      <sz val="11"/>
      <color theme="1"/>
      <name val="Calibri"/>
      <family val="2"/>
      <scheme val="minor"/>
    </font>
    <font>
      <sz val="10"/>
      <color theme="1"/>
      <name val="Calibri"/>
      <family val="2"/>
      <scheme val="minor"/>
    </font>
    <font>
      <b/>
      <sz val="11"/>
      <color theme="1"/>
      <name val="Calibri"/>
      <family val="2"/>
      <scheme val="minor"/>
    </font>
    <font>
      <sz val="14"/>
      <name val="Tahoma"/>
      <family val="2"/>
    </font>
    <font>
      <b/>
      <sz val="14"/>
      <name val="Tahoma"/>
      <family val="2"/>
    </font>
    <font>
      <sz val="10"/>
      <color indexed="8"/>
      <name val="Arial"/>
      <family val="2"/>
    </font>
    <font>
      <sz val="11"/>
      <name val="Calibri"/>
      <family val="2"/>
      <scheme val="minor"/>
    </font>
    <font>
      <sz val="20"/>
      <color theme="1"/>
      <name val="Calibri"/>
      <family val="2"/>
      <scheme val="minor"/>
    </font>
    <font>
      <b/>
      <sz val="20"/>
      <name val="Arial"/>
      <family val="2"/>
    </font>
    <font>
      <sz val="24"/>
      <color theme="1"/>
      <name val="Calibri"/>
      <family val="2"/>
      <scheme val="minor"/>
    </font>
    <font>
      <b/>
      <sz val="14"/>
      <color indexed="8"/>
      <name val="Arial"/>
      <family val="2"/>
    </font>
    <font>
      <b/>
      <sz val="20"/>
      <color rgb="FFFF0000"/>
      <name val="Arial"/>
      <family val="2"/>
    </font>
    <font>
      <sz val="9"/>
      <color indexed="81"/>
      <name val="Tahoma"/>
      <family val="2"/>
    </font>
    <font>
      <sz val="10"/>
      <color theme="1"/>
      <name val="Arial"/>
      <family val="2"/>
    </font>
    <font>
      <sz val="10"/>
      <color rgb="FF000000"/>
      <name val="Arial"/>
      <family val="2"/>
    </font>
    <font>
      <sz val="11"/>
      <color theme="0"/>
      <name val="Calibri"/>
      <family val="2"/>
      <scheme val="minor"/>
    </font>
    <font>
      <sz val="10"/>
      <color theme="1"/>
      <name val="Verdana"/>
      <family val="2"/>
    </font>
    <font>
      <b/>
      <sz val="10"/>
      <color theme="1"/>
      <name val="Verdana"/>
      <family val="2"/>
    </font>
    <font>
      <sz val="12"/>
      <color theme="0"/>
      <name val="Calibri"/>
      <family val="2"/>
      <scheme val="minor"/>
    </font>
    <font>
      <sz val="12"/>
      <color theme="1"/>
      <name val="Calibri"/>
      <family val="2"/>
      <scheme val="minor"/>
    </font>
    <font>
      <sz val="12"/>
      <color indexed="8"/>
      <name val="Calibri"/>
      <family val="2"/>
    </font>
    <font>
      <sz val="11"/>
      <color rgb="FF9C6500"/>
      <name val="Calibri"/>
      <family val="2"/>
      <scheme val="minor"/>
    </font>
    <font>
      <sz val="11"/>
      <color rgb="FF000000"/>
      <name val="Calibri"/>
      <family val="2"/>
    </font>
    <font>
      <sz val="11"/>
      <name val="Calibri"/>
      <family val="2"/>
    </font>
    <font>
      <b/>
      <sz val="11"/>
      <name val="Calibri"/>
      <family val="2"/>
    </font>
    <font>
      <sz val="10.5"/>
      <color theme="1"/>
      <name val="Times New Roman"/>
      <family val="1"/>
    </font>
    <font>
      <sz val="11"/>
      <color indexed="8"/>
      <name val="Calibri"/>
      <family val="2"/>
      <scheme val="minor"/>
    </font>
    <font>
      <sz val="11"/>
      <color rgb="FF000000"/>
      <name val="Calibri"/>
      <family val="2"/>
      <scheme val="minor"/>
    </font>
    <font>
      <b/>
      <u/>
      <sz val="10"/>
      <name val="Arial"/>
      <family val="2"/>
    </font>
    <font>
      <b/>
      <sz val="24"/>
      <color theme="1"/>
      <name val="Arial"/>
      <family val="2"/>
    </font>
    <font>
      <b/>
      <sz val="14"/>
      <color theme="1"/>
      <name val="Arial"/>
      <family val="2"/>
    </font>
    <font>
      <b/>
      <sz val="20"/>
      <color theme="1"/>
      <name val="Arial"/>
      <family val="2"/>
    </font>
    <font>
      <b/>
      <sz val="11"/>
      <color theme="1"/>
      <name val="Arial"/>
      <family val="2"/>
    </font>
    <font>
      <b/>
      <sz val="16"/>
      <color theme="1"/>
      <name val="Arial"/>
      <family val="2"/>
    </font>
    <font>
      <b/>
      <sz val="10"/>
      <color theme="1"/>
      <name val="Arial"/>
      <family val="2"/>
    </font>
    <font>
      <sz val="12"/>
      <name val="Calibri"/>
      <family val="2"/>
      <scheme val="minor"/>
    </font>
    <font>
      <b/>
      <sz val="12"/>
      <color indexed="8"/>
      <name val="Arial"/>
      <family val="2"/>
    </font>
    <font>
      <b/>
      <sz val="8"/>
      <color rgb="FF000000"/>
      <name val="Times New Roman"/>
      <family val="1"/>
    </font>
    <font>
      <sz val="14"/>
      <name val="Arial"/>
      <family val="2"/>
    </font>
    <font>
      <sz val="14"/>
      <color indexed="8"/>
      <name val="Arial"/>
      <family val="2"/>
    </font>
    <font>
      <b/>
      <sz val="14"/>
      <color theme="1"/>
      <name val="Calibri"/>
      <family val="2"/>
      <scheme val="minor"/>
    </font>
    <font>
      <b/>
      <sz val="16"/>
      <name val="Arial"/>
      <family val="2"/>
    </font>
    <font>
      <sz val="14"/>
      <color theme="1"/>
      <name val="Arial"/>
      <family val="2"/>
    </font>
    <font>
      <b/>
      <sz val="18"/>
      <color theme="1"/>
      <name val="Calibri"/>
      <family val="2"/>
      <scheme val="minor"/>
    </font>
    <font>
      <sz val="18"/>
      <color theme="1"/>
      <name val="Calibri"/>
      <family val="2"/>
      <scheme val="minor"/>
    </font>
    <font>
      <b/>
      <sz val="30"/>
      <name val="Arial"/>
      <family val="2"/>
    </font>
    <font>
      <b/>
      <sz val="30"/>
      <name val="Calibri"/>
      <family val="2"/>
      <scheme val="minor"/>
    </font>
    <font>
      <b/>
      <sz val="10"/>
      <color theme="1"/>
      <name val="Calibri"/>
      <family val="2"/>
      <scheme val="minor"/>
    </font>
    <font>
      <sz val="20"/>
      <name val="Arial"/>
      <family val="2"/>
    </font>
    <font>
      <i/>
      <sz val="10"/>
      <name val="Arial"/>
      <family val="2"/>
    </font>
    <font>
      <sz val="8"/>
      <name val="Calibri"/>
      <family val="2"/>
      <scheme val="minor"/>
    </font>
    <font>
      <u/>
      <sz val="11"/>
      <color theme="10"/>
      <name val="Calibri"/>
      <family val="2"/>
      <scheme val="minor"/>
    </font>
    <font>
      <u/>
      <sz val="10"/>
      <name val="Arial"/>
      <family val="2"/>
    </font>
    <font>
      <b/>
      <sz val="12"/>
      <color theme="1"/>
      <name val="Arial"/>
      <family val="2"/>
    </font>
    <font>
      <sz val="10"/>
      <name val="Calibri"/>
      <family val="2"/>
      <scheme val="minor"/>
    </font>
    <font>
      <b/>
      <sz val="9"/>
      <color rgb="FF000000"/>
      <name val="Tahoma"/>
      <family val="2"/>
    </font>
    <font>
      <sz val="9"/>
      <color rgb="FF000000"/>
      <name val="Tahoma"/>
      <family val="2"/>
    </font>
    <font>
      <sz val="11"/>
      <color theme="1"/>
      <name val="Arial Narrow"/>
      <family val="2"/>
    </font>
    <font>
      <b/>
      <sz val="10"/>
      <name val="Calibri"/>
      <family val="2"/>
      <scheme val="minor"/>
    </font>
    <font>
      <sz val="7"/>
      <name val="Arial"/>
      <family val="2"/>
    </font>
    <font>
      <sz val="12"/>
      <color theme="1"/>
      <name val="Arial"/>
      <family val="2"/>
    </font>
    <font>
      <sz val="11"/>
      <color indexed="8"/>
      <name val="Arial"/>
      <family val="2"/>
    </font>
    <font>
      <sz val="11"/>
      <color theme="1"/>
      <name val="Arial"/>
      <family val="2"/>
    </font>
    <font>
      <b/>
      <sz val="11"/>
      <name val="Arial"/>
      <family val="2"/>
    </font>
    <font>
      <sz val="18"/>
      <name val="Arial"/>
      <family val="2"/>
    </font>
    <font>
      <sz val="16"/>
      <name val="Arial"/>
      <family val="2"/>
    </font>
    <font>
      <b/>
      <sz val="22"/>
      <color theme="1"/>
      <name val="Calibri"/>
      <family val="2"/>
      <scheme val="minor"/>
    </font>
    <font>
      <b/>
      <sz val="22"/>
      <name val="Arial"/>
      <family val="2"/>
    </font>
  </fonts>
  <fills count="2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4"/>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indexed="43"/>
      </patternFill>
    </fill>
    <fill>
      <patternFill patternType="solid">
        <fgColor indexed="44"/>
      </patternFill>
    </fill>
    <fill>
      <patternFill patternType="solid">
        <fgColor indexed="57"/>
      </patternFill>
    </fill>
    <fill>
      <patternFill patternType="solid">
        <fgColor indexed="43"/>
        <bgColor indexed="64"/>
      </patternFill>
    </fill>
    <fill>
      <patternFill patternType="solid">
        <fgColor indexed="27"/>
        <bgColor indexed="64"/>
      </patternFill>
    </fill>
    <fill>
      <patternFill patternType="solid">
        <fgColor rgb="FF808080"/>
        <bgColor indexed="64"/>
      </patternFill>
    </fill>
    <fill>
      <patternFill patternType="solid">
        <fgColor rgb="FFFFFFFF"/>
        <bgColor indexed="64"/>
      </patternFill>
    </fill>
    <fill>
      <patternFill patternType="solid">
        <fgColor rgb="FF92D050"/>
        <bgColor indexed="64"/>
      </patternFill>
    </fill>
    <fill>
      <patternFill patternType="solid">
        <fgColor rgb="FF00B050"/>
        <bgColor indexed="64"/>
      </patternFill>
    </fill>
    <fill>
      <patternFill patternType="solid">
        <fgColor rgb="FF92D050"/>
        <bgColor rgb="FF3AEE3A"/>
      </patternFill>
    </fill>
    <fill>
      <patternFill patternType="solid">
        <fgColor theme="6" tint="0.59999389629810485"/>
        <bgColor indexed="64"/>
      </patternFill>
    </fill>
    <fill>
      <patternFill patternType="solid">
        <fgColor theme="6" tint="-0.249977111117893"/>
        <bgColor indexed="64"/>
      </patternFill>
    </fill>
    <fill>
      <patternFill patternType="solid">
        <fgColor theme="6" tint="0.79998168889431442"/>
        <bgColor indexed="64"/>
      </patternFill>
    </fill>
    <fill>
      <patternFill patternType="solid">
        <fgColor rgb="FFFF0000"/>
        <bgColor indexed="64"/>
      </patternFill>
    </fill>
    <fill>
      <patternFill patternType="solid">
        <fgColor theme="0" tint="-0.249977111117893"/>
        <bgColor indexed="64"/>
      </patternFill>
    </fill>
    <fill>
      <patternFill patternType="solid">
        <fgColor rgb="FF669900"/>
        <bgColor indexed="64"/>
      </patternFill>
    </fill>
  </fills>
  <borders count="4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medium">
        <color auto="1"/>
      </right>
      <top style="medium">
        <color auto="1"/>
      </top>
      <bottom/>
      <diagonal/>
    </border>
    <border>
      <left/>
      <right style="medium">
        <color auto="1"/>
      </right>
      <top/>
      <bottom style="medium">
        <color auto="1"/>
      </bottom>
      <diagonal/>
    </border>
    <border>
      <left style="medium">
        <color auto="1"/>
      </left>
      <right/>
      <top style="medium">
        <color auto="1"/>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thin">
        <color auto="1"/>
      </top>
      <bottom/>
      <diagonal/>
    </border>
    <border>
      <left style="thin">
        <color auto="1"/>
      </left>
      <right/>
      <top/>
      <bottom/>
      <diagonal/>
    </border>
    <border>
      <left style="medium">
        <color indexed="64"/>
      </left>
      <right style="thin">
        <color indexed="64"/>
      </right>
      <top style="thin">
        <color indexed="64"/>
      </top>
      <bottom style="medium">
        <color indexed="64"/>
      </bottom>
      <diagonal/>
    </border>
    <border>
      <left style="thin">
        <color auto="1"/>
      </left>
      <right/>
      <top style="thin">
        <color auto="1"/>
      </top>
      <bottom style="medium">
        <color auto="1"/>
      </bottom>
      <diagonal/>
    </border>
    <border>
      <left/>
      <right style="medium">
        <color auto="1"/>
      </right>
      <top style="thin">
        <color auto="1"/>
      </top>
      <bottom style="thin">
        <color auto="1"/>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medium">
        <color indexed="64"/>
      </left>
      <right style="thin">
        <color auto="1"/>
      </right>
      <top style="medium">
        <color indexed="64"/>
      </top>
      <bottom style="medium">
        <color indexed="64"/>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indexed="64"/>
      </left>
      <right style="medium">
        <color indexed="64"/>
      </right>
      <top style="medium">
        <color indexed="64"/>
      </top>
      <bottom style="medium">
        <color indexed="64"/>
      </bottom>
      <diagonal/>
    </border>
    <border>
      <left style="medium">
        <color auto="1"/>
      </left>
      <right style="medium">
        <color auto="1"/>
      </right>
      <top/>
      <bottom style="medium">
        <color indexed="64"/>
      </bottom>
      <diagonal/>
    </border>
  </borders>
  <cellStyleXfs count="2869">
    <xf numFmtId="0" fontId="0" fillId="0" borderId="0"/>
    <xf numFmtId="172" fontId="9" fillId="0" borderId="0" applyFont="0" applyFill="0" applyBorder="0" applyAlignment="0" applyProtection="0"/>
    <xf numFmtId="172" fontId="4" fillId="0" borderId="0" applyFont="0" applyFill="0" applyBorder="0" applyAlignment="0" applyProtection="0"/>
    <xf numFmtId="170" fontId="6" fillId="0" borderId="0" applyFont="0" applyFill="0" applyBorder="0" applyAlignment="0" applyProtection="0"/>
    <xf numFmtId="167" fontId="19" fillId="0" borderId="0" applyFont="0" applyFill="0" applyBorder="0" applyAlignment="0" applyProtection="0"/>
    <xf numFmtId="170" fontId="1" fillId="0" borderId="0" applyFont="0" applyFill="0" applyBorder="0" applyAlignment="0" applyProtection="0"/>
    <xf numFmtId="167" fontId="1" fillId="0" borderId="0" applyFont="0" applyFill="0" applyBorder="0" applyAlignment="0" applyProtection="0"/>
    <xf numFmtId="169" fontId="4" fillId="0" borderId="0" applyFont="0" applyFill="0" applyBorder="0" applyAlignment="0" applyProtection="0"/>
    <xf numFmtId="170" fontId="1" fillId="0" borderId="0" applyFont="0" applyFill="0" applyBorder="0" applyAlignment="0" applyProtection="0"/>
    <xf numFmtId="169" fontId="6" fillId="0" borderId="0" applyFont="0" applyFill="0" applyBorder="0" applyAlignment="0" applyProtection="0"/>
    <xf numFmtId="169" fontId="1" fillId="0" borderId="0" applyFont="0" applyFill="0" applyBorder="0" applyAlignment="0" applyProtection="0"/>
    <xf numFmtId="171" fontId="4" fillId="0" borderId="0" applyFont="0" applyFill="0" applyBorder="0" applyAlignment="0" applyProtection="0"/>
    <xf numFmtId="174" fontId="4" fillId="0" borderId="0" applyFont="0" applyFill="0" applyBorder="0" applyAlignment="0" applyProtection="0"/>
    <xf numFmtId="168" fontId="19" fillId="0" borderId="0" applyFont="0" applyFill="0" applyBorder="0" applyAlignment="0" applyProtection="0"/>
    <xf numFmtId="166" fontId="13" fillId="0" borderId="0" applyFont="0" applyFill="0" applyBorder="0" applyAlignment="0" applyProtection="0"/>
    <xf numFmtId="169" fontId="1" fillId="0" borderId="0" applyFont="0" applyFill="0" applyBorder="0" applyAlignment="0" applyProtection="0"/>
    <xf numFmtId="0" fontId="4" fillId="0" borderId="0"/>
    <xf numFmtId="0" fontId="4" fillId="0" borderId="0"/>
    <xf numFmtId="0" fontId="13" fillId="0" borderId="0"/>
    <xf numFmtId="0" fontId="4" fillId="0" borderId="0"/>
    <xf numFmtId="0" fontId="4" fillId="0" borderId="0"/>
    <xf numFmtId="9" fontId="6"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9" fillId="0" borderId="0" applyFont="0" applyFill="0" applyBorder="0" applyAlignment="0" applyProtection="0"/>
    <xf numFmtId="0" fontId="4" fillId="0" borderId="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49" fontId="35" fillId="0" borderId="0" applyFill="0" applyBorder="0" applyProtection="0">
      <alignment horizontal="left" vertical="center"/>
    </xf>
    <xf numFmtId="0" fontId="36" fillId="0" borderId="0" applyNumberFormat="0" applyFill="0" applyBorder="0" applyProtection="0">
      <alignment horizontal="left" vertical="center"/>
    </xf>
    <xf numFmtId="0" fontId="36" fillId="0" borderId="0" applyNumberFormat="0" applyFill="0" applyBorder="0" applyProtection="0">
      <alignment horizontal="right" vertical="center"/>
    </xf>
    <xf numFmtId="0" fontId="35" fillId="0" borderId="1" applyNumberFormat="0" applyFill="0" applyProtection="0">
      <alignment horizontal="left" vertical="center"/>
    </xf>
    <xf numFmtId="0" fontId="35" fillId="0" borderId="1" applyNumberFormat="0" applyFill="0" applyProtection="0">
      <alignment horizontal="left" vertical="center"/>
    </xf>
    <xf numFmtId="0" fontId="35" fillId="0" borderId="1" applyNumberFormat="0" applyFill="0" applyProtection="0">
      <alignment horizontal="left" vertical="center"/>
    </xf>
    <xf numFmtId="0" fontId="35" fillId="0" borderId="1" applyNumberFormat="0" applyFill="0" applyProtection="0">
      <alignment horizontal="left" vertical="center"/>
    </xf>
    <xf numFmtId="0" fontId="35" fillId="0" borderId="1" applyNumberFormat="0" applyFill="0" applyProtection="0">
      <alignment horizontal="left" vertical="center"/>
    </xf>
    <xf numFmtId="0" fontId="35" fillId="0" borderId="1" applyNumberFormat="0" applyFill="0" applyProtection="0">
      <alignment horizontal="left" vertical="center"/>
    </xf>
    <xf numFmtId="0" fontId="35" fillId="0" borderId="1" applyNumberFormat="0" applyFill="0" applyProtection="0">
      <alignment horizontal="left" vertical="center"/>
    </xf>
    <xf numFmtId="0" fontId="35" fillId="0" borderId="1" applyNumberFormat="0" applyFill="0" applyProtection="0">
      <alignment horizontal="left" vertical="center"/>
    </xf>
    <xf numFmtId="0" fontId="24" fillId="0" borderId="1" applyNumberFormat="0" applyFont="0" applyFill="0" applyAlignment="0" applyProtection="0"/>
    <xf numFmtId="0" fontId="24" fillId="0" borderId="1" applyNumberFormat="0" applyFont="0" applyFill="0" applyAlignment="0" applyProtection="0"/>
    <xf numFmtId="0" fontId="24" fillId="0" borderId="1" applyNumberFormat="0" applyFont="0" applyFill="0" applyAlignment="0" applyProtection="0"/>
    <xf numFmtId="0" fontId="24" fillId="0" borderId="1" applyNumberFormat="0" applyFont="0" applyFill="0" applyAlignment="0" applyProtection="0"/>
    <xf numFmtId="0" fontId="24" fillId="0" borderId="1" applyNumberFormat="0" applyFont="0" applyFill="0" applyAlignment="0" applyProtection="0"/>
    <xf numFmtId="0" fontId="24" fillId="0" borderId="1" applyNumberFormat="0" applyFont="0" applyFill="0" applyAlignment="0" applyProtection="0"/>
    <xf numFmtId="0" fontId="24" fillId="0" borderId="1" applyNumberFormat="0" applyFont="0" applyFill="0" applyAlignment="0" applyProtection="0"/>
    <xf numFmtId="0" fontId="24" fillId="0" borderId="1" applyNumberFormat="0" applyFont="0" applyFill="0" applyAlignment="0" applyProtection="0"/>
    <xf numFmtId="0" fontId="24" fillId="0" borderId="1" applyNumberFormat="0" applyFont="0" applyFill="0" applyAlignment="0" applyProtection="0"/>
    <xf numFmtId="0" fontId="24" fillId="0" borderId="1" applyNumberFormat="0" applyFont="0" applyFill="0" applyAlignment="0" applyProtection="0"/>
    <xf numFmtId="0" fontId="24" fillId="0" borderId="1" applyNumberFormat="0" applyFont="0" applyFill="0" applyAlignment="0" applyProtection="0"/>
    <xf numFmtId="0" fontId="24" fillId="0" borderId="1" applyNumberFormat="0" applyFont="0" applyFill="0" applyAlignment="0" applyProtection="0"/>
    <xf numFmtId="0" fontId="24" fillId="0" borderId="1" applyNumberFormat="0" applyFont="0" applyFill="0" applyAlignment="0" applyProtection="0"/>
    <xf numFmtId="0" fontId="24" fillId="0" borderId="1" applyNumberFormat="0" applyFont="0" applyFill="0" applyAlignment="0" applyProtection="0"/>
    <xf numFmtId="0" fontId="24" fillId="0" borderId="1" applyNumberFormat="0" applyFont="0" applyFill="0" applyAlignment="0" applyProtection="0"/>
    <xf numFmtId="0" fontId="24" fillId="0" borderId="1" applyNumberFormat="0" applyFont="0" applyFill="0" applyAlignment="0" applyProtection="0"/>
    <xf numFmtId="0" fontId="24" fillId="0" borderId="1" applyNumberFormat="0" applyFont="0" applyFill="0" applyAlignment="0" applyProtection="0"/>
    <xf numFmtId="0" fontId="24" fillId="0" borderId="1" applyNumberFormat="0" applyFont="0" applyFill="0" applyAlignment="0" applyProtection="0"/>
    <xf numFmtId="0" fontId="24" fillId="0" borderId="1" applyNumberFormat="0" applyFont="0" applyFill="0" applyAlignment="0" applyProtection="0"/>
    <xf numFmtId="0" fontId="24" fillId="0" borderId="1" applyNumberFormat="0" applyFont="0" applyFill="0" applyAlignment="0" applyProtection="0"/>
    <xf numFmtId="0" fontId="24" fillId="0" borderId="1" applyNumberFormat="0" applyFont="0" applyFill="0" applyAlignment="0" applyProtection="0"/>
    <xf numFmtId="0" fontId="24" fillId="0" borderId="1" applyNumberFormat="0" applyFont="0" applyFill="0" applyAlignment="0" applyProtection="0"/>
    <xf numFmtId="0" fontId="24" fillId="0" borderId="1" applyNumberFormat="0" applyFont="0" applyFill="0" applyAlignment="0" applyProtection="0"/>
    <xf numFmtId="0" fontId="24" fillId="0" borderId="1" applyNumberFormat="0" applyFont="0" applyFill="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168" fontId="24" fillId="0" borderId="0" applyFont="0" applyFill="0" applyBorder="0" applyAlignment="0" applyProtection="0"/>
    <xf numFmtId="176" fontId="24" fillId="0" borderId="0" applyFont="0" applyFill="0" applyBorder="0" applyAlignment="0" applyProtection="0"/>
    <xf numFmtId="176" fontId="24" fillId="0" borderId="0" applyFont="0" applyFill="0" applyBorder="0" applyAlignment="0" applyProtection="0"/>
    <xf numFmtId="176" fontId="24" fillId="0" borderId="0" applyFont="0" applyFill="0" applyBorder="0" applyAlignment="0" applyProtection="0"/>
    <xf numFmtId="176" fontId="24" fillId="0" borderId="0" applyFont="0" applyFill="0" applyBorder="0" applyAlignment="0" applyProtection="0"/>
    <xf numFmtId="176" fontId="24" fillId="0" borderId="0" applyFont="0" applyFill="0" applyBorder="0" applyAlignment="0" applyProtection="0"/>
    <xf numFmtId="176" fontId="24" fillId="0" borderId="0" applyFont="0" applyFill="0" applyBorder="0" applyAlignment="0" applyProtection="0"/>
    <xf numFmtId="176" fontId="24" fillId="0" borderId="0" applyFont="0" applyFill="0" applyBorder="0" applyAlignment="0" applyProtection="0"/>
    <xf numFmtId="176" fontId="24" fillId="0" borderId="0" applyFont="0" applyFill="0" applyBorder="0" applyAlignment="0" applyProtection="0"/>
    <xf numFmtId="176" fontId="24" fillId="0" borderId="0" applyFont="0" applyFill="0" applyBorder="0" applyAlignment="0" applyProtection="0"/>
    <xf numFmtId="176" fontId="24" fillId="0" borderId="0" applyFont="0" applyFill="0" applyBorder="0" applyAlignment="0" applyProtection="0"/>
    <xf numFmtId="176" fontId="24" fillId="0" borderId="0" applyFont="0" applyFill="0" applyBorder="0" applyAlignment="0" applyProtection="0"/>
    <xf numFmtId="176" fontId="24" fillId="0" borderId="0" applyFont="0" applyFill="0" applyBorder="0" applyAlignment="0" applyProtection="0"/>
    <xf numFmtId="176" fontId="24" fillId="0" borderId="0" applyFont="0" applyFill="0" applyBorder="0" applyAlignment="0" applyProtection="0"/>
    <xf numFmtId="176" fontId="24" fillId="0" borderId="0" applyFont="0" applyFill="0" applyBorder="0" applyAlignment="0" applyProtection="0"/>
    <xf numFmtId="176" fontId="24" fillId="0" borderId="0" applyFont="0" applyFill="0" applyBorder="0" applyAlignment="0" applyProtection="0"/>
    <xf numFmtId="176" fontId="24" fillId="0" borderId="0" applyFont="0" applyFill="0" applyBorder="0" applyAlignment="0" applyProtection="0"/>
    <xf numFmtId="176" fontId="24" fillId="0" borderId="0" applyFont="0" applyFill="0" applyBorder="0" applyAlignment="0" applyProtection="0"/>
    <xf numFmtId="176" fontId="24" fillId="0" borderId="0" applyFont="0" applyFill="0" applyBorder="0" applyAlignment="0" applyProtection="0"/>
    <xf numFmtId="176" fontId="24" fillId="0" borderId="0" applyFont="0" applyFill="0" applyBorder="0" applyAlignment="0" applyProtection="0"/>
    <xf numFmtId="176" fontId="24" fillId="0" borderId="0" applyFont="0" applyFill="0" applyBorder="0" applyAlignment="0" applyProtection="0"/>
    <xf numFmtId="176" fontId="24" fillId="0" borderId="0" applyFont="0" applyFill="0" applyBorder="0" applyAlignment="0" applyProtection="0"/>
    <xf numFmtId="176" fontId="24" fillId="0" borderId="0" applyFont="0" applyFill="0" applyBorder="0" applyAlignment="0" applyProtection="0"/>
    <xf numFmtId="176" fontId="24" fillId="0" borderId="0" applyFont="0" applyFill="0" applyBorder="0" applyAlignment="0" applyProtection="0"/>
    <xf numFmtId="176" fontId="24" fillId="0" borderId="0" applyFont="0" applyFill="0" applyBorder="0" applyAlignment="0" applyProtection="0"/>
    <xf numFmtId="176" fontId="24" fillId="0" borderId="0" applyFont="0" applyFill="0" applyBorder="0" applyAlignment="0" applyProtection="0"/>
    <xf numFmtId="176" fontId="24" fillId="0" borderId="0" applyFont="0" applyFill="0" applyBorder="0" applyAlignment="0" applyProtection="0"/>
    <xf numFmtId="176" fontId="24" fillId="0" borderId="0" applyFont="0" applyFill="0" applyBorder="0" applyAlignment="0" applyProtection="0"/>
    <xf numFmtId="176" fontId="24" fillId="0" borderId="0" applyFont="0" applyFill="0" applyBorder="0" applyAlignment="0" applyProtection="0"/>
    <xf numFmtId="176" fontId="24" fillId="0" borderId="0" applyFont="0" applyFill="0" applyBorder="0" applyAlignment="0" applyProtection="0"/>
    <xf numFmtId="176" fontId="24" fillId="0" borderId="0" applyFont="0" applyFill="0" applyBorder="0" applyAlignment="0" applyProtection="0"/>
    <xf numFmtId="176" fontId="24" fillId="0" borderId="0" applyFont="0" applyFill="0" applyBorder="0" applyAlignment="0" applyProtection="0"/>
    <xf numFmtId="176"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4" fontId="35" fillId="0" borderId="0" applyFill="0" applyBorder="0" applyProtection="0">
      <alignment horizontal="right" vertical="center"/>
    </xf>
    <xf numFmtId="22" fontId="35" fillId="0" borderId="0" applyFill="0" applyBorder="0" applyProtection="0">
      <alignment horizontal="right" vertical="center"/>
    </xf>
    <xf numFmtId="4" fontId="35" fillId="0" borderId="0" applyFill="0" applyBorder="0" applyProtection="0">
      <alignment horizontal="right" vertical="center"/>
    </xf>
    <xf numFmtId="4" fontId="35" fillId="0" borderId="1" applyFill="0" applyProtection="0">
      <alignment horizontal="right" vertical="center"/>
    </xf>
    <xf numFmtId="4" fontId="35" fillId="0" borderId="1" applyFill="0" applyProtection="0">
      <alignment horizontal="right" vertical="center"/>
    </xf>
    <xf numFmtId="4" fontId="35" fillId="0" borderId="1" applyFill="0" applyProtection="0">
      <alignment horizontal="right" vertical="center"/>
    </xf>
    <xf numFmtId="4" fontId="35" fillId="0" borderId="1" applyFill="0" applyProtection="0">
      <alignment horizontal="right" vertical="center"/>
    </xf>
    <xf numFmtId="4" fontId="35" fillId="0" borderId="1" applyFill="0" applyProtection="0">
      <alignment horizontal="right" vertical="center"/>
    </xf>
    <xf numFmtId="4" fontId="35" fillId="0" borderId="1" applyFill="0" applyProtection="0">
      <alignment horizontal="right" vertical="center"/>
    </xf>
    <xf numFmtId="4" fontId="35" fillId="0" borderId="1" applyFill="0" applyProtection="0">
      <alignment horizontal="right" vertical="center"/>
    </xf>
    <xf numFmtId="4" fontId="35" fillId="0" borderId="1" applyFill="0" applyProtection="0">
      <alignment horizontal="right" vertical="center"/>
    </xf>
    <xf numFmtId="0" fontId="34" fillId="5" borderId="0" applyNumberFormat="0" applyBorder="0" applyAlignment="0" applyProtection="0"/>
    <xf numFmtId="0" fontId="37" fillId="5" borderId="0" applyNumberFormat="0" applyBorder="0" applyAlignment="0" applyProtection="0"/>
    <xf numFmtId="177" fontId="35" fillId="0" borderId="0" applyFill="0" applyBorder="0" applyProtection="0">
      <alignment horizontal="right" vertical="center"/>
    </xf>
    <xf numFmtId="177" fontId="35" fillId="0" borderId="1" applyFill="0" applyProtection="0">
      <alignment horizontal="right" vertical="center"/>
    </xf>
    <xf numFmtId="177" fontId="35" fillId="0" borderId="1" applyFill="0" applyProtection="0">
      <alignment horizontal="right" vertical="center"/>
    </xf>
    <xf numFmtId="177" fontId="35" fillId="0" borderId="1" applyFill="0" applyProtection="0">
      <alignment horizontal="right" vertical="center"/>
    </xf>
    <xf numFmtId="177" fontId="35" fillId="0" borderId="1" applyFill="0" applyProtection="0">
      <alignment horizontal="right" vertical="center"/>
    </xf>
    <xf numFmtId="177" fontId="35" fillId="0" borderId="1" applyFill="0" applyProtection="0">
      <alignment horizontal="right" vertical="center"/>
    </xf>
    <xf numFmtId="177" fontId="35" fillId="0" borderId="1" applyFill="0" applyProtection="0">
      <alignment horizontal="right" vertical="center"/>
    </xf>
    <xf numFmtId="177" fontId="35" fillId="0" borderId="1" applyFill="0" applyProtection="0">
      <alignment horizontal="right" vertical="center"/>
    </xf>
    <xf numFmtId="177" fontId="35" fillId="0" borderId="1" applyFill="0" applyProtection="0">
      <alignment horizontal="right" vertical="center"/>
    </xf>
    <xf numFmtId="0" fontId="36" fillId="2" borderId="0" applyNumberFormat="0" applyBorder="0" applyProtection="0">
      <alignment horizontal="center" vertical="center"/>
    </xf>
    <xf numFmtId="0" fontId="36" fillId="12" borderId="0" applyNumberFormat="0" applyBorder="0" applyProtection="0">
      <alignment horizontal="center" vertical="center" wrapText="1"/>
    </xf>
    <xf numFmtId="0" fontId="35" fillId="12" borderId="0" applyNumberFormat="0" applyBorder="0" applyProtection="0">
      <alignment horizontal="right" vertical="center" wrapText="1"/>
    </xf>
    <xf numFmtId="0" fontId="36" fillId="13" borderId="0" applyNumberFormat="0" applyBorder="0" applyProtection="0">
      <alignment horizontal="center" vertical="center"/>
    </xf>
    <xf numFmtId="0" fontId="36" fillId="14" borderId="0" applyNumberFormat="0" applyBorder="0" applyProtection="0">
      <alignment horizontal="center" vertical="center" wrapText="1"/>
    </xf>
    <xf numFmtId="0" fontId="36" fillId="14" borderId="0" applyNumberFormat="0" applyBorder="0" applyProtection="0">
      <alignment horizontal="right" vertical="center" wrapText="1"/>
    </xf>
    <xf numFmtId="0" fontId="36" fillId="14" borderId="1" applyNumberFormat="0" applyProtection="0">
      <alignment horizontal="left" vertical="center" wrapText="1"/>
    </xf>
    <xf numFmtId="0" fontId="36" fillId="14" borderId="1" applyNumberFormat="0" applyProtection="0">
      <alignment horizontal="left" vertical="center" wrapText="1"/>
    </xf>
    <xf numFmtId="0" fontId="36" fillId="14" borderId="1" applyNumberFormat="0" applyProtection="0">
      <alignment horizontal="left" vertical="center" wrapText="1"/>
    </xf>
    <xf numFmtId="0" fontId="36" fillId="14" borderId="1" applyNumberFormat="0" applyProtection="0">
      <alignment horizontal="left" vertical="center" wrapText="1"/>
    </xf>
    <xf numFmtId="0" fontId="36" fillId="14" borderId="1" applyNumberFormat="0" applyProtection="0">
      <alignment horizontal="left" vertical="center" wrapText="1"/>
    </xf>
    <xf numFmtId="0" fontId="36" fillId="14" borderId="1" applyNumberFormat="0" applyProtection="0">
      <alignment horizontal="left" vertical="center" wrapText="1"/>
    </xf>
    <xf numFmtId="0" fontId="36" fillId="14" borderId="1" applyNumberFormat="0" applyProtection="0">
      <alignment horizontal="left" vertical="center" wrapText="1"/>
    </xf>
    <xf numFmtId="0" fontId="36" fillId="14" borderId="1" applyNumberFormat="0" applyProtection="0">
      <alignment horizontal="left" vertical="center" wrapText="1"/>
    </xf>
    <xf numFmtId="43" fontId="1" fillId="0" borderId="0" applyFont="0" applyFill="0" applyBorder="0" applyAlignment="0" applyProtection="0"/>
    <xf numFmtId="43" fontId="1" fillId="0" borderId="0" applyFont="0" applyFill="0" applyBorder="0" applyAlignment="0" applyProtection="0"/>
    <xf numFmtId="170"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2" fontId="19"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5" fontId="38" fillId="0" borderId="0" applyFont="0" applyFill="0" applyBorder="0" applyAlignment="0" applyProtection="0"/>
    <xf numFmtId="169"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9"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44" fontId="4" fillId="0" borderId="0" applyFont="0" applyFill="0" applyBorder="0" applyAlignment="0" applyProtection="0"/>
    <xf numFmtId="168"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5" fontId="19" fillId="0" borderId="0" applyFont="0" applyFill="0" applyBorder="0" applyAlignment="0" applyProtection="0"/>
    <xf numFmtId="168" fontId="4" fillId="0" borderId="0" applyFont="0" applyFill="0" applyBorder="0" applyAlignment="0" applyProtection="0"/>
    <xf numFmtId="165" fontId="19"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5" fontId="38"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44"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5" fontId="39" fillId="0" borderId="0" applyFont="0" applyFill="0" applyBorder="0" applyAlignment="0" applyProtection="0"/>
    <xf numFmtId="165" fontId="39" fillId="0" borderId="0" applyFont="0" applyFill="0" applyBorder="0" applyAlignment="0" applyProtection="0"/>
    <xf numFmtId="165" fontId="39" fillId="0" borderId="0" applyFont="0" applyFill="0" applyBorder="0" applyAlignment="0" applyProtection="0"/>
    <xf numFmtId="165" fontId="39" fillId="0" borderId="0" applyFont="0" applyFill="0" applyBorder="0" applyAlignment="0" applyProtection="0"/>
    <xf numFmtId="165" fontId="39" fillId="0" borderId="0" applyFont="0" applyFill="0" applyBorder="0" applyAlignment="0" applyProtection="0"/>
    <xf numFmtId="165" fontId="39" fillId="0" borderId="0" applyFont="0" applyFill="0" applyBorder="0" applyAlignment="0" applyProtection="0"/>
    <xf numFmtId="165" fontId="39" fillId="0" borderId="0" applyFont="0" applyFill="0" applyBorder="0" applyAlignment="0" applyProtection="0"/>
    <xf numFmtId="165" fontId="39" fillId="0" borderId="0" applyFont="0" applyFill="0" applyBorder="0" applyAlignment="0" applyProtection="0"/>
    <xf numFmtId="165" fontId="39" fillId="0" borderId="0" applyFont="0" applyFill="0" applyBorder="0" applyAlignment="0" applyProtection="0"/>
    <xf numFmtId="165" fontId="39"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0" fontId="40" fillId="9" borderId="0" applyNumberFormat="0" applyBorder="0" applyAlignment="0" applyProtection="0"/>
    <xf numFmtId="0" fontId="19" fillId="0" borderId="0"/>
    <xf numFmtId="0" fontId="4" fillId="0" borderId="0"/>
    <xf numFmtId="0" fontId="38" fillId="0" borderId="0"/>
    <xf numFmtId="0" fontId="32" fillId="0" borderId="0"/>
    <xf numFmtId="0" fontId="32" fillId="0" borderId="0"/>
    <xf numFmtId="0" fontId="38" fillId="0" borderId="0"/>
    <xf numFmtId="0" fontId="4" fillId="0" borderId="0"/>
    <xf numFmtId="0" fontId="19" fillId="0" borderId="0"/>
    <xf numFmtId="0" fontId="4" fillId="0" borderId="0"/>
    <xf numFmtId="0" fontId="38" fillId="0" borderId="0"/>
    <xf numFmtId="0" fontId="38" fillId="0" borderId="0"/>
    <xf numFmtId="0" fontId="33" fillId="0" borderId="0"/>
    <xf numFmtId="0" fontId="41" fillId="0" borderId="0"/>
    <xf numFmtId="0" fontId="4" fillId="0" borderId="0"/>
    <xf numFmtId="3" fontId="35" fillId="0" borderId="0" applyFill="0" applyBorder="0" applyProtection="0">
      <alignment horizontal="right" vertical="center"/>
    </xf>
    <xf numFmtId="3" fontId="35" fillId="0" borderId="1" applyFill="0" applyProtection="0">
      <alignment horizontal="right" vertical="center"/>
    </xf>
    <xf numFmtId="3" fontId="35" fillId="0" borderId="1" applyFill="0" applyProtection="0">
      <alignment horizontal="right" vertical="center"/>
    </xf>
    <xf numFmtId="3" fontId="35" fillId="0" borderId="1" applyFill="0" applyProtection="0">
      <alignment horizontal="right" vertical="center"/>
    </xf>
    <xf numFmtId="3" fontId="35" fillId="0" borderId="1" applyFill="0" applyProtection="0">
      <alignment horizontal="right" vertical="center"/>
    </xf>
    <xf numFmtId="3" fontId="35" fillId="0" borderId="1" applyFill="0" applyProtection="0">
      <alignment horizontal="right" vertical="center"/>
    </xf>
    <xf numFmtId="3" fontId="35" fillId="0" borderId="1" applyFill="0" applyProtection="0">
      <alignment horizontal="right" vertical="center"/>
    </xf>
    <xf numFmtId="3" fontId="35" fillId="0" borderId="1" applyFill="0" applyProtection="0">
      <alignment horizontal="right" vertical="center"/>
    </xf>
    <xf numFmtId="3" fontId="35" fillId="0" borderId="1" applyFill="0" applyProtection="0">
      <alignment horizontal="right" vertical="center"/>
    </xf>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2" fontId="19" fillId="0" borderId="0" applyFont="0" applyFill="0" applyBorder="0" applyAlignment="0" applyProtection="0"/>
    <xf numFmtId="0" fontId="33" fillId="0" borderId="0"/>
    <xf numFmtId="0" fontId="70" fillId="0" borderId="0" applyNumberFormat="0" applyFill="0" applyBorder="0" applyAlignment="0" applyProtection="0"/>
    <xf numFmtId="164" fontId="19" fillId="0" borderId="0" applyFont="0" applyFill="0" applyBorder="0" applyAlignment="0" applyProtection="0"/>
  </cellStyleXfs>
  <cellXfs count="677">
    <xf numFmtId="0" fontId="0" fillId="0" borderId="0" xfId="0"/>
    <xf numFmtId="0" fontId="7" fillId="0" borderId="0" xfId="0" applyFont="1"/>
    <xf numFmtId="0" fontId="0" fillId="3" borderId="0" xfId="0" applyFill="1"/>
    <xf numFmtId="0" fontId="0" fillId="0" borderId="0" xfId="0" applyAlignment="1">
      <alignment horizontal="center" vertical="center"/>
    </xf>
    <xf numFmtId="0" fontId="4" fillId="0" borderId="0" xfId="0" applyFont="1"/>
    <xf numFmtId="0" fontId="5" fillId="0" borderId="0" xfId="0" applyFont="1" applyAlignment="1">
      <alignment horizontal="center"/>
    </xf>
    <xf numFmtId="0" fontId="4" fillId="0" borderId="0" xfId="16" applyAlignment="1">
      <alignment vertical="center"/>
    </xf>
    <xf numFmtId="10" fontId="4" fillId="0" borderId="0" xfId="16" applyNumberFormat="1" applyAlignment="1">
      <alignment vertical="center"/>
    </xf>
    <xf numFmtId="0" fontId="4" fillId="2" borderId="0" xfId="16" applyFill="1" applyAlignment="1">
      <alignment vertical="center"/>
    </xf>
    <xf numFmtId="10" fontId="4" fillId="2" borderId="0" xfId="16" applyNumberFormat="1" applyFill="1" applyAlignment="1">
      <alignment vertical="center"/>
    </xf>
    <xf numFmtId="0" fontId="0" fillId="0" borderId="0" xfId="0" applyAlignment="1">
      <alignment horizontal="center"/>
    </xf>
    <xf numFmtId="0" fontId="4" fillId="2" borderId="0" xfId="16" applyFill="1" applyAlignment="1">
      <alignment horizontal="left" vertical="center"/>
    </xf>
    <xf numFmtId="0" fontId="4" fillId="0" borderId="0" xfId="16" applyAlignment="1">
      <alignment horizontal="left" vertical="center"/>
    </xf>
    <xf numFmtId="0" fontId="12" fillId="0" borderId="0" xfId="0" applyFont="1"/>
    <xf numFmtId="0" fontId="26" fillId="0" borderId="0" xfId="0" applyFont="1"/>
    <xf numFmtId="0" fontId="28" fillId="0" borderId="0" xfId="0" applyFont="1"/>
    <xf numFmtId="0" fontId="4" fillId="3" borderId="0" xfId="0" applyFont="1" applyFill="1"/>
    <xf numFmtId="0" fontId="12" fillId="3" borderId="0" xfId="0" applyFont="1" applyFill="1"/>
    <xf numFmtId="0" fontId="5" fillId="3" borderId="0" xfId="0" applyFont="1" applyFill="1" applyAlignment="1">
      <alignment horizontal="center"/>
    </xf>
    <xf numFmtId="175" fontId="0" fillId="3" borderId="0" xfId="0" applyNumberFormat="1" applyFill="1" applyAlignment="1">
      <alignment horizontal="center"/>
    </xf>
    <xf numFmtId="0" fontId="42" fillId="15" borderId="0" xfId="0" applyFont="1" applyFill="1"/>
    <xf numFmtId="4" fontId="42" fillId="15" borderId="0" xfId="0" applyNumberFormat="1" applyFont="1" applyFill="1"/>
    <xf numFmtId="0" fontId="43" fillId="15" borderId="0" xfId="0" applyFont="1" applyFill="1"/>
    <xf numFmtId="0" fontId="22" fillId="15" borderId="0" xfId="0" applyFont="1" applyFill="1" applyProtection="1">
      <protection locked="0"/>
    </xf>
    <xf numFmtId="0" fontId="23" fillId="15" borderId="0" xfId="0" applyFont="1" applyFill="1" applyAlignment="1" applyProtection="1">
      <alignment horizontal="center"/>
      <protection locked="0"/>
    </xf>
    <xf numFmtId="0" fontId="42" fillId="0" borderId="0" xfId="0" applyFont="1"/>
    <xf numFmtId="4" fontId="42" fillId="0" borderId="0" xfId="0" applyNumberFormat="1" applyFont="1"/>
    <xf numFmtId="178" fontId="5" fillId="0" borderId="0" xfId="0" applyNumberFormat="1" applyFont="1" applyAlignment="1">
      <alignment horizontal="center"/>
    </xf>
    <xf numFmtId="10" fontId="3" fillId="2" borderId="0" xfId="16" applyNumberFormat="1" applyFont="1" applyFill="1" applyAlignment="1">
      <alignment vertical="center"/>
    </xf>
    <xf numFmtId="180" fontId="21" fillId="0" borderId="0" xfId="0" applyNumberFormat="1" applyFont="1" applyAlignment="1">
      <alignment horizontal="center" vertical="center"/>
    </xf>
    <xf numFmtId="180" fontId="0" fillId="0" borderId="0" xfId="0" applyNumberFormat="1"/>
    <xf numFmtId="0" fontId="7" fillId="0" borderId="0" xfId="0" applyFont="1" applyAlignment="1">
      <alignment vertical="center"/>
    </xf>
    <xf numFmtId="4" fontId="4" fillId="0" borderId="1" xfId="0" applyNumberFormat="1" applyFont="1" applyBorder="1" applyAlignment="1">
      <alignment horizontal="center" vertical="center" wrapText="1"/>
    </xf>
    <xf numFmtId="0" fontId="10" fillId="0" borderId="0" xfId="0" applyFont="1" applyAlignment="1">
      <alignment horizontal="left" vertical="center" wrapText="1"/>
    </xf>
    <xf numFmtId="0" fontId="10" fillId="0" borderId="18" xfId="0" applyFont="1" applyBorder="1" applyAlignment="1">
      <alignment horizontal="left" vertical="center" wrapText="1"/>
    </xf>
    <xf numFmtId="0" fontId="42" fillId="15" borderId="0" xfId="0" applyFont="1" applyFill="1" applyAlignment="1">
      <alignment horizontal="center"/>
    </xf>
    <xf numFmtId="0" fontId="22" fillId="15" borderId="0" xfId="0" applyFont="1" applyFill="1" applyAlignment="1" applyProtection="1">
      <alignment horizontal="center"/>
      <protection locked="0"/>
    </xf>
    <xf numFmtId="0" fontId="53" fillId="18" borderId="1" xfId="2866" applyFont="1" applyFill="1" applyBorder="1" applyAlignment="1">
      <alignment horizontal="center" vertical="center" wrapText="1"/>
    </xf>
    <xf numFmtId="0" fontId="0" fillId="0" borderId="1" xfId="0" applyBorder="1"/>
    <xf numFmtId="0" fontId="0" fillId="0" borderId="18" xfId="0" applyBorder="1"/>
    <xf numFmtId="0" fontId="0" fillId="0" borderId="19" xfId="0" applyBorder="1"/>
    <xf numFmtId="0" fontId="51" fillId="16" borderId="1" xfId="0" applyFont="1" applyFill="1" applyBorder="1" applyAlignment="1">
      <alignment horizontal="center" vertical="center" wrapText="1"/>
    </xf>
    <xf numFmtId="42" fontId="5" fillId="0" borderId="0" xfId="2865" applyFont="1" applyFill="1" applyAlignment="1">
      <alignment horizontal="center"/>
    </xf>
    <xf numFmtId="0" fontId="42" fillId="15" borderId="0" xfId="0" applyFont="1" applyFill="1" applyAlignment="1">
      <alignment horizontal="center" vertical="center"/>
    </xf>
    <xf numFmtId="180" fontId="5" fillId="0" borderId="0" xfId="0" applyNumberFormat="1" applyFont="1" applyAlignment="1">
      <alignment horizontal="center"/>
    </xf>
    <xf numFmtId="0" fontId="27" fillId="3" borderId="12" xfId="0" applyFont="1" applyFill="1" applyBorder="1" applyAlignment="1">
      <alignment horizontal="center" vertical="top" wrapText="1"/>
    </xf>
    <xf numFmtId="0" fontId="4" fillId="2" borderId="0" xfId="16" applyFill="1" applyAlignment="1">
      <alignment vertical="top"/>
    </xf>
    <xf numFmtId="0" fontId="4" fillId="0" borderId="1" xfId="0" applyFont="1" applyBorder="1" applyAlignment="1">
      <alignment horizontal="center" vertical="center"/>
    </xf>
    <xf numFmtId="181" fontId="17" fillId="0" borderId="1" xfId="9" applyNumberFormat="1" applyFont="1" applyFill="1" applyBorder="1" applyAlignment="1">
      <alignment horizontal="center" vertical="center"/>
    </xf>
    <xf numFmtId="181" fontId="0" fillId="0" borderId="0" xfId="0" applyNumberFormat="1" applyAlignment="1">
      <alignment horizontal="center" vertical="center"/>
    </xf>
    <xf numFmtId="181" fontId="21" fillId="0" borderId="0" xfId="0" applyNumberFormat="1" applyFont="1" applyAlignment="1">
      <alignment horizontal="center" vertical="center"/>
    </xf>
    <xf numFmtId="181" fontId="0" fillId="0" borderId="0" xfId="0" applyNumberFormat="1"/>
    <xf numFmtId="181" fontId="21" fillId="0" borderId="0" xfId="0" applyNumberFormat="1" applyFont="1"/>
    <xf numFmtId="4" fontId="42" fillId="15" borderId="0" xfId="0" applyNumberFormat="1" applyFont="1" applyFill="1" applyAlignment="1">
      <alignment horizontal="center"/>
    </xf>
    <xf numFmtId="0" fontId="42" fillId="0" borderId="0" xfId="0" applyFont="1" applyAlignment="1">
      <alignment horizontal="center"/>
    </xf>
    <xf numFmtId="4" fontId="42" fillId="0" borderId="0" xfId="0" applyNumberFormat="1" applyFont="1" applyAlignment="1">
      <alignment horizontal="center"/>
    </xf>
    <xf numFmtId="180" fontId="0" fillId="0" borderId="0" xfId="0" applyNumberFormat="1" applyAlignment="1">
      <alignment horizontal="center" vertical="center"/>
    </xf>
    <xf numFmtId="3" fontId="56" fillId="0" borderId="0" xfId="0" applyNumberFormat="1" applyFont="1"/>
    <xf numFmtId="181" fontId="5" fillId="0" borderId="0" xfId="0" applyNumberFormat="1" applyFont="1" applyAlignment="1">
      <alignment horizontal="center"/>
    </xf>
    <xf numFmtId="3" fontId="4" fillId="0" borderId="1" xfId="0" applyNumberFormat="1" applyFont="1" applyBorder="1" applyAlignment="1">
      <alignment horizontal="center" vertical="center" wrapText="1"/>
    </xf>
    <xf numFmtId="43" fontId="5" fillId="0" borderId="0" xfId="0" applyNumberFormat="1" applyFont="1" applyAlignment="1">
      <alignment horizontal="center"/>
    </xf>
    <xf numFmtId="181" fontId="17" fillId="0" borderId="0" xfId="9" applyNumberFormat="1" applyFont="1" applyFill="1" applyBorder="1" applyAlignment="1">
      <alignment horizontal="center" vertical="center"/>
    </xf>
    <xf numFmtId="170" fontId="5" fillId="0" borderId="0" xfId="3" applyFont="1" applyFill="1" applyBorder="1" applyAlignment="1">
      <alignment horizontal="center"/>
    </xf>
    <xf numFmtId="181" fontId="17" fillId="0" borderId="0" xfId="0" applyNumberFormat="1" applyFont="1" applyAlignment="1">
      <alignment horizontal="center" vertical="center"/>
    </xf>
    <xf numFmtId="8" fontId="5" fillId="0" borderId="0" xfId="0" applyNumberFormat="1" applyFont="1" applyAlignment="1">
      <alignment horizontal="center"/>
    </xf>
    <xf numFmtId="43" fontId="0" fillId="0" borderId="0" xfId="0" applyNumberFormat="1" applyAlignment="1">
      <alignment horizontal="center"/>
    </xf>
    <xf numFmtId="181" fontId="58" fillId="0" borderId="1" xfId="9" applyNumberFormat="1" applyFont="1" applyFill="1" applyBorder="1" applyAlignment="1">
      <alignment horizontal="center" vertical="center"/>
    </xf>
    <xf numFmtId="180" fontId="58" fillId="0" borderId="1" xfId="9" applyNumberFormat="1" applyFont="1" applyFill="1" applyBorder="1" applyAlignment="1">
      <alignment horizontal="center" vertical="center"/>
    </xf>
    <xf numFmtId="0" fontId="7" fillId="0" borderId="0" xfId="0" applyFont="1" applyAlignment="1">
      <alignment horizontal="center" vertical="center" wrapText="1"/>
    </xf>
    <xf numFmtId="0" fontId="7" fillId="0" borderId="0" xfId="0" applyFont="1" applyAlignment="1">
      <alignment horizontal="center" vertical="center"/>
    </xf>
    <xf numFmtId="0" fontId="61" fillId="0" borderId="0" xfId="0" applyFont="1" applyAlignment="1">
      <alignment horizontal="center" vertical="top" wrapText="1"/>
    </xf>
    <xf numFmtId="0" fontId="7" fillId="0" borderId="0" xfId="0" applyFont="1" applyAlignment="1">
      <alignment horizontal="left" vertical="top" wrapText="1"/>
    </xf>
    <xf numFmtId="0" fontId="44" fillId="0" borderId="0" xfId="0" applyFont="1" applyAlignment="1">
      <alignment horizontal="center" vertical="center"/>
    </xf>
    <xf numFmtId="175" fontId="7" fillId="0" borderId="0" xfId="3" applyNumberFormat="1" applyFont="1" applyFill="1" applyBorder="1" applyAlignment="1">
      <alignment horizontal="center" vertical="center"/>
    </xf>
    <xf numFmtId="2" fontId="7" fillId="0" borderId="0" xfId="0" applyNumberFormat="1" applyFont="1" applyAlignment="1">
      <alignment horizontal="center" vertical="center"/>
    </xf>
    <xf numFmtId="0" fontId="58" fillId="0" borderId="0" xfId="0" applyFont="1" applyAlignment="1">
      <alignment horizontal="center" vertical="center"/>
    </xf>
    <xf numFmtId="0" fontId="54" fillId="0" borderId="0" xfId="0" applyFont="1" applyAlignment="1">
      <alignment vertical="top" wrapText="1"/>
    </xf>
    <xf numFmtId="0" fontId="25" fillId="0" borderId="0" xfId="0" applyFont="1" applyAlignment="1">
      <alignment horizontal="center" vertical="center" wrapText="1"/>
    </xf>
    <xf numFmtId="0" fontId="45" fillId="0" borderId="0" xfId="0" applyFont="1" applyAlignment="1">
      <alignment horizontal="left" vertical="top" wrapText="1"/>
    </xf>
    <xf numFmtId="0" fontId="45" fillId="0" borderId="0" xfId="0" applyFont="1" applyAlignment="1">
      <alignment horizontal="center" vertical="center" wrapText="1"/>
    </xf>
    <xf numFmtId="182" fontId="57" fillId="0" borderId="0" xfId="0" applyNumberFormat="1" applyFont="1" applyAlignment="1">
      <alignment horizontal="center" vertical="center" wrapText="1"/>
    </xf>
    <xf numFmtId="2" fontId="55" fillId="0" borderId="0" xfId="0" applyNumberFormat="1" applyFont="1" applyAlignment="1">
      <alignment horizontal="center" vertical="center"/>
    </xf>
    <xf numFmtId="9" fontId="59" fillId="0" borderId="0" xfId="21" applyFont="1" applyFill="1" applyBorder="1" applyAlignment="1">
      <alignment horizontal="center" vertical="center"/>
    </xf>
    <xf numFmtId="10" fontId="59" fillId="0" borderId="0" xfId="21" applyNumberFormat="1" applyFont="1" applyFill="1" applyBorder="1" applyAlignment="1">
      <alignment horizontal="center" vertical="center" wrapText="1"/>
    </xf>
    <xf numFmtId="10" fontId="62" fillId="0" borderId="0" xfId="21" applyNumberFormat="1" applyFont="1" applyFill="1" applyBorder="1" applyAlignment="1">
      <alignment horizontal="center" vertical="center" wrapText="1"/>
    </xf>
    <xf numFmtId="42" fontId="57" fillId="0" borderId="1" xfId="2865" applyFont="1" applyFill="1" applyBorder="1" applyAlignment="1">
      <alignment horizontal="center" vertical="center" wrapText="1"/>
    </xf>
    <xf numFmtId="182" fontId="57" fillId="0" borderId="1" xfId="10" applyNumberFormat="1" applyFont="1" applyFill="1" applyBorder="1" applyAlignment="1">
      <alignment horizontal="center" vertical="center" wrapText="1"/>
    </xf>
    <xf numFmtId="180" fontId="57" fillId="0" borderId="1" xfId="9" applyNumberFormat="1" applyFont="1" applyFill="1" applyBorder="1" applyAlignment="1">
      <alignment horizontal="center" vertical="center"/>
    </xf>
    <xf numFmtId="180" fontId="57" fillId="0" borderId="1" xfId="2865" applyNumberFormat="1" applyFont="1" applyFill="1" applyBorder="1" applyAlignment="1">
      <alignment horizontal="center" vertical="center" wrapText="1"/>
    </xf>
    <xf numFmtId="170" fontId="57" fillId="0" borderId="1" xfId="3" applyFont="1" applyFill="1" applyBorder="1" applyAlignment="1">
      <alignment horizontal="center" vertical="center"/>
    </xf>
    <xf numFmtId="1" fontId="57" fillId="0" borderId="1" xfId="2865" applyNumberFormat="1" applyFont="1" applyFill="1" applyBorder="1" applyAlignment="1">
      <alignment horizontal="center" vertical="center" wrapText="1"/>
    </xf>
    <xf numFmtId="3" fontId="4" fillId="0" borderId="1" xfId="24" applyNumberFormat="1" applyFont="1" applyFill="1" applyBorder="1" applyAlignment="1">
      <alignment horizontal="center" vertical="center"/>
    </xf>
    <xf numFmtId="9" fontId="4" fillId="0" borderId="1" xfId="24" applyFont="1" applyFill="1" applyBorder="1" applyAlignment="1">
      <alignment horizontal="center" vertical="center"/>
    </xf>
    <xf numFmtId="4" fontId="4" fillId="0" borderId="1" xfId="24" applyNumberFormat="1" applyFont="1" applyFill="1" applyBorder="1" applyAlignment="1">
      <alignment horizontal="center" vertical="center"/>
    </xf>
    <xf numFmtId="2" fontId="4" fillId="0" borderId="1" xfId="24" applyNumberFormat="1" applyFont="1" applyFill="1" applyBorder="1" applyAlignment="1">
      <alignment horizontal="center" vertical="center"/>
    </xf>
    <xf numFmtId="1" fontId="4" fillId="0" borderId="1" xfId="5" applyNumberFormat="1" applyFont="1" applyFill="1" applyBorder="1" applyAlignment="1">
      <alignment horizontal="center" vertical="center"/>
    </xf>
    <xf numFmtId="1" fontId="4" fillId="0" borderId="1" xfId="2865" applyNumberFormat="1" applyFont="1" applyFill="1" applyBorder="1" applyAlignment="1">
      <alignment horizontal="center" vertical="center" wrapText="1"/>
    </xf>
    <xf numFmtId="37" fontId="24" fillId="0" borderId="1" xfId="9" applyNumberFormat="1" applyFont="1" applyFill="1" applyBorder="1" applyAlignment="1">
      <alignment horizontal="center" vertical="center"/>
    </xf>
    <xf numFmtId="0" fontId="24" fillId="0" borderId="0" xfId="0" applyFont="1" applyAlignment="1">
      <alignment horizontal="center" vertical="center"/>
    </xf>
    <xf numFmtId="9" fontId="4" fillId="0" borderId="1" xfId="21" applyFont="1" applyFill="1" applyBorder="1" applyAlignment="1">
      <alignment horizontal="center" vertical="center" wrapText="1"/>
    </xf>
    <xf numFmtId="2" fontId="4" fillId="0" borderId="1" xfId="5" applyNumberFormat="1" applyFont="1" applyFill="1" applyBorder="1" applyAlignment="1">
      <alignment horizontal="center" vertical="center"/>
    </xf>
    <xf numFmtId="9" fontId="4" fillId="0" borderId="1" xfId="21" applyFont="1" applyFill="1" applyBorder="1" applyAlignment="1">
      <alignment horizontal="center" vertical="center"/>
    </xf>
    <xf numFmtId="183" fontId="4" fillId="0" borderId="1" xfId="21" applyNumberFormat="1" applyFont="1" applyFill="1" applyBorder="1" applyAlignment="1">
      <alignment horizontal="center" vertical="center" wrapText="1"/>
    </xf>
    <xf numFmtId="1" fontId="24" fillId="0" borderId="1" xfId="3" applyNumberFormat="1" applyFont="1" applyFill="1" applyBorder="1" applyAlignment="1">
      <alignment horizontal="center" vertical="center"/>
    </xf>
    <xf numFmtId="0" fontId="10" fillId="0" borderId="0" xfId="0" applyFont="1" applyAlignment="1">
      <alignment vertical="center" wrapText="1"/>
    </xf>
    <xf numFmtId="0" fontId="63" fillId="0" borderId="0" xfId="0" applyFont="1"/>
    <xf numFmtId="9" fontId="4" fillId="0" borderId="1" xfId="24" applyFont="1" applyFill="1" applyBorder="1" applyAlignment="1">
      <alignment horizontal="center" vertical="center" wrapText="1"/>
    </xf>
    <xf numFmtId="42" fontId="4" fillId="0" borderId="1" xfId="2865" applyFont="1" applyFill="1" applyBorder="1" applyAlignment="1">
      <alignment horizontal="center" vertical="center" wrapText="1"/>
    </xf>
    <xf numFmtId="42" fontId="24" fillId="0" borderId="1" xfId="2865" applyFont="1" applyFill="1" applyBorder="1" applyAlignment="1">
      <alignment horizontal="center" vertical="center"/>
    </xf>
    <xf numFmtId="0" fontId="20" fillId="0" borderId="0" xfId="0" applyFont="1" applyAlignment="1">
      <alignment horizontal="center" vertical="center"/>
    </xf>
    <xf numFmtId="180" fontId="24" fillId="0" borderId="1" xfId="9" applyNumberFormat="1" applyFont="1" applyFill="1" applyBorder="1" applyAlignment="1">
      <alignment horizontal="center" vertical="center"/>
    </xf>
    <xf numFmtId="180" fontId="4" fillId="0" borderId="1" xfId="9" applyNumberFormat="1" applyFont="1" applyFill="1" applyBorder="1" applyAlignment="1">
      <alignment horizontal="center" vertical="center"/>
    </xf>
    <xf numFmtId="180" fontId="4" fillId="0" borderId="1" xfId="2865" applyNumberFormat="1" applyFont="1" applyFill="1" applyBorder="1" applyAlignment="1">
      <alignment horizontal="center" vertical="center" wrapText="1"/>
    </xf>
    <xf numFmtId="180" fontId="20" fillId="0" borderId="0" xfId="0" applyNumberFormat="1" applyFont="1" applyAlignment="1">
      <alignment horizontal="center" vertical="center"/>
    </xf>
    <xf numFmtId="170" fontId="4" fillId="0" borderId="1" xfId="3" applyFont="1" applyFill="1" applyBorder="1" applyAlignment="1">
      <alignment horizontal="center" vertical="center"/>
    </xf>
    <xf numFmtId="181" fontId="24" fillId="0" borderId="1" xfId="9" applyNumberFormat="1" applyFont="1" applyFill="1" applyBorder="1" applyAlignment="1">
      <alignment horizontal="center" vertical="center"/>
    </xf>
    <xf numFmtId="180" fontId="66" fillId="0" borderId="0" xfId="0" applyNumberFormat="1" applyFont="1" applyAlignment="1">
      <alignment horizontal="center" vertical="center"/>
    </xf>
    <xf numFmtId="42" fontId="4" fillId="0" borderId="1" xfId="2865" applyFont="1" applyFill="1" applyBorder="1" applyAlignment="1">
      <alignment horizontal="center" vertical="center"/>
    </xf>
    <xf numFmtId="42" fontId="2" fillId="0" borderId="1" xfId="2865" applyFont="1" applyFill="1" applyBorder="1" applyAlignment="1">
      <alignment horizontal="center" vertical="center" wrapText="1"/>
    </xf>
    <xf numFmtId="42" fontId="32" fillId="0" borderId="1" xfId="2865" applyFont="1" applyFill="1" applyBorder="1" applyAlignment="1">
      <alignment horizontal="center" vertical="center" wrapText="1"/>
    </xf>
    <xf numFmtId="4" fontId="4" fillId="0" borderId="1" xfId="21" applyNumberFormat="1" applyFont="1" applyFill="1" applyBorder="1" applyAlignment="1">
      <alignment horizontal="center" vertical="center" wrapText="1"/>
    </xf>
    <xf numFmtId="4" fontId="4" fillId="0" borderId="1" xfId="2865" applyNumberFormat="1" applyFont="1" applyFill="1" applyBorder="1" applyAlignment="1">
      <alignment horizontal="center" vertical="center" wrapText="1"/>
    </xf>
    <xf numFmtId="9" fontId="32" fillId="0" borderId="1" xfId="21" applyFont="1" applyFill="1" applyBorder="1" applyAlignment="1">
      <alignment horizontal="center" vertical="center"/>
    </xf>
    <xf numFmtId="0" fontId="67" fillId="0" borderId="0" xfId="16" applyFont="1" applyAlignment="1">
      <alignment vertical="center"/>
    </xf>
    <xf numFmtId="9" fontId="4" fillId="16" borderId="1" xfId="24" applyFont="1" applyFill="1" applyBorder="1" applyAlignment="1" applyProtection="1">
      <alignment horizontal="left" vertical="center" wrapText="1"/>
      <protection locked="0"/>
    </xf>
    <xf numFmtId="42" fontId="4" fillId="17" borderId="1" xfId="2865" applyFont="1" applyFill="1" applyBorder="1" applyAlignment="1" applyProtection="1">
      <alignment horizontal="left" vertical="center" wrapText="1"/>
      <protection locked="0"/>
    </xf>
    <xf numFmtId="9" fontId="2" fillId="0" borderId="1" xfId="24" applyFont="1" applyFill="1" applyBorder="1" applyAlignment="1">
      <alignment horizontal="center" vertical="center"/>
    </xf>
    <xf numFmtId="42" fontId="2" fillId="0" borderId="1" xfId="2865" applyFont="1" applyFill="1" applyBorder="1" applyAlignment="1">
      <alignment horizontal="center" vertical="center"/>
    </xf>
    <xf numFmtId="4" fontId="4" fillId="16" borderId="1" xfId="0" applyNumberFormat="1" applyFont="1" applyFill="1" applyBorder="1" applyAlignment="1" applyProtection="1">
      <alignment horizontal="left" vertical="center" wrapText="1"/>
      <protection locked="0"/>
    </xf>
    <xf numFmtId="4" fontId="2" fillId="0" borderId="1" xfId="24" applyNumberFormat="1" applyFont="1" applyFill="1" applyBorder="1" applyAlignment="1">
      <alignment horizontal="center" vertical="center"/>
    </xf>
    <xf numFmtId="9" fontId="2" fillId="16" borderId="1" xfId="24" applyFont="1" applyFill="1" applyBorder="1" applyAlignment="1" applyProtection="1">
      <alignment horizontal="left" vertical="center" wrapText="1"/>
      <protection locked="0"/>
    </xf>
    <xf numFmtId="42" fontId="2" fillId="17" borderId="1" xfId="2865" applyFont="1" applyFill="1" applyBorder="1" applyAlignment="1" applyProtection="1">
      <alignment horizontal="left" vertical="center" wrapText="1"/>
      <protection locked="0"/>
    </xf>
    <xf numFmtId="180" fontId="0" fillId="0" borderId="0" xfId="0" applyNumberFormat="1" applyAlignment="1">
      <alignment horizontal="center"/>
    </xf>
    <xf numFmtId="184" fontId="4" fillId="0" borderId="1" xfId="3" applyNumberFormat="1" applyFont="1" applyFill="1" applyBorder="1" applyAlignment="1">
      <alignment horizontal="center" vertical="center"/>
    </xf>
    <xf numFmtId="9" fontId="58" fillId="0" borderId="1" xfId="21" applyFont="1" applyFill="1" applyBorder="1" applyAlignment="1">
      <alignment horizontal="center" vertical="center"/>
    </xf>
    <xf numFmtId="9" fontId="57" fillId="0" borderId="1" xfId="21" applyFont="1" applyFill="1" applyBorder="1" applyAlignment="1">
      <alignment horizontal="center" vertical="center" wrapText="1"/>
    </xf>
    <xf numFmtId="9" fontId="57" fillId="0" borderId="1" xfId="21" applyFont="1" applyFill="1" applyBorder="1" applyAlignment="1">
      <alignment horizontal="center" vertical="center"/>
    </xf>
    <xf numFmtId="42" fontId="5" fillId="3" borderId="0" xfId="0" applyNumberFormat="1" applyFont="1" applyFill="1" applyAlignment="1">
      <alignment horizontal="center"/>
    </xf>
    <xf numFmtId="0" fontId="4" fillId="0" borderId="1" xfId="0" applyFont="1" applyBorder="1" applyAlignment="1">
      <alignment horizontal="center" vertical="center" wrapText="1"/>
    </xf>
    <xf numFmtId="0" fontId="32" fillId="0" borderId="1" xfId="0" applyFont="1" applyBorder="1" applyAlignment="1">
      <alignment horizontal="center" vertical="center"/>
    </xf>
    <xf numFmtId="0" fontId="53" fillId="17" borderId="1" xfId="0" applyFont="1" applyFill="1" applyBorder="1" applyAlignment="1">
      <alignment horizontal="center" vertical="center"/>
    </xf>
    <xf numFmtId="185" fontId="53" fillId="18" borderId="1" xfId="5" applyNumberFormat="1" applyFont="1" applyFill="1" applyBorder="1" applyAlignment="1">
      <alignment horizontal="center" vertical="center" wrapText="1"/>
    </xf>
    <xf numFmtId="0" fontId="32" fillId="0" borderId="1" xfId="0" applyFont="1" applyBorder="1" applyAlignment="1">
      <alignment horizontal="center" vertical="center" wrapText="1"/>
    </xf>
    <xf numFmtId="164" fontId="32" fillId="0" borderId="1" xfId="2868" applyFont="1" applyBorder="1" applyAlignment="1">
      <alignment horizontal="center" vertical="center"/>
    </xf>
    <xf numFmtId="0" fontId="32" fillId="0" borderId="0" xfId="0" applyFont="1" applyAlignment="1">
      <alignment horizontal="center" vertical="center"/>
    </xf>
    <xf numFmtId="0" fontId="32" fillId="0" borderId="5" xfId="0" applyFont="1" applyBorder="1" applyAlignment="1">
      <alignment horizontal="center" vertical="center" wrapText="1"/>
    </xf>
    <xf numFmtId="9" fontId="32" fillId="0" borderId="1" xfId="24" applyFont="1" applyBorder="1" applyAlignment="1">
      <alignment horizontal="center" vertical="center"/>
    </xf>
    <xf numFmtId="0" fontId="20" fillId="0" borderId="1" xfId="0" applyFont="1" applyBorder="1" applyAlignment="1">
      <alignment horizontal="center" vertical="center" wrapText="1"/>
    </xf>
    <xf numFmtId="164" fontId="20" fillId="0" borderId="1" xfId="2868" applyFont="1" applyFill="1" applyBorder="1" applyAlignment="1">
      <alignment horizontal="center" vertical="center"/>
    </xf>
    <xf numFmtId="164" fontId="73" fillId="0" borderId="1" xfId="2868" applyFont="1" applyFill="1" applyBorder="1" applyAlignment="1">
      <alignment horizontal="center" vertical="center"/>
    </xf>
    <xf numFmtId="9" fontId="32" fillId="0" borderId="1" xfId="0" applyNumberFormat="1" applyFont="1" applyBorder="1" applyAlignment="1">
      <alignment horizontal="center" vertical="center" wrapText="1"/>
    </xf>
    <xf numFmtId="0" fontId="32" fillId="0" borderId="0" xfId="0" applyFont="1" applyAlignment="1">
      <alignment horizontal="center" vertical="center" wrapText="1"/>
    </xf>
    <xf numFmtId="4" fontId="32" fillId="0" borderId="1" xfId="0" applyNumberFormat="1" applyFont="1" applyBorder="1" applyAlignment="1">
      <alignment horizontal="center" vertical="center" wrapText="1"/>
    </xf>
    <xf numFmtId="3" fontId="32" fillId="0" borderId="1" xfId="0" applyNumberFormat="1" applyFont="1" applyBorder="1" applyAlignment="1">
      <alignment horizontal="center" vertical="center" wrapText="1"/>
    </xf>
    <xf numFmtId="0" fontId="32" fillId="0" borderId="1" xfId="0" applyFont="1" applyBorder="1" applyAlignment="1">
      <alignment wrapText="1"/>
    </xf>
    <xf numFmtId="0" fontId="32" fillId="0" borderId="0" xfId="0" applyFont="1"/>
    <xf numFmtId="1" fontId="32" fillId="0" borderId="1" xfId="0" applyNumberFormat="1" applyFont="1" applyBorder="1" applyAlignment="1">
      <alignment horizontal="center" vertical="center" wrapText="1"/>
    </xf>
    <xf numFmtId="0" fontId="32" fillId="0" borderId="1" xfId="0" applyFont="1" applyBorder="1" applyAlignment="1">
      <alignment horizontal="left" wrapText="1"/>
    </xf>
    <xf numFmtId="0" fontId="32" fillId="0" borderId="37" xfId="0" applyFont="1" applyBorder="1" applyAlignment="1">
      <alignment horizontal="left" wrapText="1"/>
    </xf>
    <xf numFmtId="0" fontId="32" fillId="0" borderId="1" xfId="0" applyFont="1" applyBorder="1" applyAlignment="1">
      <alignment horizontal="left" vertical="top" wrapText="1"/>
    </xf>
    <xf numFmtId="0" fontId="0" fillId="0" borderId="1" xfId="0" applyBorder="1" applyAlignment="1">
      <alignment wrapText="1"/>
    </xf>
    <xf numFmtId="9" fontId="32" fillId="0" borderId="7" xfId="24" applyFont="1" applyBorder="1" applyAlignment="1">
      <alignment horizontal="center" vertical="center"/>
    </xf>
    <xf numFmtId="4" fontId="32" fillId="0" borderId="1" xfId="0" applyNumberFormat="1" applyFont="1" applyBorder="1" applyAlignment="1">
      <alignment horizontal="center" vertical="center"/>
    </xf>
    <xf numFmtId="3" fontId="32" fillId="0" borderId="1" xfId="0" applyNumberFormat="1" applyFont="1" applyBorder="1" applyAlignment="1">
      <alignment horizontal="center" vertical="center"/>
    </xf>
    <xf numFmtId="9" fontId="32" fillId="0" borderId="1" xfId="0" applyNumberFormat="1" applyFont="1" applyBorder="1" applyAlignment="1">
      <alignment horizontal="center" vertical="center"/>
    </xf>
    <xf numFmtId="9" fontId="32" fillId="0" borderId="1" xfId="21" applyFont="1" applyBorder="1" applyAlignment="1">
      <alignment horizontal="center" vertical="center"/>
    </xf>
    <xf numFmtId="42" fontId="20" fillId="0" borderId="1" xfId="2865" applyFont="1" applyFill="1" applyBorder="1" applyAlignment="1">
      <alignment horizontal="center" vertical="center"/>
    </xf>
    <xf numFmtId="42" fontId="73" fillId="0" borderId="1" xfId="2865" applyFont="1" applyFill="1" applyBorder="1" applyAlignment="1">
      <alignment horizontal="center" vertical="center"/>
    </xf>
    <xf numFmtId="0" fontId="42" fillId="0" borderId="0" xfId="0" applyFont="1" applyAlignment="1">
      <alignment horizontal="center" vertical="center"/>
    </xf>
    <xf numFmtId="0" fontId="18" fillId="0" borderId="0" xfId="0" applyFont="1" applyAlignment="1">
      <alignment horizontal="center" vertical="center" wrapText="1"/>
    </xf>
    <xf numFmtId="0" fontId="0" fillId="0" borderId="0" xfId="0" applyAlignment="1">
      <alignment horizontal="left" vertical="center" wrapText="1"/>
    </xf>
    <xf numFmtId="0" fontId="0" fillId="0" borderId="1" xfId="0" applyBorder="1" applyAlignment="1">
      <alignment horizontal="left" vertical="center" wrapText="1"/>
    </xf>
    <xf numFmtId="0" fontId="11" fillId="20" borderId="1" xfId="0" applyFont="1" applyFill="1" applyBorder="1" applyAlignment="1">
      <alignment horizontal="center" vertical="center" wrapText="1"/>
    </xf>
    <xf numFmtId="0" fontId="5" fillId="16" borderId="1" xfId="0" applyFont="1" applyFill="1" applyBorder="1" applyAlignment="1">
      <alignment horizontal="center" vertical="center" wrapText="1"/>
    </xf>
    <xf numFmtId="0" fontId="5" fillId="17" borderId="1" xfId="0" applyFont="1" applyFill="1" applyBorder="1" applyAlignment="1">
      <alignment horizontal="center" vertical="center" wrapText="1"/>
    </xf>
    <xf numFmtId="9" fontId="24" fillId="0" borderId="1" xfId="21" applyFont="1" applyFill="1" applyBorder="1" applyAlignment="1">
      <alignment horizontal="center" vertical="center"/>
    </xf>
    <xf numFmtId="184" fontId="24" fillId="0" borderId="1" xfId="3" applyNumberFormat="1" applyFont="1" applyFill="1" applyBorder="1" applyAlignment="1">
      <alignment horizontal="center" vertical="center"/>
    </xf>
    <xf numFmtId="0" fontId="10" fillId="0" borderId="0" xfId="0" applyFont="1" applyAlignment="1">
      <alignment horizontal="center" vertical="center" wrapText="1"/>
    </xf>
    <xf numFmtId="3" fontId="10" fillId="0" borderId="0" xfId="0" applyNumberFormat="1" applyFont="1" applyAlignment="1">
      <alignment horizontal="left" vertical="center" wrapText="1"/>
    </xf>
    <xf numFmtId="0" fontId="5" fillId="21" borderId="1" xfId="0" applyFont="1" applyFill="1" applyBorder="1" applyAlignment="1">
      <alignment horizontal="center" vertical="center" wrapText="1"/>
    </xf>
    <xf numFmtId="0" fontId="11" fillId="19" borderId="1" xfId="0" applyFont="1" applyFill="1" applyBorder="1" applyAlignment="1">
      <alignment horizontal="center" vertical="center" wrapText="1"/>
    </xf>
    <xf numFmtId="0" fontId="11" fillId="21" borderId="1" xfId="0" applyFont="1" applyFill="1" applyBorder="1" applyAlignment="1">
      <alignment horizontal="center" vertical="center" wrapText="1"/>
    </xf>
    <xf numFmtId="42" fontId="0" fillId="0" borderId="0" xfId="2865" applyFont="1" applyAlignment="1">
      <alignment horizontal="center" vertical="center"/>
    </xf>
    <xf numFmtId="42" fontId="32" fillId="0" borderId="0" xfId="2865" applyFont="1" applyAlignment="1">
      <alignment horizontal="center" vertical="center"/>
    </xf>
    <xf numFmtId="42" fontId="0" fillId="0" borderId="0" xfId="2865" applyFont="1"/>
    <xf numFmtId="42" fontId="53" fillId="18" borderId="1" xfId="2865" applyFont="1" applyFill="1" applyBorder="1" applyAlignment="1">
      <alignment horizontal="center" vertical="center" wrapText="1"/>
    </xf>
    <xf numFmtId="42" fontId="32" fillId="0" borderId="1" xfId="2865" applyFont="1" applyBorder="1" applyAlignment="1">
      <alignment horizontal="center" vertical="center" wrapText="1"/>
    </xf>
    <xf numFmtId="42" fontId="32" fillId="0" borderId="1" xfId="2865" applyFont="1" applyBorder="1" applyAlignment="1">
      <alignment horizontal="center" vertical="center"/>
    </xf>
    <xf numFmtId="42" fontId="0" fillId="0" borderId="1" xfId="2865" applyFont="1" applyBorder="1"/>
    <xf numFmtId="42" fontId="32" fillId="0" borderId="0" xfId="2865" applyFont="1" applyBorder="1" applyAlignment="1">
      <alignment horizontal="center" vertical="center"/>
    </xf>
    <xf numFmtId="0" fontId="0" fillId="0" borderId="0" xfId="0" applyAlignment="1">
      <alignment vertical="center" wrapText="1"/>
    </xf>
    <xf numFmtId="0" fontId="0" fillId="0" borderId="1" xfId="0" applyBorder="1" applyAlignment="1">
      <alignment vertical="center" wrapText="1"/>
    </xf>
    <xf numFmtId="180" fontId="5" fillId="0" borderId="0" xfId="2865" applyNumberFormat="1" applyFont="1" applyFill="1" applyAlignment="1">
      <alignment horizontal="center"/>
    </xf>
    <xf numFmtId="0" fontId="32" fillId="0" borderId="1" xfId="0" applyFont="1" applyBorder="1" applyAlignment="1">
      <alignment vertical="center" wrapText="1"/>
    </xf>
    <xf numFmtId="0" fontId="0" fillId="3" borderId="0" xfId="0" applyFill="1" applyAlignment="1">
      <alignment vertical="top"/>
    </xf>
    <xf numFmtId="0" fontId="0" fillId="0" borderId="0" xfId="0" applyAlignment="1">
      <alignment vertical="top"/>
    </xf>
    <xf numFmtId="9" fontId="20" fillId="0" borderId="37" xfId="21" applyFont="1" applyFill="1" applyBorder="1" applyAlignment="1">
      <alignment horizontal="center" vertical="center"/>
    </xf>
    <xf numFmtId="10" fontId="5" fillId="0" borderId="0" xfId="21" applyNumberFormat="1" applyFont="1" applyFill="1" applyAlignment="1">
      <alignment horizontal="center"/>
    </xf>
    <xf numFmtId="0" fontId="21" fillId="4" borderId="1" xfId="0" applyFont="1" applyFill="1" applyBorder="1" applyAlignment="1">
      <alignment horizontal="center" vertical="center"/>
    </xf>
    <xf numFmtId="0" fontId="0" fillId="0" borderId="1" xfId="0" applyBorder="1" applyAlignment="1">
      <alignment horizontal="center" vertical="center"/>
    </xf>
    <xf numFmtId="9" fontId="4" fillId="0" borderId="1" xfId="2865" applyNumberFormat="1" applyFont="1" applyFill="1" applyBorder="1" applyAlignment="1">
      <alignment horizontal="center" vertical="center"/>
    </xf>
    <xf numFmtId="186" fontId="4" fillId="0" borderId="1" xfId="2865" applyNumberFormat="1" applyFont="1" applyFill="1" applyBorder="1" applyAlignment="1">
      <alignment horizontal="center" vertical="center"/>
    </xf>
    <xf numFmtId="187" fontId="4" fillId="0" borderId="1" xfId="10" applyNumberFormat="1" applyFont="1" applyFill="1" applyBorder="1" applyAlignment="1">
      <alignment horizontal="center" vertical="center"/>
    </xf>
    <xf numFmtId="0" fontId="0" fillId="22" borderId="1" xfId="0" applyFill="1" applyBorder="1"/>
    <xf numFmtId="0" fontId="76" fillId="0" borderId="0" xfId="0" applyFont="1" applyAlignment="1">
      <alignment horizontal="center" vertical="center"/>
    </xf>
    <xf numFmtId="0" fontId="12" fillId="16" borderId="1" xfId="0" applyFont="1" applyFill="1" applyBorder="1" applyAlignment="1" applyProtection="1">
      <alignment horizontal="left" vertical="center" wrapText="1"/>
      <protection locked="0"/>
    </xf>
    <xf numFmtId="181" fontId="12" fillId="17" borderId="1" xfId="0" applyNumberFormat="1" applyFont="1" applyFill="1" applyBorder="1" applyAlignment="1" applyProtection="1">
      <alignment horizontal="left" vertical="center" wrapText="1"/>
      <protection locked="0"/>
    </xf>
    <xf numFmtId="181" fontId="12" fillId="20" borderId="1" xfId="0" applyNumberFormat="1" applyFont="1" applyFill="1" applyBorder="1" applyAlignment="1" applyProtection="1">
      <alignment horizontal="left" vertical="center" wrapText="1"/>
      <protection locked="0"/>
    </xf>
    <xf numFmtId="180" fontId="24" fillId="23" borderId="1" xfId="9" applyNumberFormat="1" applyFont="1" applyFill="1" applyBorder="1" applyAlignment="1">
      <alignment horizontal="center" vertical="center"/>
    </xf>
    <xf numFmtId="180" fontId="12" fillId="16" borderId="1" xfId="0" applyNumberFormat="1" applyFont="1" applyFill="1" applyBorder="1" applyAlignment="1" applyProtection="1">
      <alignment horizontal="left" vertical="top" wrapText="1"/>
      <protection locked="0"/>
    </xf>
    <xf numFmtId="180" fontId="12" fillId="17" borderId="1" xfId="0" applyNumberFormat="1" applyFont="1" applyFill="1" applyBorder="1" applyAlignment="1" applyProtection="1">
      <alignment horizontal="left" vertical="top" wrapText="1"/>
      <protection locked="0"/>
    </xf>
    <xf numFmtId="0" fontId="20" fillId="3" borderId="0" xfId="0" applyFont="1" applyFill="1"/>
    <xf numFmtId="0" fontId="20" fillId="0" borderId="0" xfId="0" applyFont="1"/>
    <xf numFmtId="42" fontId="73" fillId="0" borderId="1" xfId="2865" applyFont="1" applyFill="1" applyBorder="1" applyAlignment="1">
      <alignment horizontal="center" vertical="center" wrapText="1"/>
    </xf>
    <xf numFmtId="0" fontId="0" fillId="0" borderId="1" xfId="0" applyBorder="1" applyAlignment="1">
      <alignment horizontal="left" vertical="top" wrapText="1"/>
    </xf>
    <xf numFmtId="182" fontId="4" fillId="0" borderId="1" xfId="0" applyNumberFormat="1" applyFont="1" applyBorder="1" applyAlignment="1">
      <alignment horizontal="center" vertical="center" wrapText="1"/>
    </xf>
    <xf numFmtId="9" fontId="68" fillId="0" borderId="1" xfId="21" applyFont="1" applyFill="1" applyBorder="1" applyAlignment="1">
      <alignment horizontal="center" vertical="center" wrapText="1"/>
    </xf>
    <xf numFmtId="9" fontId="4" fillId="16" borderId="5" xfId="24" applyFont="1" applyFill="1" applyBorder="1" applyAlignment="1" applyProtection="1">
      <alignment horizontal="left" vertical="center" wrapText="1"/>
      <protection locked="0"/>
    </xf>
    <xf numFmtId="9" fontId="4" fillId="0" borderId="5" xfId="24" applyFont="1" applyFill="1" applyBorder="1" applyAlignment="1">
      <alignment horizontal="center" vertical="center"/>
    </xf>
    <xf numFmtId="9" fontId="2" fillId="0" borderId="5" xfId="24" applyFont="1" applyFill="1" applyBorder="1" applyAlignment="1">
      <alignment horizontal="center" vertical="center" wrapText="1"/>
    </xf>
    <xf numFmtId="9" fontId="4" fillId="0" borderId="5" xfId="24" applyFont="1" applyFill="1" applyBorder="1" applyAlignment="1">
      <alignment horizontal="center" vertical="center" wrapText="1"/>
    </xf>
    <xf numFmtId="0" fontId="2" fillId="16" borderId="1" xfId="19" applyFont="1" applyFill="1" applyBorder="1" applyAlignment="1">
      <alignment horizontal="center" vertical="center" wrapText="1"/>
    </xf>
    <xf numFmtId="10" fontId="4" fillId="16" borderId="1" xfId="16" applyNumberFormat="1" applyFill="1" applyBorder="1" applyAlignment="1">
      <alignment horizontal="center" vertical="center" wrapText="1"/>
    </xf>
    <xf numFmtId="0" fontId="4" fillId="16" borderId="1" xfId="16" applyFill="1" applyBorder="1" applyAlignment="1">
      <alignment horizontal="center" vertical="center" wrapText="1"/>
    </xf>
    <xf numFmtId="42" fontId="0" fillId="0" borderId="0" xfId="2865" applyFont="1" applyBorder="1"/>
    <xf numFmtId="0" fontId="0" fillId="0" borderId="2" xfId="0" applyBorder="1"/>
    <xf numFmtId="0" fontId="0" fillId="0" borderId="42" xfId="0" applyBorder="1"/>
    <xf numFmtId="42" fontId="77" fillId="0" borderId="1" xfId="2865" applyFont="1" applyFill="1" applyBorder="1" applyAlignment="1">
      <alignment horizontal="center" vertical="center" wrapText="1"/>
    </xf>
    <xf numFmtId="164" fontId="32" fillId="0" borderId="1" xfId="2868" applyFont="1" applyFill="1" applyBorder="1" applyAlignment="1">
      <alignment horizontal="center" vertical="center"/>
    </xf>
    <xf numFmtId="9" fontId="32" fillId="0" borderId="1" xfId="24" applyFont="1" applyFill="1" applyBorder="1" applyAlignment="1">
      <alignment horizontal="center" vertical="center"/>
    </xf>
    <xf numFmtId="182" fontId="4" fillId="0" borderId="1" xfId="2865" applyNumberFormat="1" applyFont="1" applyFill="1" applyBorder="1" applyAlignment="1">
      <alignment horizontal="center" vertical="center" wrapText="1"/>
    </xf>
    <xf numFmtId="9" fontId="0" fillId="0" borderId="1" xfId="21" applyFont="1" applyBorder="1" applyAlignment="1">
      <alignment horizontal="center" vertical="center"/>
    </xf>
    <xf numFmtId="0" fontId="0" fillId="0" borderId="15" xfId="0" applyBorder="1" applyAlignment="1">
      <alignment horizontal="center" vertical="center"/>
    </xf>
    <xf numFmtId="2" fontId="4" fillId="0" borderId="1" xfId="2865" applyNumberFormat="1" applyFont="1" applyFill="1" applyBorder="1" applyAlignment="1">
      <alignment horizontal="center" vertical="center" wrapText="1"/>
    </xf>
    <xf numFmtId="9" fontId="20" fillId="0" borderId="1" xfId="21" applyFont="1" applyFill="1" applyBorder="1" applyAlignment="1">
      <alignment horizontal="center" vertical="center"/>
    </xf>
    <xf numFmtId="9" fontId="5" fillId="0" borderId="0" xfId="21" applyFont="1" applyFill="1" applyAlignment="1">
      <alignment horizontal="center"/>
    </xf>
    <xf numFmtId="188" fontId="4" fillId="16" borderId="1" xfId="0" applyNumberFormat="1" applyFont="1" applyFill="1" applyBorder="1" applyAlignment="1" applyProtection="1">
      <alignment horizontal="left" vertical="center" wrapText="1"/>
      <protection locked="0"/>
    </xf>
    <xf numFmtId="188" fontId="4" fillId="0" borderId="1" xfId="24" applyNumberFormat="1" applyFont="1" applyFill="1" applyBorder="1" applyAlignment="1">
      <alignment horizontal="center" vertical="center"/>
    </xf>
    <xf numFmtId="188" fontId="0" fillId="0" borderId="0" xfId="0" applyNumberFormat="1"/>
    <xf numFmtId="188" fontId="2" fillId="0" borderId="1" xfId="24" applyNumberFormat="1" applyFont="1" applyFill="1" applyBorder="1" applyAlignment="1">
      <alignment horizontal="center" vertical="center"/>
    </xf>
    <xf numFmtId="0" fontId="15" fillId="16" borderId="1" xfId="0" applyFont="1" applyFill="1" applyBorder="1" applyAlignment="1">
      <alignment horizontal="left" vertical="center" wrapText="1"/>
    </xf>
    <xf numFmtId="10" fontId="4" fillId="0" borderId="1" xfId="21" applyNumberFormat="1" applyFont="1" applyFill="1" applyBorder="1" applyAlignment="1">
      <alignment horizontal="center" vertical="center"/>
    </xf>
    <xf numFmtId="0" fontId="11" fillId="16" borderId="1" xfId="0" applyFont="1" applyFill="1" applyBorder="1" applyAlignment="1">
      <alignment horizontal="center" vertical="center" wrapText="1"/>
    </xf>
    <xf numFmtId="0" fontId="2" fillId="16" borderId="38" xfId="0" applyFont="1" applyFill="1" applyBorder="1" applyAlignment="1">
      <alignment horizontal="center" vertical="center" wrapText="1"/>
    </xf>
    <xf numFmtId="0" fontId="2" fillId="16" borderId="4" xfId="0" applyFont="1" applyFill="1" applyBorder="1" applyAlignment="1">
      <alignment horizontal="center" vertical="center" wrapText="1"/>
    </xf>
    <xf numFmtId="0" fontId="0" fillId="0" borderId="0" xfId="0" applyAlignment="1">
      <alignment horizontal="center" vertical="center"/>
    </xf>
    <xf numFmtId="0" fontId="2" fillId="16" borderId="1" xfId="0" applyFont="1" applyFill="1" applyBorder="1" applyAlignment="1">
      <alignment horizontal="center" vertical="center" wrapText="1"/>
    </xf>
    <xf numFmtId="0" fontId="21" fillId="4" borderId="1" xfId="0" applyFont="1" applyFill="1" applyBorder="1" applyAlignment="1">
      <alignment horizontal="center" vertical="center"/>
    </xf>
    <xf numFmtId="42" fontId="2" fillId="16" borderId="1" xfId="0" applyNumberFormat="1" applyFont="1" applyFill="1" applyBorder="1" applyAlignment="1">
      <alignment horizontal="center" vertical="center" wrapText="1"/>
    </xf>
    <xf numFmtId="0" fontId="0" fillId="0" borderId="0" xfId="0" applyAlignment="1">
      <alignment horizontal="center"/>
    </xf>
    <xf numFmtId="0" fontId="0" fillId="0" borderId="1" xfId="0" applyBorder="1" applyAlignment="1">
      <alignment horizontal="center" vertical="center"/>
    </xf>
    <xf numFmtId="0" fontId="0" fillId="0" borderId="1" xfId="0" applyFill="1" applyBorder="1"/>
    <xf numFmtId="42" fontId="0" fillId="0" borderId="1" xfId="2865" applyFont="1" applyFill="1" applyBorder="1"/>
    <xf numFmtId="0" fontId="11" fillId="16" borderId="4" xfId="16" applyFont="1" applyFill="1" applyBorder="1" applyAlignment="1">
      <alignment horizontal="center" vertical="center" textRotation="90" wrapText="1"/>
    </xf>
    <xf numFmtId="10" fontId="5" fillId="16" borderId="4" xfId="16" applyNumberFormat="1" applyFont="1" applyFill="1" applyBorder="1" applyAlignment="1">
      <alignment horizontal="center" vertical="center" wrapText="1"/>
    </xf>
    <xf numFmtId="0" fontId="11" fillId="16" borderId="4" xfId="16" applyFont="1" applyFill="1" applyBorder="1" applyAlignment="1">
      <alignment horizontal="center" vertical="center" wrapText="1"/>
    </xf>
    <xf numFmtId="9" fontId="5" fillId="16" borderId="1" xfId="0" applyNumberFormat="1" applyFont="1" applyFill="1" applyBorder="1" applyAlignment="1">
      <alignment horizontal="center" vertical="center"/>
    </xf>
    <xf numFmtId="10" fontId="79" fillId="17" borderId="1" xfId="16" applyNumberFormat="1" applyFont="1" applyFill="1" applyBorder="1" applyAlignment="1">
      <alignment horizontal="center" vertical="center" wrapText="1"/>
    </xf>
    <xf numFmtId="10" fontId="5" fillId="17" borderId="1" xfId="0" applyNumberFormat="1" applyFont="1" applyFill="1" applyBorder="1" applyAlignment="1">
      <alignment horizontal="center" vertical="center"/>
    </xf>
    <xf numFmtId="173" fontId="5" fillId="17" borderId="1" xfId="0" applyNumberFormat="1" applyFont="1" applyFill="1" applyBorder="1" applyAlignment="1">
      <alignment horizontal="center" vertical="center"/>
    </xf>
    <xf numFmtId="10" fontId="5" fillId="16" borderId="1" xfId="0" applyNumberFormat="1" applyFont="1" applyFill="1" applyBorder="1" applyAlignment="1">
      <alignment horizontal="center" vertical="center"/>
    </xf>
    <xf numFmtId="173" fontId="5" fillId="16" borderId="1" xfId="0" applyNumberFormat="1" applyFont="1" applyFill="1" applyBorder="1" applyAlignment="1">
      <alignment horizontal="center" vertical="center"/>
    </xf>
    <xf numFmtId="10" fontId="11" fillId="16" borderId="1" xfId="16" applyNumberFormat="1" applyFont="1" applyFill="1" applyBorder="1" applyAlignment="1">
      <alignment horizontal="center" vertical="center" wrapText="1"/>
    </xf>
    <xf numFmtId="0" fontId="11" fillId="16" borderId="1" xfId="16" applyFont="1" applyFill="1" applyBorder="1" applyAlignment="1">
      <alignment horizontal="center" vertical="center" wrapText="1"/>
    </xf>
    <xf numFmtId="10" fontId="5" fillId="0" borderId="1" xfId="16" applyNumberFormat="1" applyFont="1" applyFill="1" applyBorder="1" applyAlignment="1">
      <alignment horizontal="center" vertical="center" wrapText="1"/>
    </xf>
    <xf numFmtId="10" fontId="79" fillId="0" borderId="1" xfId="16" applyNumberFormat="1" applyFont="1" applyFill="1" applyBorder="1" applyAlignment="1">
      <alignment horizontal="center" vertical="center" wrapText="1"/>
    </xf>
    <xf numFmtId="10" fontId="5" fillId="0" borderId="1" xfId="0" applyNumberFormat="1" applyFont="1" applyFill="1" applyBorder="1" applyAlignment="1">
      <alignment horizontal="center" vertical="center" wrapText="1"/>
    </xf>
    <xf numFmtId="173" fontId="3" fillId="16" borderId="1" xfId="0" applyNumberFormat="1" applyFont="1" applyFill="1" applyBorder="1" applyAlignment="1">
      <alignment vertical="center"/>
    </xf>
    <xf numFmtId="173" fontId="3" fillId="17" borderId="1" xfId="0" applyNumberFormat="1" applyFont="1" applyFill="1" applyBorder="1" applyAlignment="1">
      <alignment vertical="center"/>
    </xf>
    <xf numFmtId="173" fontId="25" fillId="16" borderId="1" xfId="0" applyNumberFormat="1" applyFont="1" applyFill="1" applyBorder="1" applyAlignment="1">
      <alignment vertical="center"/>
    </xf>
    <xf numFmtId="173" fontId="25" fillId="17" borderId="1" xfId="0" applyNumberFormat="1" applyFont="1" applyFill="1" applyBorder="1" applyAlignment="1">
      <alignment vertical="center"/>
    </xf>
    <xf numFmtId="9" fontId="3" fillId="0" borderId="1" xfId="24" applyFont="1" applyFill="1" applyBorder="1" applyAlignment="1">
      <alignment horizontal="center" vertical="center" wrapText="1"/>
    </xf>
    <xf numFmtId="180" fontId="3" fillId="0" borderId="1" xfId="10" applyNumberFormat="1" applyFont="1" applyFill="1" applyBorder="1" applyAlignment="1">
      <alignment horizontal="center" vertical="center" wrapText="1"/>
    </xf>
    <xf numFmtId="42" fontId="80" fillId="0" borderId="1" xfId="2865" applyFont="1" applyFill="1" applyBorder="1" applyAlignment="1">
      <alignment horizontal="center" vertical="center"/>
    </xf>
    <xf numFmtId="9" fontId="3" fillId="0" borderId="2" xfId="24" applyFont="1" applyFill="1" applyBorder="1" applyAlignment="1">
      <alignment horizontal="center" vertical="center" wrapText="1"/>
    </xf>
    <xf numFmtId="42" fontId="80" fillId="4" borderId="44" xfId="2865" applyFont="1" applyFill="1" applyBorder="1" applyAlignment="1">
      <alignment horizontal="center" vertical="center"/>
    </xf>
    <xf numFmtId="183" fontId="3" fillId="0" borderId="5" xfId="24" applyNumberFormat="1" applyFont="1" applyFill="1" applyBorder="1" applyAlignment="1">
      <alignment horizontal="center" vertical="center" wrapText="1"/>
    </xf>
    <xf numFmtId="4" fontId="3" fillId="0" borderId="1" xfId="24" applyNumberFormat="1" applyFont="1" applyFill="1" applyBorder="1" applyAlignment="1">
      <alignment horizontal="center" vertical="center" wrapText="1"/>
    </xf>
    <xf numFmtId="4" fontId="3" fillId="0" borderId="2" xfId="24" applyNumberFormat="1" applyFont="1" applyFill="1" applyBorder="1" applyAlignment="1">
      <alignment horizontal="center" vertical="center" wrapText="1"/>
    </xf>
    <xf numFmtId="3" fontId="3" fillId="0" borderId="5" xfId="24" applyNumberFormat="1" applyFont="1" applyFill="1" applyBorder="1" applyAlignment="1">
      <alignment horizontal="center" vertical="center" wrapText="1"/>
    </xf>
    <xf numFmtId="9" fontId="3" fillId="0" borderId="5" xfId="24" applyFont="1" applyFill="1" applyBorder="1" applyAlignment="1">
      <alignment horizontal="center" vertical="center" wrapText="1"/>
    </xf>
    <xf numFmtId="42" fontId="3" fillId="0" borderId="1" xfId="2865" applyFont="1" applyFill="1" applyBorder="1" applyAlignment="1">
      <alignment horizontal="center" vertical="center"/>
    </xf>
    <xf numFmtId="180" fontId="3" fillId="23" borderId="13" xfId="10" applyNumberFormat="1" applyFont="1" applyFill="1" applyBorder="1" applyAlignment="1">
      <alignment horizontal="center" vertical="center" wrapText="1"/>
    </xf>
    <xf numFmtId="180" fontId="80" fillId="23" borderId="14" xfId="10" applyNumberFormat="1" applyFont="1" applyFill="1" applyBorder="1" applyAlignment="1">
      <alignment horizontal="center" vertical="center"/>
    </xf>
    <xf numFmtId="180" fontId="3" fillId="23" borderId="38" xfId="0" applyNumberFormat="1" applyFont="1" applyFill="1" applyBorder="1" applyAlignment="1">
      <alignment horizontal="center" vertical="center" wrapText="1"/>
    </xf>
    <xf numFmtId="9" fontId="81" fillId="0" borderId="1" xfId="24" applyFont="1" applyFill="1" applyBorder="1" applyAlignment="1">
      <alignment horizontal="center" vertical="center"/>
    </xf>
    <xf numFmtId="10" fontId="81" fillId="0" borderId="1" xfId="24" applyNumberFormat="1" applyFont="1" applyFill="1" applyBorder="1" applyAlignment="1">
      <alignment horizontal="center" vertical="center" wrapText="1"/>
    </xf>
    <xf numFmtId="10" fontId="80" fillId="0" borderId="1" xfId="24" applyNumberFormat="1" applyFont="1" applyFill="1" applyBorder="1" applyAlignment="1">
      <alignment horizontal="center" vertical="center"/>
    </xf>
    <xf numFmtId="9" fontId="81" fillId="0" borderId="2" xfId="24" applyFont="1" applyFill="1" applyBorder="1" applyAlignment="1">
      <alignment horizontal="center" vertical="center"/>
    </xf>
    <xf numFmtId="10" fontId="81" fillId="0" borderId="2" xfId="24" applyNumberFormat="1" applyFont="1" applyFill="1" applyBorder="1" applyAlignment="1">
      <alignment horizontal="center" vertical="center" wrapText="1"/>
    </xf>
    <xf numFmtId="10" fontId="80" fillId="0" borderId="2" xfId="24" applyNumberFormat="1" applyFont="1" applyFill="1" applyBorder="1" applyAlignment="1">
      <alignment horizontal="center" vertical="center"/>
    </xf>
    <xf numFmtId="9" fontId="81" fillId="4" borderId="34" xfId="24" applyFont="1" applyFill="1" applyBorder="1" applyAlignment="1">
      <alignment horizontal="center" vertical="center"/>
    </xf>
    <xf numFmtId="10" fontId="81" fillId="4" borderId="34" xfId="24" applyNumberFormat="1" applyFont="1" applyFill="1" applyBorder="1" applyAlignment="1">
      <alignment horizontal="center" vertical="center" wrapText="1"/>
    </xf>
    <xf numFmtId="10" fontId="80" fillId="4" borderId="34" xfId="24" applyNumberFormat="1" applyFont="1" applyFill="1" applyBorder="1" applyAlignment="1">
      <alignment horizontal="center" vertical="center"/>
    </xf>
    <xf numFmtId="10" fontId="81" fillId="4" borderId="35" xfId="24" applyNumberFormat="1" applyFont="1" applyFill="1" applyBorder="1" applyAlignment="1">
      <alignment horizontal="center" vertical="center" wrapText="1"/>
    </xf>
    <xf numFmtId="9" fontId="81" fillId="0" borderId="5" xfId="24" applyFont="1" applyFill="1" applyBorder="1" applyAlignment="1">
      <alignment horizontal="center" vertical="center"/>
    </xf>
    <xf numFmtId="10" fontId="81" fillId="0" borderId="5" xfId="24" applyNumberFormat="1" applyFont="1" applyFill="1" applyBorder="1" applyAlignment="1">
      <alignment horizontal="center" vertical="center" wrapText="1"/>
    </xf>
    <xf numFmtId="10" fontId="80" fillId="0" borderId="5" xfId="24" applyNumberFormat="1" applyFont="1" applyFill="1" applyBorder="1" applyAlignment="1">
      <alignment horizontal="center" vertical="center"/>
    </xf>
    <xf numFmtId="3" fontId="4" fillId="0" borderId="1" xfId="0" applyNumberFormat="1" applyFont="1" applyFill="1" applyBorder="1" applyAlignment="1">
      <alignment horizontal="center" vertical="center" wrapText="1"/>
    </xf>
    <xf numFmtId="4" fontId="4" fillId="0" borderId="1" xfId="0" applyNumberFormat="1" applyFont="1" applyFill="1" applyBorder="1" applyAlignment="1">
      <alignment horizontal="center" vertical="center" wrapText="1"/>
    </xf>
    <xf numFmtId="179" fontId="4" fillId="0" borderId="1" xfId="0" applyNumberFormat="1" applyFont="1" applyFill="1" applyBorder="1" applyAlignment="1">
      <alignment horizontal="center" vertical="center" wrapText="1"/>
    </xf>
    <xf numFmtId="0" fontId="24" fillId="0" borderId="1" xfId="0" applyFont="1" applyFill="1" applyBorder="1" applyAlignment="1">
      <alignment horizontal="center" vertical="center"/>
    </xf>
    <xf numFmtId="2" fontId="4" fillId="0" borderId="1" xfId="0" applyNumberFormat="1" applyFont="1" applyFill="1" applyBorder="1" applyAlignment="1">
      <alignment horizontal="center" vertical="center" wrapText="1"/>
    </xf>
    <xf numFmtId="182" fontId="4" fillId="0" borderId="1" xfId="0" applyNumberFormat="1" applyFont="1" applyFill="1" applyBorder="1" applyAlignment="1">
      <alignment horizontal="center" vertical="center" wrapText="1"/>
    </xf>
    <xf numFmtId="4" fontId="57" fillId="0" borderId="1" xfId="0" applyNumberFormat="1" applyFont="1" applyFill="1" applyBorder="1" applyAlignment="1">
      <alignment horizontal="center" vertical="center" wrapText="1"/>
    </xf>
    <xf numFmtId="3" fontId="57" fillId="0" borderId="1" xfId="0" applyNumberFormat="1" applyFont="1" applyFill="1" applyBorder="1" applyAlignment="1">
      <alignment horizontal="center" vertical="center" wrapText="1"/>
    </xf>
    <xf numFmtId="0" fontId="58" fillId="0" borderId="1" xfId="0" applyFont="1" applyFill="1" applyBorder="1" applyAlignment="1">
      <alignment horizontal="center" vertical="center"/>
    </xf>
    <xf numFmtId="1" fontId="17" fillId="0" borderId="1" xfId="0" applyNumberFormat="1" applyFont="1" applyFill="1" applyBorder="1" applyAlignment="1">
      <alignment horizontal="center" vertical="center"/>
    </xf>
    <xf numFmtId="0" fontId="17" fillId="0" borderId="1" xfId="0" applyFont="1" applyFill="1" applyBorder="1" applyAlignment="1">
      <alignment horizontal="center" vertical="center"/>
    </xf>
    <xf numFmtId="1" fontId="58" fillId="0" borderId="1" xfId="0" applyNumberFormat="1" applyFont="1" applyFill="1" applyBorder="1" applyAlignment="1">
      <alignment horizontal="center" vertical="center"/>
    </xf>
    <xf numFmtId="1" fontId="57" fillId="0" borderId="1" xfId="0" applyNumberFormat="1" applyFont="1" applyFill="1" applyBorder="1" applyAlignment="1">
      <alignment horizontal="center" vertical="center"/>
    </xf>
    <xf numFmtId="181" fontId="17" fillId="0" borderId="1" xfId="0" applyNumberFormat="1" applyFont="1" applyFill="1" applyBorder="1" applyAlignment="1">
      <alignment horizontal="center" vertical="center"/>
    </xf>
    <xf numFmtId="180" fontId="57" fillId="0" borderId="1" xfId="0" applyNumberFormat="1" applyFont="1" applyFill="1" applyBorder="1" applyAlignment="1">
      <alignment horizontal="center" vertical="center"/>
    </xf>
    <xf numFmtId="42" fontId="46" fillId="0" borderId="0" xfId="2865" applyFont="1" applyFill="1"/>
    <xf numFmtId="42" fontId="33" fillId="0" borderId="0" xfId="2865" applyFont="1" applyFill="1"/>
    <xf numFmtId="180" fontId="24" fillId="0" borderId="1" xfId="0" applyNumberFormat="1" applyFont="1" applyFill="1" applyBorder="1" applyAlignment="1">
      <alignment horizontal="center" vertical="center"/>
    </xf>
    <xf numFmtId="180" fontId="4" fillId="0" borderId="1" xfId="0" applyNumberFormat="1" applyFont="1" applyFill="1" applyBorder="1" applyAlignment="1">
      <alignment horizontal="center" vertical="center" wrapText="1"/>
    </xf>
    <xf numFmtId="4" fontId="4" fillId="0" borderId="2" xfId="10" applyNumberFormat="1" applyFont="1" applyFill="1" applyBorder="1" applyAlignment="1">
      <alignment horizontal="center" vertical="center" wrapText="1"/>
    </xf>
    <xf numFmtId="4" fontId="4" fillId="0" borderId="2" xfId="0" applyNumberFormat="1" applyFont="1" applyFill="1" applyBorder="1" applyAlignment="1">
      <alignment horizontal="center" vertical="center" wrapText="1"/>
    </xf>
    <xf numFmtId="170" fontId="4" fillId="0" borderId="2" xfId="3" applyFont="1" applyFill="1" applyBorder="1" applyAlignment="1">
      <alignment horizontal="center" vertical="center"/>
    </xf>
    <xf numFmtId="1" fontId="4" fillId="0" borderId="2" xfId="2865" applyNumberFormat="1" applyFont="1" applyFill="1" applyBorder="1" applyAlignment="1">
      <alignment horizontal="center" vertical="center" wrapText="1"/>
    </xf>
    <xf numFmtId="9" fontId="32" fillId="0" borderId="2" xfId="21" applyFont="1" applyFill="1" applyBorder="1" applyAlignment="1">
      <alignment horizontal="center" vertical="center"/>
    </xf>
    <xf numFmtId="183" fontId="4" fillId="0" borderId="5" xfId="0" applyNumberFormat="1" applyFont="1" applyFill="1" applyBorder="1" applyAlignment="1">
      <alignment horizontal="center" vertical="center" wrapText="1"/>
    </xf>
    <xf numFmtId="2" fontId="4" fillId="0" borderId="5" xfId="0" applyNumberFormat="1" applyFont="1" applyFill="1" applyBorder="1" applyAlignment="1">
      <alignment horizontal="center" vertical="center" wrapText="1"/>
    </xf>
    <xf numFmtId="2" fontId="4" fillId="0" borderId="5" xfId="2865" applyNumberFormat="1" applyFont="1" applyFill="1" applyBorder="1" applyAlignment="1">
      <alignment horizontal="center" vertical="center" wrapText="1"/>
    </xf>
    <xf numFmtId="183" fontId="4" fillId="0" borderId="5" xfId="2865" applyNumberFormat="1" applyFont="1" applyFill="1" applyBorder="1" applyAlignment="1">
      <alignment horizontal="center" vertical="center" wrapText="1"/>
    </xf>
    <xf numFmtId="4" fontId="4" fillId="0" borderId="5" xfId="0" applyNumberFormat="1" applyFont="1" applyFill="1" applyBorder="1" applyAlignment="1">
      <alignment horizontal="center" vertical="center" wrapText="1"/>
    </xf>
    <xf numFmtId="3" fontId="4" fillId="0" borderId="5" xfId="0" applyNumberFormat="1" applyFont="1" applyFill="1" applyBorder="1" applyAlignment="1">
      <alignment horizontal="center" vertical="center" wrapText="1"/>
    </xf>
    <xf numFmtId="1" fontId="4" fillId="0" borderId="5" xfId="2865" applyNumberFormat="1" applyFont="1" applyFill="1" applyBorder="1" applyAlignment="1">
      <alignment horizontal="center" vertical="center" wrapText="1"/>
    </xf>
    <xf numFmtId="9" fontId="32" fillId="0" borderId="5" xfId="21" applyFont="1" applyFill="1" applyBorder="1" applyAlignment="1">
      <alignment horizontal="center" vertical="center"/>
    </xf>
    <xf numFmtId="181" fontId="24" fillId="4" borderId="34" xfId="9" applyNumberFormat="1" applyFont="1" applyFill="1" applyBorder="1" applyAlignment="1">
      <alignment horizontal="center" vertical="center"/>
    </xf>
    <xf numFmtId="3" fontId="4" fillId="4" borderId="34" xfId="0" applyNumberFormat="1" applyFont="1" applyFill="1" applyBorder="1" applyAlignment="1">
      <alignment horizontal="center" vertical="center" wrapText="1"/>
    </xf>
    <xf numFmtId="180" fontId="24" fillId="4" borderId="34" xfId="9" applyNumberFormat="1" applyFont="1" applyFill="1" applyBorder="1" applyAlignment="1">
      <alignment horizontal="center" vertical="center"/>
    </xf>
    <xf numFmtId="180" fontId="4" fillId="4" borderId="34" xfId="9" applyNumberFormat="1" applyFont="1" applyFill="1" applyBorder="1" applyAlignment="1">
      <alignment horizontal="center" vertical="center"/>
    </xf>
    <xf numFmtId="9" fontId="32" fillId="4" borderId="34" xfId="21" applyFont="1" applyFill="1" applyBorder="1" applyAlignment="1">
      <alignment horizontal="center" vertical="center"/>
    </xf>
    <xf numFmtId="2" fontId="4" fillId="0" borderId="5" xfId="21" applyNumberFormat="1" applyFont="1" applyFill="1" applyBorder="1" applyAlignment="1">
      <alignment horizontal="center" vertical="center" wrapText="1"/>
    </xf>
    <xf numFmtId="4" fontId="57" fillId="0" borderId="5" xfId="0" applyNumberFormat="1" applyFont="1" applyFill="1" applyBorder="1" applyAlignment="1">
      <alignment horizontal="center" vertical="center" wrapText="1"/>
    </xf>
    <xf numFmtId="3" fontId="57" fillId="0" borderId="5" xfId="0" applyNumberFormat="1" applyFont="1" applyFill="1" applyBorder="1" applyAlignment="1">
      <alignment horizontal="center" vertical="center" wrapText="1"/>
    </xf>
    <xf numFmtId="1" fontId="57" fillId="0" borderId="5" xfId="2865" applyNumberFormat="1" applyFont="1" applyFill="1" applyBorder="1" applyAlignment="1">
      <alignment horizontal="center" vertical="center" wrapText="1"/>
    </xf>
    <xf numFmtId="4" fontId="57" fillId="0" borderId="2" xfId="0" applyNumberFormat="1" applyFont="1" applyFill="1" applyBorder="1" applyAlignment="1">
      <alignment horizontal="center" vertical="center" wrapText="1"/>
    </xf>
    <xf numFmtId="170" fontId="57" fillId="0" borderId="2" xfId="3" applyFont="1" applyFill="1" applyBorder="1" applyAlignment="1">
      <alignment horizontal="center" vertical="center"/>
    </xf>
    <xf numFmtId="1" fontId="57" fillId="0" borderId="2" xfId="2865" applyNumberFormat="1" applyFont="1" applyFill="1" applyBorder="1" applyAlignment="1">
      <alignment horizontal="center" vertical="center" wrapText="1"/>
    </xf>
    <xf numFmtId="3" fontId="4" fillId="0" borderId="5" xfId="21" applyNumberFormat="1" applyFont="1" applyFill="1" applyBorder="1" applyAlignment="1">
      <alignment horizontal="center" vertical="center" wrapText="1"/>
    </xf>
    <xf numFmtId="3" fontId="57" fillId="4" borderId="34" xfId="0" applyNumberFormat="1" applyFont="1" applyFill="1" applyBorder="1" applyAlignment="1">
      <alignment horizontal="center" vertical="center" wrapText="1"/>
    </xf>
    <xf numFmtId="180" fontId="58" fillId="4" borderId="34" xfId="9" applyNumberFormat="1" applyFont="1" applyFill="1" applyBorder="1" applyAlignment="1">
      <alignment horizontal="center" vertical="center"/>
    </xf>
    <xf numFmtId="180" fontId="57" fillId="4" borderId="34" xfId="9" applyNumberFormat="1" applyFont="1" applyFill="1" applyBorder="1" applyAlignment="1">
      <alignment horizontal="center" vertical="center"/>
    </xf>
    <xf numFmtId="9" fontId="4" fillId="0" borderId="5" xfId="21" applyFont="1" applyFill="1" applyBorder="1" applyAlignment="1">
      <alignment horizontal="center" vertical="center" wrapText="1"/>
    </xf>
    <xf numFmtId="9" fontId="16" fillId="0" borderId="5" xfId="21" applyFont="1" applyFill="1" applyBorder="1" applyAlignment="1">
      <alignment horizontal="center" vertical="center" wrapText="1"/>
    </xf>
    <xf numFmtId="4" fontId="57" fillId="0" borderId="2" xfId="10" applyNumberFormat="1" applyFont="1" applyFill="1" applyBorder="1" applyAlignment="1">
      <alignment horizontal="center" vertical="center" wrapText="1"/>
    </xf>
    <xf numFmtId="182" fontId="57" fillId="0" borderId="2" xfId="0" applyNumberFormat="1" applyFont="1" applyFill="1" applyBorder="1" applyAlignment="1">
      <alignment horizontal="center" vertical="center" wrapText="1"/>
    </xf>
    <xf numFmtId="182" fontId="57" fillId="0" borderId="2" xfId="10" applyNumberFormat="1" applyFont="1" applyFill="1" applyBorder="1" applyAlignment="1">
      <alignment horizontal="center" vertical="center" wrapText="1"/>
    </xf>
    <xf numFmtId="3" fontId="57" fillId="0" borderId="2" xfId="10" applyNumberFormat="1" applyFont="1" applyFill="1" applyBorder="1" applyAlignment="1">
      <alignment horizontal="center" vertical="center" wrapText="1"/>
    </xf>
    <xf numFmtId="3" fontId="4" fillId="0" borderId="5" xfId="2865" applyNumberFormat="1" applyFont="1" applyFill="1" applyBorder="1" applyAlignment="1">
      <alignment horizontal="center" vertical="center" wrapText="1"/>
    </xf>
    <xf numFmtId="173" fontId="4" fillId="0" borderId="5" xfId="21" applyNumberFormat="1" applyFont="1" applyFill="1" applyBorder="1" applyAlignment="1">
      <alignment horizontal="center" vertical="center" wrapText="1"/>
    </xf>
    <xf numFmtId="9" fontId="58" fillId="0" borderId="5" xfId="21" applyFont="1" applyFill="1" applyBorder="1" applyAlignment="1">
      <alignment horizontal="center" vertical="center"/>
    </xf>
    <xf numFmtId="9" fontId="57" fillId="0" borderId="5" xfId="21" applyFont="1" applyFill="1" applyBorder="1" applyAlignment="1">
      <alignment horizontal="center" vertical="center" wrapText="1"/>
    </xf>
    <xf numFmtId="9" fontId="57" fillId="0" borderId="2" xfId="21" applyFont="1" applyFill="1" applyBorder="1" applyAlignment="1">
      <alignment horizontal="center" vertical="center" wrapText="1"/>
    </xf>
    <xf numFmtId="9" fontId="57" fillId="0" borderId="2" xfId="21" applyFont="1" applyFill="1" applyBorder="1" applyAlignment="1">
      <alignment horizontal="center" vertical="center"/>
    </xf>
    <xf numFmtId="180" fontId="4" fillId="0" borderId="5" xfId="10" applyNumberFormat="1" applyFont="1" applyFill="1" applyBorder="1" applyAlignment="1">
      <alignment horizontal="center" vertical="center" wrapText="1"/>
    </xf>
    <xf numFmtId="180" fontId="4" fillId="0" borderId="43" xfId="10" applyNumberFormat="1" applyFont="1" applyFill="1" applyBorder="1" applyAlignment="1">
      <alignment horizontal="center" vertical="center" wrapText="1"/>
    </xf>
    <xf numFmtId="180" fontId="24" fillId="0" borderId="7" xfId="9" applyNumberFormat="1" applyFont="1" applyFill="1" applyBorder="1" applyAlignment="1">
      <alignment horizontal="center" vertical="center"/>
    </xf>
    <xf numFmtId="9" fontId="4" fillId="0" borderId="2" xfId="24" applyFont="1" applyFill="1" applyBorder="1" applyAlignment="1">
      <alignment horizontal="center" vertical="center" wrapText="1"/>
    </xf>
    <xf numFmtId="3" fontId="4" fillId="0" borderId="2" xfId="0" applyNumberFormat="1" applyFont="1" applyBorder="1" applyAlignment="1">
      <alignment horizontal="center" vertical="center" wrapText="1"/>
    </xf>
    <xf numFmtId="42" fontId="24" fillId="4" borderId="34" xfId="2865" applyFont="1" applyFill="1" applyBorder="1" applyAlignment="1">
      <alignment horizontal="center" vertical="center"/>
    </xf>
    <xf numFmtId="42" fontId="4" fillId="4" borderId="34" xfId="2865" applyFont="1" applyFill="1" applyBorder="1" applyAlignment="1">
      <alignment horizontal="center" vertical="center" wrapText="1"/>
    </xf>
    <xf numFmtId="42" fontId="4" fillId="4" borderId="34" xfId="2865" applyFont="1" applyFill="1" applyBorder="1" applyAlignment="1">
      <alignment horizontal="center" vertical="center"/>
    </xf>
    <xf numFmtId="183" fontId="4" fillId="0" borderId="5" xfId="0" applyNumberFormat="1" applyFont="1" applyBorder="1" applyAlignment="1">
      <alignment horizontal="center" vertical="center" wrapText="1"/>
    </xf>
    <xf numFmtId="4" fontId="4" fillId="0" borderId="2" xfId="0" applyNumberFormat="1" applyFont="1" applyBorder="1" applyAlignment="1">
      <alignment horizontal="center" vertical="center" wrapText="1"/>
    </xf>
    <xf numFmtId="4" fontId="4" fillId="0" borderId="2" xfId="2865" applyNumberFormat="1" applyFont="1" applyFill="1" applyBorder="1" applyAlignment="1">
      <alignment horizontal="center" vertical="center" wrapText="1"/>
    </xf>
    <xf numFmtId="3" fontId="4" fillId="0" borderId="5" xfId="24" applyNumberFormat="1" applyFont="1" applyFill="1" applyBorder="1" applyAlignment="1">
      <alignment horizontal="center" vertical="center" wrapText="1"/>
    </xf>
    <xf numFmtId="3" fontId="4" fillId="0" borderId="5" xfId="0" applyNumberFormat="1" applyFont="1" applyBorder="1" applyAlignment="1">
      <alignment horizontal="center" vertical="center" wrapText="1"/>
    </xf>
    <xf numFmtId="180" fontId="4" fillId="23" borderId="3" xfId="10" applyNumberFormat="1" applyFont="1" applyFill="1" applyBorder="1" applyAlignment="1">
      <alignment horizontal="center" vertical="center" wrapText="1"/>
    </xf>
    <xf numFmtId="180" fontId="4" fillId="23" borderId="10" xfId="10" applyNumberFormat="1" applyFont="1" applyFill="1" applyBorder="1" applyAlignment="1">
      <alignment horizontal="center" vertical="center" wrapText="1"/>
    </xf>
    <xf numFmtId="180" fontId="24" fillId="23" borderId="1" xfId="10" applyNumberFormat="1" applyFont="1" applyFill="1" applyBorder="1" applyAlignment="1">
      <alignment horizontal="center" vertical="center"/>
    </xf>
    <xf numFmtId="180" fontId="24" fillId="23" borderId="11" xfId="10" applyNumberFormat="1" applyFont="1" applyFill="1" applyBorder="1" applyAlignment="1">
      <alignment horizontal="center" vertical="center"/>
    </xf>
    <xf numFmtId="180" fontId="4" fillId="23" borderId="4" xfId="0" applyNumberFormat="1" applyFont="1" applyFill="1" applyBorder="1" applyAlignment="1">
      <alignment horizontal="center" vertical="center" wrapText="1"/>
    </xf>
    <xf numFmtId="180" fontId="4" fillId="23" borderId="12" xfId="0" applyNumberFormat="1" applyFont="1" applyFill="1" applyBorder="1" applyAlignment="1">
      <alignment horizontal="center" vertical="center" wrapText="1"/>
    </xf>
    <xf numFmtId="3" fontId="4" fillId="0" borderId="2" xfId="0" applyNumberFormat="1" applyFont="1" applyFill="1" applyBorder="1" applyAlignment="1">
      <alignment horizontal="center" vertical="center" wrapText="1"/>
    </xf>
    <xf numFmtId="179" fontId="4" fillId="0" borderId="2" xfId="0" applyNumberFormat="1" applyFont="1" applyFill="1" applyBorder="1" applyAlignment="1">
      <alignment horizontal="center" vertical="center" wrapText="1"/>
    </xf>
    <xf numFmtId="9" fontId="4" fillId="0" borderId="2" xfId="21" applyFont="1" applyFill="1" applyBorder="1" applyAlignment="1">
      <alignment horizontal="center" vertical="center" wrapText="1"/>
    </xf>
    <xf numFmtId="183" fontId="4" fillId="0" borderId="2" xfId="21" applyNumberFormat="1" applyFont="1" applyFill="1" applyBorder="1" applyAlignment="1">
      <alignment horizontal="center" vertical="center" wrapText="1"/>
    </xf>
    <xf numFmtId="42" fontId="32" fillId="4" borderId="34" xfId="2865" applyFont="1" applyFill="1" applyBorder="1" applyAlignment="1">
      <alignment horizontal="center" vertical="center" wrapText="1"/>
    </xf>
    <xf numFmtId="3" fontId="83" fillId="0" borderId="5" xfId="0" applyNumberFormat="1" applyFont="1" applyFill="1" applyBorder="1" applyAlignment="1">
      <alignment horizontal="center" vertical="center" wrapText="1"/>
    </xf>
    <xf numFmtId="180" fontId="0" fillId="0" borderId="1" xfId="0" applyNumberFormat="1" applyFont="1" applyFill="1" applyBorder="1" applyAlignment="1">
      <alignment horizontal="center" vertical="center"/>
    </xf>
    <xf numFmtId="4" fontId="4" fillId="0" borderId="2" xfId="21" applyNumberFormat="1" applyFont="1" applyFill="1" applyBorder="1" applyAlignment="1">
      <alignment horizontal="center" vertical="center" wrapText="1"/>
    </xf>
    <xf numFmtId="181" fontId="58" fillId="4" borderId="34" xfId="9" applyNumberFormat="1" applyFont="1" applyFill="1" applyBorder="1" applyAlignment="1">
      <alignment horizontal="center" vertical="center"/>
    </xf>
    <xf numFmtId="9" fontId="84" fillId="0" borderId="5" xfId="21" applyFont="1" applyFill="1" applyBorder="1" applyAlignment="1">
      <alignment horizontal="center" vertical="center" wrapText="1"/>
    </xf>
    <xf numFmtId="3" fontId="84" fillId="0" borderId="1" xfId="0" applyNumberFormat="1" applyFont="1" applyFill="1" applyBorder="1" applyAlignment="1">
      <alignment horizontal="center" vertical="center" wrapText="1"/>
    </xf>
    <xf numFmtId="3" fontId="16" fillId="0" borderId="2" xfId="10" applyNumberFormat="1" applyFont="1" applyFill="1" applyBorder="1" applyAlignment="1">
      <alignment horizontal="center" vertical="center" wrapText="1"/>
    </xf>
    <xf numFmtId="181" fontId="17" fillId="4" borderId="34" xfId="9" applyNumberFormat="1" applyFont="1" applyFill="1" applyBorder="1" applyAlignment="1">
      <alignment horizontal="center" vertical="center"/>
    </xf>
    <xf numFmtId="9" fontId="58" fillId="0" borderId="2" xfId="21" applyFont="1" applyFill="1" applyBorder="1" applyAlignment="1">
      <alignment horizontal="center" vertical="center"/>
    </xf>
    <xf numFmtId="42" fontId="24" fillId="23" borderId="3" xfId="2865" applyFont="1" applyFill="1" applyBorder="1" applyAlignment="1">
      <alignment horizontal="center" vertical="center"/>
    </xf>
    <xf numFmtId="42" fontId="24" fillId="23" borderId="1" xfId="2865" applyFont="1" applyFill="1" applyBorder="1" applyAlignment="1">
      <alignment horizontal="center" vertical="center"/>
    </xf>
    <xf numFmtId="180" fontId="4" fillId="0" borderId="7" xfId="0" applyNumberFormat="1" applyFont="1" applyFill="1" applyBorder="1" applyAlignment="1">
      <alignment horizontal="center" vertical="center" wrapText="1"/>
    </xf>
    <xf numFmtId="0" fontId="12" fillId="16" borderId="5" xfId="0" applyFont="1" applyFill="1" applyBorder="1" applyAlignment="1" applyProtection="1">
      <alignment horizontal="left" vertical="center" wrapText="1"/>
      <protection locked="0"/>
    </xf>
    <xf numFmtId="179" fontId="4" fillId="0" borderId="5" xfId="0" applyNumberFormat="1" applyFont="1" applyFill="1" applyBorder="1" applyAlignment="1">
      <alignment horizontal="center" vertical="center" wrapText="1"/>
    </xf>
    <xf numFmtId="0" fontId="82" fillId="16" borderId="4" xfId="0" applyFont="1" applyFill="1" applyBorder="1" applyAlignment="1">
      <alignment horizontal="center" vertical="center" wrapText="1"/>
    </xf>
    <xf numFmtId="0" fontId="82" fillId="20" borderId="4" xfId="0" applyFont="1" applyFill="1" applyBorder="1" applyAlignment="1">
      <alignment horizontal="center" vertical="center" wrapText="1"/>
    </xf>
    <xf numFmtId="0" fontId="82" fillId="17" borderId="4" xfId="0" applyFont="1" applyFill="1" applyBorder="1" applyAlignment="1">
      <alignment horizontal="center" vertical="center" wrapText="1"/>
    </xf>
    <xf numFmtId="0" fontId="82" fillId="21" borderId="4" xfId="0" applyFont="1" applyFill="1" applyBorder="1" applyAlignment="1">
      <alignment horizontal="center" vertical="center" wrapText="1"/>
    </xf>
    <xf numFmtId="0" fontId="82" fillId="19" borderId="4" xfId="0" applyFont="1" applyFill="1" applyBorder="1" applyAlignment="1">
      <alignment horizontal="center" vertical="center" wrapText="1"/>
    </xf>
    <xf numFmtId="0" fontId="11" fillId="20" borderId="47" xfId="0" applyFont="1" applyFill="1" applyBorder="1" applyAlignment="1">
      <alignment horizontal="center" vertical="center" wrapText="1"/>
    </xf>
    <xf numFmtId="0" fontId="11" fillId="19" borderId="47" xfId="0" applyFont="1" applyFill="1" applyBorder="1" applyAlignment="1">
      <alignment horizontal="center" vertical="center" wrapText="1"/>
    </xf>
    <xf numFmtId="0" fontId="11" fillId="16" borderId="47" xfId="0" applyFont="1" applyFill="1" applyBorder="1" applyAlignment="1">
      <alignment horizontal="center" vertical="center" wrapText="1"/>
    </xf>
    <xf numFmtId="0" fontId="11" fillId="21" borderId="47" xfId="0" applyFont="1" applyFill="1" applyBorder="1" applyAlignment="1">
      <alignment horizontal="center" vertical="center" wrapText="1"/>
    </xf>
    <xf numFmtId="0" fontId="4" fillId="0" borderId="1" xfId="0" applyFont="1" applyFill="1" applyBorder="1" applyAlignment="1">
      <alignment horizontal="left" vertical="top" wrapText="1"/>
    </xf>
    <xf numFmtId="0" fontId="4" fillId="0" borderId="1" xfId="0" applyFont="1" applyFill="1" applyBorder="1" applyAlignment="1">
      <alignment horizontal="center" vertical="center" wrapText="1"/>
    </xf>
    <xf numFmtId="0" fontId="71" fillId="0" borderId="1" xfId="2867" applyFont="1" applyFill="1" applyBorder="1" applyAlignment="1">
      <alignment horizontal="center" vertical="center" wrapText="1"/>
    </xf>
    <xf numFmtId="10" fontId="4" fillId="0" borderId="1" xfId="24" applyNumberFormat="1" applyFont="1" applyFill="1" applyBorder="1" applyAlignment="1">
      <alignment horizontal="center" vertical="center" wrapText="1"/>
    </xf>
    <xf numFmtId="0" fontId="4" fillId="0" borderId="1" xfId="0" applyFont="1" applyFill="1" applyBorder="1" applyAlignment="1">
      <alignment horizontal="center" vertical="center"/>
    </xf>
    <xf numFmtId="1" fontId="24" fillId="0" borderId="1" xfId="0" applyNumberFormat="1" applyFont="1" applyFill="1" applyBorder="1" applyAlignment="1">
      <alignment horizontal="center" vertical="center"/>
    </xf>
    <xf numFmtId="1" fontId="4" fillId="0" borderId="1" xfId="0" applyNumberFormat="1" applyFont="1" applyFill="1" applyBorder="1" applyAlignment="1">
      <alignment horizontal="center" vertical="center" wrapText="1"/>
    </xf>
    <xf numFmtId="0" fontId="24" fillId="0" borderId="0" xfId="0" applyFont="1" applyFill="1" applyAlignment="1">
      <alignment horizontal="center" vertical="center"/>
    </xf>
    <xf numFmtId="9" fontId="24" fillId="0" borderId="1" xfId="0" applyNumberFormat="1" applyFont="1" applyFill="1" applyBorder="1" applyAlignment="1">
      <alignment horizontal="center" vertical="center"/>
    </xf>
    <xf numFmtId="184" fontId="24" fillId="0" borderId="1" xfId="0" applyNumberFormat="1" applyFont="1" applyFill="1" applyBorder="1" applyAlignment="1">
      <alignment horizontal="center" vertical="center"/>
    </xf>
    <xf numFmtId="0" fontId="11" fillId="16" borderId="1" xfId="0" applyFont="1" applyFill="1" applyBorder="1" applyAlignment="1">
      <alignment horizontal="center" vertical="center" wrapText="1"/>
    </xf>
    <xf numFmtId="0" fontId="10" fillId="17" borderId="45" xfId="0" applyFont="1" applyFill="1" applyBorder="1" applyAlignment="1">
      <alignment horizontal="center" vertical="center" wrapText="1"/>
    </xf>
    <xf numFmtId="0" fontId="10" fillId="17" borderId="46" xfId="0" applyFont="1" applyFill="1" applyBorder="1" applyAlignment="1">
      <alignment horizontal="center" vertical="center" wrapText="1"/>
    </xf>
    <xf numFmtId="0" fontId="11" fillId="20" borderId="45" xfId="0" applyFont="1" applyFill="1" applyBorder="1" applyAlignment="1">
      <alignment horizontal="center" vertical="center" wrapText="1"/>
    </xf>
    <xf numFmtId="0" fontId="11" fillId="20" borderId="46" xfId="0" applyFont="1" applyFill="1" applyBorder="1" applyAlignment="1">
      <alignment horizontal="center" vertical="center" wrapText="1"/>
    </xf>
    <xf numFmtId="0" fontId="10" fillId="24" borderId="45" xfId="0" applyFont="1" applyFill="1" applyBorder="1" applyAlignment="1">
      <alignment horizontal="center" vertical="center" wrapText="1"/>
    </xf>
    <xf numFmtId="0" fontId="10" fillId="24" borderId="46" xfId="0" applyFont="1" applyFill="1" applyBorder="1" applyAlignment="1">
      <alignment horizontal="center" vertical="center" wrapText="1"/>
    </xf>
    <xf numFmtId="0" fontId="60" fillId="20" borderId="1" xfId="0" applyFont="1" applyFill="1" applyBorder="1" applyAlignment="1">
      <alignment horizontal="center" vertical="center"/>
    </xf>
    <xf numFmtId="0" fontId="60" fillId="16" borderId="1" xfId="0" applyFont="1" applyFill="1" applyBorder="1" applyAlignment="1">
      <alignment horizontal="center" vertical="center" wrapText="1"/>
    </xf>
    <xf numFmtId="0" fontId="10" fillId="16" borderId="14" xfId="0" applyFont="1" applyFill="1" applyBorder="1" applyAlignment="1">
      <alignment horizontal="left" vertical="center" wrapText="1"/>
    </xf>
    <xf numFmtId="0" fontId="10" fillId="16" borderId="1" xfId="0" applyFont="1" applyFill="1" applyBorder="1" applyAlignment="1">
      <alignment horizontal="left" vertical="center" wrapText="1"/>
    </xf>
    <xf numFmtId="0" fontId="10" fillId="16" borderId="38" xfId="0" applyFont="1" applyFill="1" applyBorder="1" applyAlignment="1">
      <alignment horizontal="left" vertical="center" wrapText="1"/>
    </xf>
    <xf numFmtId="0" fontId="10" fillId="16" borderId="4" xfId="0" applyFont="1" applyFill="1" applyBorder="1" applyAlignment="1">
      <alignment horizontal="left" vertical="center" wrapText="1"/>
    </xf>
    <xf numFmtId="0" fontId="10" fillId="0" borderId="1" xfId="0" applyFont="1" applyBorder="1" applyAlignment="1">
      <alignment horizontal="left" vertical="center" wrapText="1"/>
    </xf>
    <xf numFmtId="0" fontId="10" fillId="0" borderId="11" xfId="0" applyFont="1" applyBorder="1" applyAlignment="1">
      <alignment horizontal="left" vertical="center" wrapText="1"/>
    </xf>
    <xf numFmtId="0" fontId="10" fillId="0" borderId="4" xfId="0" applyFont="1" applyBorder="1" applyAlignment="1">
      <alignment horizontal="left" vertical="center" wrapText="1"/>
    </xf>
    <xf numFmtId="0" fontId="10" fillId="0" borderId="12" xfId="0" applyFont="1" applyBorder="1" applyAlignment="1">
      <alignment horizontal="left" vertical="center" wrapText="1"/>
    </xf>
    <xf numFmtId="0" fontId="28" fillId="0" borderId="13" xfId="0" applyFont="1" applyBorder="1" applyAlignment="1">
      <alignment horizontal="center"/>
    </xf>
    <xf numFmtId="0" fontId="28" fillId="0" borderId="3" xfId="0" applyFont="1" applyBorder="1" applyAlignment="1">
      <alignment horizontal="center"/>
    </xf>
    <xf numFmtId="0" fontId="28" fillId="0" borderId="14" xfId="0" applyFont="1" applyBorder="1" applyAlignment="1">
      <alignment horizontal="center"/>
    </xf>
    <xf numFmtId="0" fontId="28" fillId="0" borderId="1" xfId="0" applyFont="1" applyBorder="1" applyAlignment="1">
      <alignment horizontal="center"/>
    </xf>
    <xf numFmtId="0" fontId="64" fillId="16" borderId="3" xfId="0" applyFont="1" applyFill="1" applyBorder="1" applyAlignment="1">
      <alignment horizontal="center" vertical="center" wrapText="1"/>
    </xf>
    <xf numFmtId="0" fontId="64" fillId="16" borderId="10" xfId="0" applyFont="1" applyFill="1" applyBorder="1" applyAlignment="1">
      <alignment horizontal="center" vertical="center" wrapText="1"/>
    </xf>
    <xf numFmtId="0" fontId="65" fillId="16" borderId="1" xfId="0" applyFont="1" applyFill="1" applyBorder="1" applyAlignment="1">
      <alignment horizontal="center"/>
    </xf>
    <xf numFmtId="0" fontId="65" fillId="16" borderId="11" xfId="0" applyFont="1" applyFill="1" applyBorder="1" applyAlignment="1">
      <alignment horizontal="center"/>
    </xf>
    <xf numFmtId="0" fontId="27" fillId="3" borderId="1" xfId="0" applyFont="1" applyFill="1" applyBorder="1" applyAlignment="1">
      <alignment vertical="center" wrapText="1"/>
    </xf>
    <xf numFmtId="0" fontId="27" fillId="3" borderId="1" xfId="0" applyFont="1" applyFill="1" applyBorder="1" applyAlignment="1">
      <alignment horizontal="left" vertical="center" wrapText="1"/>
    </xf>
    <xf numFmtId="0" fontId="27" fillId="3" borderId="11" xfId="0" applyFont="1" applyFill="1" applyBorder="1" applyAlignment="1">
      <alignment horizontal="left" vertical="center" wrapText="1"/>
    </xf>
    <xf numFmtId="0" fontId="21" fillId="4" borderId="8" xfId="0" applyFont="1" applyFill="1" applyBorder="1" applyAlignment="1">
      <alignment horizontal="center" vertical="center"/>
    </xf>
    <xf numFmtId="0" fontId="21" fillId="4" borderId="6" xfId="0" applyFont="1" applyFill="1" applyBorder="1" applyAlignment="1">
      <alignment horizontal="center" vertical="center"/>
    </xf>
    <xf numFmtId="0" fontId="21" fillId="4" borderId="7" xfId="0" applyFont="1" applyFill="1" applyBorder="1" applyAlignment="1">
      <alignment horizontal="center" vertical="center"/>
    </xf>
    <xf numFmtId="0" fontId="21" fillId="4" borderId="8" xfId="0" applyFont="1" applyFill="1" applyBorder="1" applyAlignment="1">
      <alignment horizontal="center" vertical="center" wrapText="1"/>
    </xf>
    <xf numFmtId="0" fontId="21" fillId="4" borderId="6" xfId="0" applyFont="1" applyFill="1" applyBorder="1" applyAlignment="1">
      <alignment horizontal="center" vertical="center" wrapText="1"/>
    </xf>
    <xf numFmtId="0" fontId="21" fillId="4" borderId="7" xfId="0" applyFont="1" applyFill="1" applyBorder="1" applyAlignment="1">
      <alignment horizontal="center" vertical="center" wrapText="1"/>
    </xf>
    <xf numFmtId="0" fontId="0" fillId="0" borderId="1" xfId="0" applyBorder="1" applyAlignment="1">
      <alignment horizontal="left" vertical="center" wrapText="1"/>
    </xf>
    <xf numFmtId="0" fontId="0" fillId="0" borderId="1" xfId="0" applyBorder="1" applyAlignment="1">
      <alignment horizontal="left" vertical="center"/>
    </xf>
    <xf numFmtId="0" fontId="0" fillId="0" borderId="0" xfId="0" applyAlignment="1">
      <alignment horizontal="center" vertical="center"/>
    </xf>
    <xf numFmtId="0" fontId="4" fillId="0" borderId="5" xfId="0" applyFont="1" applyBorder="1" applyAlignment="1">
      <alignment horizontal="center" vertical="center" wrapText="1"/>
    </xf>
    <xf numFmtId="0" fontId="4" fillId="0" borderId="1" xfId="0" applyFont="1" applyBorder="1" applyAlignment="1">
      <alignment horizontal="center" vertical="center" wrapText="1"/>
    </xf>
    <xf numFmtId="0" fontId="33" fillId="0" borderId="1" xfId="0" applyFont="1" applyFill="1" applyBorder="1" applyAlignment="1">
      <alignment horizontal="left" vertical="top" wrapText="1"/>
    </xf>
    <xf numFmtId="0" fontId="4" fillId="0" borderId="2"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6" fillId="0" borderId="1" xfId="0" applyFont="1" applyFill="1" applyBorder="1" applyAlignment="1">
      <alignment horizontal="center" vertical="center" wrapText="1"/>
    </xf>
    <xf numFmtId="0" fontId="33" fillId="0" borderId="1" xfId="0" applyFont="1" applyFill="1" applyBorder="1" applyAlignment="1">
      <alignment horizontal="center" vertical="center" wrapText="1"/>
    </xf>
    <xf numFmtId="0" fontId="4" fillId="0" borderId="1" xfId="0" applyFont="1" applyFill="1" applyBorder="1" applyAlignment="1">
      <alignment horizontal="left" vertical="top" wrapText="1"/>
    </xf>
    <xf numFmtId="0" fontId="20" fillId="0" borderId="0" xfId="0" applyFont="1" applyAlignment="1">
      <alignment horizontal="center" vertical="center"/>
    </xf>
    <xf numFmtId="0" fontId="21" fillId="4" borderId="1" xfId="0" applyFont="1" applyFill="1" applyBorder="1" applyAlignment="1">
      <alignment horizontal="center" vertical="center"/>
    </xf>
    <xf numFmtId="0" fontId="21" fillId="0" borderId="0" xfId="0" applyFont="1" applyAlignment="1">
      <alignment horizontal="center" vertical="center" wrapText="1"/>
    </xf>
    <xf numFmtId="181" fontId="0" fillId="0" borderId="0" xfId="0" applyNumberFormat="1" applyAlignment="1">
      <alignment horizontal="left" vertical="center"/>
    </xf>
    <xf numFmtId="0" fontId="0" fillId="0" borderId="0" xfId="0" applyAlignment="1">
      <alignment horizontal="left" vertical="center"/>
    </xf>
    <xf numFmtId="180" fontId="4" fillId="16" borderId="1" xfId="0" applyNumberFormat="1" applyFont="1" applyFill="1" applyBorder="1" applyAlignment="1" applyProtection="1">
      <alignment horizontal="center" vertical="center" wrapText="1"/>
      <protection locked="0"/>
    </xf>
    <xf numFmtId="0" fontId="82" fillId="16" borderId="3" xfId="0" applyFont="1" applyFill="1" applyBorder="1" applyAlignment="1">
      <alignment horizontal="center" vertical="center" wrapText="1"/>
    </xf>
    <xf numFmtId="0" fontId="82" fillId="16" borderId="1" xfId="0" applyFont="1" applyFill="1" applyBorder="1" applyAlignment="1">
      <alignment horizontal="center" vertical="center" wrapText="1"/>
    </xf>
    <xf numFmtId="0" fontId="82" fillId="16" borderId="4" xfId="0" applyFont="1" applyFill="1" applyBorder="1" applyAlignment="1">
      <alignment horizontal="center" vertical="center" wrapText="1"/>
    </xf>
    <xf numFmtId="0" fontId="33" fillId="0" borderId="5" xfId="0" applyFont="1" applyFill="1" applyBorder="1" applyAlignment="1">
      <alignment horizontal="left" vertical="top" wrapText="1"/>
    </xf>
    <xf numFmtId="0" fontId="33" fillId="0" borderId="5" xfId="0" applyFont="1" applyFill="1" applyBorder="1" applyAlignment="1">
      <alignment horizontal="center" vertical="center" wrapText="1"/>
    </xf>
    <xf numFmtId="0" fontId="20" fillId="0" borderId="13" xfId="0" applyFont="1" applyBorder="1" applyAlignment="1">
      <alignment horizontal="center"/>
    </xf>
    <xf numFmtId="0" fontId="20" fillId="0" borderId="3" xfId="0" applyFont="1" applyBorder="1" applyAlignment="1">
      <alignment horizontal="center"/>
    </xf>
    <xf numFmtId="0" fontId="20" fillId="0" borderId="14" xfId="0" applyFont="1" applyBorder="1" applyAlignment="1">
      <alignment horizontal="center"/>
    </xf>
    <xf numFmtId="0" fontId="20" fillId="0" borderId="1" xfId="0" applyFont="1" applyBorder="1" applyAlignment="1">
      <alignment horizontal="center"/>
    </xf>
    <xf numFmtId="0" fontId="2" fillId="16" borderId="14" xfId="0" applyFont="1" applyFill="1" applyBorder="1" applyAlignment="1">
      <alignment horizontal="center" vertical="center" wrapText="1"/>
    </xf>
    <xf numFmtId="0" fontId="2" fillId="16" borderId="1" xfId="0" applyFont="1" applyFill="1" applyBorder="1" applyAlignment="1">
      <alignment horizontal="center" vertical="center" wrapText="1"/>
    </xf>
    <xf numFmtId="0" fontId="2" fillId="16" borderId="38" xfId="0" applyFont="1" applyFill="1" applyBorder="1" applyAlignment="1">
      <alignment horizontal="center" vertical="center" wrapText="1"/>
    </xf>
    <xf numFmtId="0" fontId="2" fillId="16" borderId="4" xfId="0" applyFont="1" applyFill="1" applyBorder="1" applyAlignment="1">
      <alignment horizontal="center" vertical="center" wrapText="1"/>
    </xf>
    <xf numFmtId="0" fontId="82" fillId="16" borderId="13" xfId="0" applyFont="1" applyFill="1" applyBorder="1" applyAlignment="1">
      <alignment horizontal="center" vertical="center" wrapText="1"/>
    </xf>
    <xf numFmtId="0" fontId="82" fillId="16" borderId="14" xfId="0" applyFont="1" applyFill="1" applyBorder="1" applyAlignment="1">
      <alignment horizontal="center" vertical="center" wrapText="1"/>
    </xf>
    <xf numFmtId="0" fontId="27" fillId="16" borderId="3" xfId="0" applyFont="1" applyFill="1" applyBorder="1" applyAlignment="1">
      <alignment horizontal="center" vertical="center" wrapText="1"/>
    </xf>
    <xf numFmtId="0" fontId="27" fillId="16" borderId="10" xfId="0" applyFont="1" applyFill="1" applyBorder="1" applyAlignment="1">
      <alignment horizontal="center" vertical="center" wrapText="1"/>
    </xf>
    <xf numFmtId="0" fontId="67" fillId="16" borderId="1" xfId="0" applyFont="1" applyFill="1" applyBorder="1" applyAlignment="1">
      <alignment horizontal="center" vertical="center" wrapText="1"/>
    </xf>
    <xf numFmtId="0" fontId="67" fillId="16" borderId="11" xfId="0" applyFont="1" applyFill="1" applyBorder="1" applyAlignment="1">
      <alignment horizontal="center" vertical="center" wrapText="1"/>
    </xf>
    <xf numFmtId="0" fontId="27" fillId="0" borderId="1" xfId="0" applyFont="1" applyBorder="1" applyAlignment="1">
      <alignment horizontal="left" vertical="center"/>
    </xf>
    <xf numFmtId="0" fontId="82" fillId="16" borderId="3" xfId="0" applyFont="1" applyFill="1" applyBorder="1" applyAlignment="1">
      <alignment horizontal="center" vertical="center"/>
    </xf>
    <xf numFmtId="0" fontId="82" fillId="20" borderId="1" xfId="0" applyFont="1" applyFill="1" applyBorder="1" applyAlignment="1">
      <alignment horizontal="center" vertical="center"/>
    </xf>
    <xf numFmtId="0" fontId="27" fillId="0" borderId="11" xfId="0" applyFont="1" applyBorder="1" applyAlignment="1">
      <alignment horizontal="left" vertical="center"/>
    </xf>
    <xf numFmtId="0" fontId="10" fillId="0" borderId="39" xfId="0" applyFont="1" applyBorder="1" applyAlignment="1">
      <alignment horizontal="left" vertical="center" wrapText="1"/>
    </xf>
    <xf numFmtId="0" fontId="10" fillId="0" borderId="22" xfId="0" applyFont="1" applyBorder="1" applyAlignment="1">
      <alignment horizontal="left" vertical="center" wrapText="1"/>
    </xf>
    <xf numFmtId="0" fontId="10" fillId="0" borderId="23" xfId="0" applyFont="1" applyBorder="1" applyAlignment="1">
      <alignment horizontal="left" vertical="center" wrapText="1"/>
    </xf>
    <xf numFmtId="0" fontId="10" fillId="0" borderId="8" xfId="0" applyFont="1" applyBorder="1" applyAlignment="1">
      <alignment horizontal="left" vertical="center" wrapText="1"/>
    </xf>
    <xf numFmtId="0" fontId="10" fillId="0" borderId="6" xfId="0" applyFont="1" applyBorder="1" applyAlignment="1">
      <alignment horizontal="left" vertical="center" wrapText="1"/>
    </xf>
    <xf numFmtId="0" fontId="10" fillId="0" borderId="40" xfId="0" applyFont="1" applyBorder="1" applyAlignment="1">
      <alignment horizontal="left" vertical="center" wrapText="1"/>
    </xf>
    <xf numFmtId="0" fontId="82" fillId="16" borderId="10" xfId="0" applyFont="1" applyFill="1" applyBorder="1" applyAlignment="1">
      <alignment horizontal="center" vertical="center" wrapText="1"/>
    </xf>
    <xf numFmtId="0" fontId="82" fillId="16" borderId="11" xfId="0" applyFont="1" applyFill="1" applyBorder="1" applyAlignment="1">
      <alignment horizontal="center" vertical="center" wrapText="1"/>
    </xf>
    <xf numFmtId="0" fontId="82" fillId="16" borderId="12" xfId="0" applyFont="1" applyFill="1" applyBorder="1" applyAlignment="1">
      <alignment horizontal="center" vertical="center" wrapText="1"/>
    </xf>
    <xf numFmtId="0" fontId="10" fillId="17" borderId="48" xfId="0" applyFont="1" applyFill="1" applyBorder="1" applyAlignment="1">
      <alignment horizontal="center" vertical="center" wrapText="1"/>
    </xf>
    <xf numFmtId="0" fontId="10" fillId="24" borderId="48" xfId="0" applyFont="1" applyFill="1" applyBorder="1" applyAlignment="1">
      <alignment horizontal="center" vertical="center" wrapText="1"/>
    </xf>
    <xf numFmtId="0" fontId="60" fillId="20" borderId="16" xfId="0" applyFont="1" applyFill="1" applyBorder="1" applyAlignment="1">
      <alignment horizontal="center" vertical="center" wrapText="1"/>
    </xf>
    <xf numFmtId="0" fontId="60" fillId="20" borderId="18" xfId="0" applyFont="1" applyFill="1" applyBorder="1" applyAlignment="1">
      <alignment horizontal="center" vertical="center" wrapText="1"/>
    </xf>
    <xf numFmtId="0" fontId="60" fillId="20" borderId="20" xfId="0" applyFont="1" applyFill="1" applyBorder="1" applyAlignment="1">
      <alignment horizontal="center" vertical="center" wrapText="1"/>
    </xf>
    <xf numFmtId="180" fontId="20" fillId="16" borderId="5" xfId="0" applyNumberFormat="1" applyFont="1" applyFill="1" applyBorder="1" applyAlignment="1">
      <alignment horizontal="center" wrapText="1"/>
    </xf>
    <xf numFmtId="180" fontId="20" fillId="16" borderId="1" xfId="0" applyNumberFormat="1" applyFont="1" applyFill="1" applyBorder="1" applyAlignment="1">
      <alignment horizontal="center" wrapText="1"/>
    </xf>
    <xf numFmtId="0" fontId="10" fillId="20" borderId="45" xfId="0" applyFont="1" applyFill="1" applyBorder="1" applyAlignment="1">
      <alignment horizontal="center" vertical="center" wrapText="1"/>
    </xf>
    <xf numFmtId="0" fontId="10" fillId="20" borderId="46" xfId="0" applyFont="1" applyFill="1" applyBorder="1" applyAlignment="1">
      <alignment horizontal="center" vertical="center" wrapText="1"/>
    </xf>
    <xf numFmtId="0" fontId="10" fillId="20" borderId="48"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15"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5" fillId="0" borderId="1" xfId="16" applyFont="1" applyFill="1" applyBorder="1" applyAlignment="1">
      <alignment horizontal="left" vertical="top" wrapText="1"/>
    </xf>
    <xf numFmtId="10" fontId="11" fillId="0" borderId="1" xfId="0" applyNumberFormat="1" applyFont="1" applyBorder="1" applyAlignment="1" applyProtection="1">
      <alignment horizontal="center" vertical="center" wrapText="1"/>
      <protection locked="0"/>
    </xf>
    <xf numFmtId="0" fontId="11" fillId="0" borderId="1" xfId="0" applyFont="1" applyBorder="1" applyAlignment="1" applyProtection="1">
      <alignment horizontal="center" vertical="center" wrapText="1"/>
      <protection locked="0"/>
    </xf>
    <xf numFmtId="10" fontId="5" fillId="0" borderId="1" xfId="0" applyNumberFormat="1" applyFont="1" applyFill="1" applyBorder="1" applyAlignment="1" applyProtection="1">
      <alignment horizontal="center" vertical="center" wrapText="1"/>
      <protection locked="0"/>
    </xf>
    <xf numFmtId="0" fontId="5" fillId="0" borderId="1" xfId="16" applyFont="1" applyBorder="1" applyAlignment="1">
      <alignment horizontal="justify" vertical="top" wrapText="1"/>
    </xf>
    <xf numFmtId="0" fontId="5" fillId="0" borderId="1" xfId="16" applyFont="1" applyBorder="1" applyAlignment="1">
      <alignment horizontal="left" vertical="top" wrapText="1"/>
    </xf>
    <xf numFmtId="0" fontId="11" fillId="3" borderId="1" xfId="0" applyFont="1" applyFill="1" applyBorder="1" applyAlignment="1" applyProtection="1">
      <alignment horizontal="center" vertical="center" wrapText="1"/>
      <protection locked="0"/>
    </xf>
    <xf numFmtId="0" fontId="26" fillId="0" borderId="16" xfId="0" applyFont="1" applyBorder="1" applyAlignment="1">
      <alignment horizontal="center"/>
    </xf>
    <xf numFmtId="0" fontId="26" fillId="0" borderId="17" xfId="0" applyFont="1" applyBorder="1" applyAlignment="1">
      <alignment horizontal="center"/>
    </xf>
    <xf numFmtId="0" fontId="26" fillId="0" borderId="18" xfId="0" applyFont="1" applyBorder="1" applyAlignment="1">
      <alignment horizontal="center"/>
    </xf>
    <xf numFmtId="0" fontId="26" fillId="0" borderId="0" xfId="0" applyFont="1" applyAlignment="1">
      <alignment horizontal="center"/>
    </xf>
    <xf numFmtId="0" fontId="26" fillId="0" borderId="20" xfId="0" applyFont="1" applyBorder="1" applyAlignment="1">
      <alignment horizontal="center"/>
    </xf>
    <xf numFmtId="0" fontId="26" fillId="0" borderId="21" xfId="0" applyFont="1" applyBorder="1" applyAlignment="1">
      <alignment horizontal="center"/>
    </xf>
    <xf numFmtId="0" fontId="27" fillId="16" borderId="13" xfId="0" applyFont="1" applyFill="1" applyBorder="1" applyAlignment="1">
      <alignment horizontal="center" vertical="center" wrapText="1"/>
    </xf>
    <xf numFmtId="0" fontId="67" fillId="16" borderId="14" xfId="0" applyFont="1" applyFill="1" applyBorder="1" applyAlignment="1">
      <alignment horizontal="left" vertical="center" wrapText="1"/>
    </xf>
    <xf numFmtId="0" fontId="67" fillId="16" borderId="1" xfId="0" applyFont="1" applyFill="1" applyBorder="1" applyAlignment="1">
      <alignment horizontal="left" vertical="center" wrapText="1"/>
    </xf>
    <xf numFmtId="0" fontId="67" fillId="16" borderId="11" xfId="0" applyFont="1" applyFill="1" applyBorder="1" applyAlignment="1">
      <alignment horizontal="left" vertical="center" wrapText="1"/>
    </xf>
    <xf numFmtId="0" fontId="11" fillId="16" borderId="3" xfId="16" applyFont="1" applyFill="1" applyBorder="1" applyAlignment="1">
      <alignment horizontal="center" vertical="center" wrapText="1"/>
    </xf>
    <xf numFmtId="0" fontId="11" fillId="16" borderId="4" xfId="16" applyFont="1" applyFill="1" applyBorder="1" applyAlignment="1">
      <alignment horizontal="center" vertical="center" wrapText="1"/>
    </xf>
    <xf numFmtId="0" fontId="11" fillId="20" borderId="3" xfId="16" applyFont="1" applyFill="1" applyBorder="1" applyAlignment="1">
      <alignment horizontal="center" vertical="center" wrapText="1"/>
    </xf>
    <xf numFmtId="0" fontId="10" fillId="16" borderId="29" xfId="0" applyFont="1" applyFill="1" applyBorder="1" applyAlignment="1">
      <alignment horizontal="left" vertical="center" wrapText="1"/>
    </xf>
    <xf numFmtId="0" fontId="10" fillId="16" borderId="22" xfId="0" applyFont="1" applyFill="1" applyBorder="1" applyAlignment="1">
      <alignment horizontal="left" vertical="center" wrapText="1"/>
    </xf>
    <xf numFmtId="0" fontId="10" fillId="16" borderId="23" xfId="0" applyFont="1" applyFill="1" applyBorder="1" applyAlignment="1">
      <alignment horizontal="left" vertical="center" wrapText="1"/>
    </xf>
    <xf numFmtId="0" fontId="10" fillId="3" borderId="16" xfId="0" applyFont="1" applyFill="1" applyBorder="1" applyAlignment="1">
      <alignment horizontal="left" vertical="center" wrapText="1"/>
    </xf>
    <xf numFmtId="0" fontId="10" fillId="3" borderId="17" xfId="0" applyFont="1" applyFill="1" applyBorder="1" applyAlignment="1">
      <alignment horizontal="left" vertical="center" wrapText="1"/>
    </xf>
    <xf numFmtId="0" fontId="10" fillId="3" borderId="26" xfId="0" applyFont="1" applyFill="1" applyBorder="1" applyAlignment="1">
      <alignment horizontal="left" vertical="center" wrapText="1"/>
    </xf>
    <xf numFmtId="0" fontId="10" fillId="3" borderId="31" xfId="0" applyFont="1" applyFill="1" applyBorder="1" applyAlignment="1">
      <alignment horizontal="left" vertical="center" wrapText="1"/>
    </xf>
    <xf numFmtId="0" fontId="10" fillId="3" borderId="32" xfId="0" applyFont="1" applyFill="1" applyBorder="1" applyAlignment="1">
      <alignment horizontal="left" vertical="center" wrapText="1"/>
    </xf>
    <xf numFmtId="0" fontId="10" fillId="3" borderId="33" xfId="0" applyFont="1" applyFill="1" applyBorder="1" applyAlignment="1">
      <alignment horizontal="left" vertical="center" wrapText="1"/>
    </xf>
    <xf numFmtId="0" fontId="10" fillId="16" borderId="28" xfId="0" applyFont="1" applyFill="1" applyBorder="1" applyAlignment="1">
      <alignment horizontal="left" vertical="center" wrapText="1"/>
    </xf>
    <xf numFmtId="0" fontId="10" fillId="16" borderId="24" xfId="0" applyFont="1" applyFill="1" applyBorder="1" applyAlignment="1">
      <alignment horizontal="left" vertical="center" wrapText="1"/>
    </xf>
    <xf numFmtId="0" fontId="10" fillId="16" borderId="25" xfId="0" applyFont="1" applyFill="1" applyBorder="1" applyAlignment="1">
      <alignment horizontal="left" vertical="center" wrapText="1"/>
    </xf>
    <xf numFmtId="0" fontId="11" fillId="16" borderId="13" xfId="16" applyFont="1" applyFill="1" applyBorder="1" applyAlignment="1">
      <alignment horizontal="center" vertical="center" wrapText="1"/>
    </xf>
    <xf numFmtId="0" fontId="11" fillId="16" borderId="38" xfId="16" applyFont="1" applyFill="1" applyBorder="1" applyAlignment="1">
      <alignment horizontal="center" vertical="center" wrapText="1"/>
    </xf>
    <xf numFmtId="0" fontId="27" fillId="3" borderId="29" xfId="0" applyFont="1" applyFill="1" applyBorder="1" applyAlignment="1">
      <alignment horizontal="left" vertical="center" wrapText="1"/>
    </xf>
    <xf numFmtId="0" fontId="27" fillId="3" borderId="22" xfId="0" applyFont="1" applyFill="1" applyBorder="1" applyAlignment="1">
      <alignment horizontal="left" vertical="center" wrapText="1"/>
    </xf>
    <xf numFmtId="0" fontId="27" fillId="3" borderId="30" xfId="0" applyFont="1" applyFill="1" applyBorder="1" applyAlignment="1">
      <alignment horizontal="left" vertical="center" wrapText="1"/>
    </xf>
    <xf numFmtId="0" fontId="10" fillId="0" borderId="31" xfId="0" applyFont="1" applyBorder="1" applyAlignment="1">
      <alignment horizontal="center" vertical="center" wrapText="1"/>
    </xf>
    <xf numFmtId="0" fontId="10" fillId="0" borderId="32" xfId="0" applyFont="1" applyBorder="1" applyAlignment="1">
      <alignment horizontal="center" vertical="center" wrapText="1"/>
    </xf>
    <xf numFmtId="0" fontId="10" fillId="0" borderId="33" xfId="0" applyFont="1" applyBorder="1" applyAlignment="1">
      <alignment horizontal="center" vertical="center" wrapText="1"/>
    </xf>
    <xf numFmtId="0" fontId="11" fillId="16" borderId="10" xfId="16" applyFont="1" applyFill="1" applyBorder="1" applyAlignment="1">
      <alignment horizontal="center" vertical="center" wrapText="1"/>
    </xf>
    <xf numFmtId="0" fontId="11" fillId="16" borderId="12" xfId="16" applyFont="1" applyFill="1" applyBorder="1" applyAlignment="1">
      <alignment horizontal="center" vertical="center" wrapText="1"/>
    </xf>
    <xf numFmtId="0" fontId="5" fillId="0" borderId="1" xfId="16" applyFont="1" applyBorder="1" applyAlignment="1">
      <alignment horizontal="center" vertical="center" wrapText="1"/>
    </xf>
    <xf numFmtId="0" fontId="5" fillId="3" borderId="1" xfId="16" applyFont="1" applyFill="1" applyBorder="1" applyAlignment="1">
      <alignment horizontal="center" vertical="center" wrapText="1"/>
    </xf>
    <xf numFmtId="0" fontId="5" fillId="0" borderId="1" xfId="16" applyFont="1" applyFill="1" applyBorder="1" applyAlignment="1">
      <alignment horizontal="justify" vertical="top" wrapText="1"/>
    </xf>
    <xf numFmtId="0" fontId="5" fillId="0" borderId="1" xfId="16" applyFont="1" applyFill="1" applyBorder="1" applyAlignment="1">
      <alignment horizontal="justify" vertical="top"/>
    </xf>
    <xf numFmtId="0" fontId="5" fillId="0" borderId="1" xfId="16" applyFont="1" applyFill="1" applyBorder="1" applyAlignment="1">
      <alignment horizontal="left" vertical="top"/>
    </xf>
    <xf numFmtId="0" fontId="5" fillId="0" borderId="1" xfId="16" applyFont="1" applyBorder="1" applyAlignment="1">
      <alignment horizontal="justify" vertical="center" wrapText="1"/>
    </xf>
    <xf numFmtId="0" fontId="11" fillId="0" borderId="1" xfId="16" applyFont="1" applyFill="1" applyBorder="1" applyAlignment="1">
      <alignment horizontal="left" vertical="top" wrapText="1"/>
    </xf>
    <xf numFmtId="0" fontId="5" fillId="0" borderId="2" xfId="16" applyFont="1" applyFill="1" applyBorder="1" applyAlignment="1">
      <alignment horizontal="justify" vertical="top" wrapText="1"/>
    </xf>
    <xf numFmtId="0" fontId="5" fillId="0" borderId="5" xfId="16" applyFont="1" applyFill="1" applyBorder="1" applyAlignment="1">
      <alignment horizontal="justify" vertical="top" wrapText="1"/>
    </xf>
    <xf numFmtId="0" fontId="11" fillId="16" borderId="1" xfId="16" applyFont="1" applyFill="1" applyBorder="1" applyAlignment="1">
      <alignment horizontal="center" vertical="center" wrapText="1"/>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0" xfId="0" applyAlignment="1">
      <alignment horizontal="center"/>
    </xf>
    <xf numFmtId="0" fontId="10" fillId="16" borderId="31" xfId="0" applyFont="1" applyFill="1" applyBorder="1" applyAlignment="1">
      <alignment horizontal="left" vertical="center"/>
    </xf>
    <xf numFmtId="0" fontId="10" fillId="16" borderId="32" xfId="0" applyFont="1" applyFill="1" applyBorder="1" applyAlignment="1">
      <alignment horizontal="left" vertical="center"/>
    </xf>
    <xf numFmtId="0" fontId="10" fillId="16" borderId="33" xfId="0" applyFont="1" applyFill="1" applyBorder="1" applyAlignment="1">
      <alignment horizontal="left" vertical="center"/>
    </xf>
    <xf numFmtId="0" fontId="10" fillId="16" borderId="31" xfId="0" applyFont="1" applyFill="1" applyBorder="1" applyAlignment="1">
      <alignment horizontal="left" vertical="center" wrapText="1"/>
    </xf>
    <xf numFmtId="0" fontId="10" fillId="16" borderId="32" xfId="0" applyFont="1" applyFill="1" applyBorder="1" applyAlignment="1">
      <alignment horizontal="left" vertical="center" wrapText="1"/>
    </xf>
    <xf numFmtId="0" fontId="10" fillId="16" borderId="33" xfId="0" applyFont="1" applyFill="1" applyBorder="1" applyAlignment="1">
      <alignment horizontal="left" vertical="center" wrapText="1"/>
    </xf>
    <xf numFmtId="0" fontId="29" fillId="16" borderId="20" xfId="19" applyFont="1" applyFill="1" applyBorder="1" applyAlignment="1">
      <alignment horizontal="left" vertical="center" wrapText="1"/>
    </xf>
    <xf numFmtId="0" fontId="29" fillId="16" borderId="21" xfId="19" applyFont="1" applyFill="1" applyBorder="1" applyAlignment="1">
      <alignment horizontal="left" vertical="center" wrapText="1"/>
    </xf>
    <xf numFmtId="0" fontId="29" fillId="16" borderId="27" xfId="19" applyFont="1" applyFill="1" applyBorder="1" applyAlignment="1">
      <alignment horizontal="left" vertical="center" wrapText="1"/>
    </xf>
    <xf numFmtId="0" fontId="29" fillId="0" borderId="16" xfId="19" applyFont="1" applyBorder="1" applyAlignment="1">
      <alignment horizontal="center" vertical="center" wrapText="1"/>
    </xf>
    <xf numFmtId="0" fontId="29" fillId="0" borderId="17" xfId="19" applyFont="1" applyBorder="1" applyAlignment="1">
      <alignment horizontal="center" vertical="center" wrapText="1"/>
    </xf>
    <xf numFmtId="0" fontId="29" fillId="0" borderId="26" xfId="19" applyFont="1" applyBorder="1" applyAlignment="1">
      <alignment horizontal="center" vertical="center" wrapText="1"/>
    </xf>
    <xf numFmtId="0" fontId="2" fillId="20" borderId="1" xfId="0" applyFont="1" applyFill="1" applyBorder="1" applyAlignment="1">
      <alignment horizontal="center" vertical="center" wrapText="1"/>
    </xf>
    <xf numFmtId="0" fontId="32" fillId="0" borderId="1" xfId="0" applyFont="1" applyBorder="1" applyAlignment="1">
      <alignment horizontal="center" vertical="center"/>
    </xf>
    <xf numFmtId="3" fontId="4" fillId="0" borderId="5" xfId="0" applyNumberFormat="1" applyFont="1" applyBorder="1" applyAlignment="1">
      <alignment horizontal="center" vertical="center"/>
    </xf>
    <xf numFmtId="3" fontId="4" fillId="0" borderId="1" xfId="0" applyNumberFormat="1" applyFont="1" applyBorder="1" applyAlignment="1">
      <alignment horizontal="center" vertical="center"/>
    </xf>
    <xf numFmtId="0" fontId="4" fillId="0" borderId="5" xfId="0" applyFont="1" applyBorder="1" applyAlignment="1">
      <alignment vertical="center" wrapText="1"/>
    </xf>
    <xf numFmtId="0" fontId="4" fillId="0" borderId="1" xfId="0" applyFont="1" applyBorder="1" applyAlignment="1">
      <alignment vertical="center" wrapText="1"/>
    </xf>
    <xf numFmtId="0" fontId="4" fillId="0" borderId="2" xfId="0" applyFont="1" applyBorder="1" applyAlignment="1">
      <alignment horizontal="center" vertical="center" wrapText="1"/>
    </xf>
    <xf numFmtId="0" fontId="4" fillId="0" borderId="15" xfId="0" applyFont="1" applyBorder="1" applyAlignment="1">
      <alignment horizontal="center" vertical="center" wrapText="1"/>
    </xf>
    <xf numFmtId="3" fontId="4" fillId="0" borderId="2" xfId="0" applyNumberFormat="1" applyFont="1" applyBorder="1" applyAlignment="1">
      <alignment horizontal="center" vertical="center"/>
    </xf>
    <xf numFmtId="3" fontId="4" fillId="0" borderId="15" xfId="0" applyNumberFormat="1" applyFont="1" applyBorder="1" applyAlignment="1">
      <alignment horizontal="center" vertical="center"/>
    </xf>
    <xf numFmtId="0" fontId="32" fillId="0" borderId="5" xfId="0" applyFont="1" applyBorder="1" applyAlignment="1">
      <alignment horizontal="center" vertical="center"/>
    </xf>
    <xf numFmtId="0" fontId="78" fillId="0" borderId="1" xfId="0" applyFont="1" applyBorder="1" applyAlignment="1">
      <alignment vertical="center" wrapText="1"/>
    </xf>
    <xf numFmtId="0" fontId="16" fillId="0" borderId="2" xfId="0" applyFont="1" applyBorder="1" applyAlignment="1">
      <alignment horizontal="center" vertical="center" wrapText="1"/>
    </xf>
    <xf numFmtId="0" fontId="16" fillId="0" borderId="15" xfId="0" applyFont="1" applyBorder="1" applyAlignment="1">
      <alignment horizontal="center" vertical="center" wrapText="1"/>
    </xf>
    <xf numFmtId="0" fontId="16" fillId="0" borderId="1" xfId="0" applyFont="1" applyBorder="1" applyAlignment="1">
      <alignment vertical="center" wrapText="1"/>
    </xf>
    <xf numFmtId="42" fontId="2" fillId="16" borderId="1" xfId="0" applyNumberFormat="1" applyFont="1" applyFill="1" applyBorder="1" applyAlignment="1">
      <alignment horizontal="center" vertical="center" wrapText="1"/>
    </xf>
    <xf numFmtId="0" fontId="0" fillId="0" borderId="2" xfId="0" applyBorder="1" applyAlignment="1">
      <alignment horizontal="center" vertical="center"/>
    </xf>
    <xf numFmtId="0" fontId="0" fillId="0" borderId="15" xfId="0" applyBorder="1" applyAlignment="1">
      <alignment horizontal="center" vertical="center"/>
    </xf>
    <xf numFmtId="0" fontId="32" fillId="0" borderId="1" xfId="0" applyFont="1" applyBorder="1" applyAlignment="1">
      <alignment horizontal="center" vertical="center" wrapText="1"/>
    </xf>
    <xf numFmtId="0" fontId="0" fillId="0" borderId="1" xfId="0" applyBorder="1" applyAlignment="1">
      <alignment horizontal="center" vertical="center"/>
    </xf>
    <xf numFmtId="42" fontId="77" fillId="0" borderId="2" xfId="2865" applyFont="1" applyFill="1" applyBorder="1" applyAlignment="1">
      <alignment horizontal="center" vertical="center" wrapText="1"/>
    </xf>
    <xf numFmtId="42" fontId="77" fillId="0" borderId="15" xfId="2865" applyFont="1" applyFill="1" applyBorder="1" applyAlignment="1">
      <alignment horizontal="center" vertical="center" wrapText="1"/>
    </xf>
    <xf numFmtId="42" fontId="77" fillId="0" borderId="5" xfId="2865" applyFont="1" applyFill="1" applyBorder="1" applyAlignment="1">
      <alignment horizontal="center" vertical="center" wrapText="1"/>
    </xf>
    <xf numFmtId="0" fontId="0" fillId="0" borderId="5" xfId="0" applyBorder="1" applyAlignment="1">
      <alignment horizontal="center" vertical="center"/>
    </xf>
    <xf numFmtId="0" fontId="52" fillId="17" borderId="1" xfId="0" applyFont="1" applyFill="1" applyBorder="1" applyAlignment="1">
      <alignment horizontal="center" vertical="center"/>
    </xf>
    <xf numFmtId="9" fontId="32" fillId="0" borderId="1" xfId="0" applyNumberFormat="1" applyFont="1" applyBorder="1" applyAlignment="1">
      <alignment horizontal="center" vertical="center" wrapText="1"/>
    </xf>
    <xf numFmtId="0" fontId="52" fillId="17" borderId="8" xfId="0" applyFont="1" applyFill="1" applyBorder="1" applyAlignment="1">
      <alignment horizontal="center" vertical="center"/>
    </xf>
    <xf numFmtId="0" fontId="52" fillId="17" borderId="6" xfId="0" applyFont="1" applyFill="1" applyBorder="1" applyAlignment="1">
      <alignment horizontal="center" vertical="center"/>
    </xf>
    <xf numFmtId="0" fontId="52" fillId="17" borderId="7" xfId="0" applyFont="1" applyFill="1" applyBorder="1" applyAlignment="1">
      <alignment horizontal="center" vertical="center"/>
    </xf>
    <xf numFmtId="0" fontId="32" fillId="0" borderId="2" xfId="0" applyFont="1" applyBorder="1" applyAlignment="1">
      <alignment horizontal="center" vertical="center" wrapText="1"/>
    </xf>
    <xf numFmtId="0" fontId="32" fillId="0" borderId="15" xfId="0" applyFont="1" applyBorder="1" applyAlignment="1">
      <alignment horizontal="center" vertical="center" wrapText="1"/>
    </xf>
    <xf numFmtId="0" fontId="32" fillId="0" borderId="5" xfId="0" applyFont="1" applyBorder="1" applyAlignment="1">
      <alignment horizontal="center" vertical="center" wrapText="1"/>
    </xf>
    <xf numFmtId="0" fontId="52" fillId="17" borderId="8" xfId="0" applyFont="1" applyFill="1" applyBorder="1" applyAlignment="1">
      <alignment horizontal="center"/>
    </xf>
    <xf numFmtId="0" fontId="52" fillId="17" borderId="6" xfId="0" applyFont="1" applyFill="1" applyBorder="1" applyAlignment="1">
      <alignment horizontal="center"/>
    </xf>
    <xf numFmtId="0" fontId="52" fillId="17" borderId="7" xfId="0" applyFont="1" applyFill="1" applyBorder="1" applyAlignment="1">
      <alignment horizontal="center"/>
    </xf>
    <xf numFmtId="0" fontId="32" fillId="0" borderId="15" xfId="0" applyFont="1" applyBorder="1" applyAlignment="1">
      <alignment horizontal="center" vertical="center"/>
    </xf>
    <xf numFmtId="0" fontId="0" fillId="0" borderId="1" xfId="0" applyBorder="1" applyAlignment="1">
      <alignment horizontal="center" vertical="center" wrapText="1"/>
    </xf>
    <xf numFmtId="0" fontId="32" fillId="0" borderId="2" xfId="0" applyFont="1" applyBorder="1" applyAlignment="1">
      <alignment horizontal="center" vertical="center"/>
    </xf>
    <xf numFmtId="0" fontId="0" fillId="0" borderId="1" xfId="0" applyBorder="1" applyAlignment="1">
      <alignment horizontal="center"/>
    </xf>
    <xf numFmtId="0" fontId="48" fillId="16" borderId="1" xfId="0" applyFont="1" applyFill="1" applyBorder="1" applyAlignment="1">
      <alignment horizontal="center" vertical="center"/>
    </xf>
    <xf numFmtId="0" fontId="49" fillId="16" borderId="1" xfId="0" applyFont="1" applyFill="1" applyBorder="1" applyAlignment="1">
      <alignment horizontal="center" vertical="center" wrapText="1"/>
    </xf>
    <xf numFmtId="0" fontId="49" fillId="16" borderId="1" xfId="0" applyFont="1" applyFill="1" applyBorder="1" applyAlignment="1">
      <alignment horizontal="center" vertical="center"/>
    </xf>
    <xf numFmtId="0" fontId="50" fillId="0" borderId="1" xfId="0" applyFont="1" applyBorder="1" applyAlignment="1">
      <alignment horizontal="center"/>
    </xf>
    <xf numFmtId="0" fontId="49" fillId="0" borderId="1" xfId="0" applyFont="1" applyBorder="1" applyAlignment="1">
      <alignment horizontal="center"/>
    </xf>
    <xf numFmtId="0" fontId="72" fillId="16" borderId="1" xfId="0" applyFont="1" applyFill="1" applyBorder="1" applyAlignment="1">
      <alignment horizontal="left" vertical="center"/>
    </xf>
    <xf numFmtId="0" fontId="72" fillId="0" borderId="1" xfId="0" applyFont="1" applyBorder="1" applyAlignment="1">
      <alignment horizontal="left" vertical="top"/>
    </xf>
    <xf numFmtId="42" fontId="73" fillId="0" borderId="2" xfId="2865" applyFont="1" applyFill="1" applyBorder="1" applyAlignment="1">
      <alignment horizontal="center" vertical="center" wrapText="1"/>
    </xf>
    <xf numFmtId="42" fontId="73" fillId="0" borderId="15" xfId="2865" applyFont="1" applyFill="1" applyBorder="1" applyAlignment="1">
      <alignment horizontal="center" vertical="center" wrapText="1"/>
    </xf>
    <xf numFmtId="42" fontId="73" fillId="0" borderId="5" xfId="2865" applyFont="1" applyFill="1" applyBorder="1" applyAlignment="1">
      <alignment horizontal="center" vertical="center" wrapText="1"/>
    </xf>
    <xf numFmtId="0" fontId="0" fillId="0" borderId="2" xfId="0" applyBorder="1" applyAlignment="1">
      <alignment horizontal="center" vertical="center" wrapText="1"/>
    </xf>
    <xf numFmtId="0" fontId="0" fillId="0" borderId="15" xfId="0" applyBorder="1" applyAlignment="1">
      <alignment horizontal="center" vertical="center" wrapText="1"/>
    </xf>
    <xf numFmtId="0" fontId="0" fillId="0" borderId="5" xfId="0" applyBorder="1" applyAlignment="1">
      <alignment horizontal="center" vertical="center" wrapText="1"/>
    </xf>
    <xf numFmtId="0" fontId="32" fillId="0" borderId="36" xfId="0" applyFont="1" applyBorder="1" applyAlignment="1">
      <alignment horizontal="center" vertical="center"/>
    </xf>
    <xf numFmtId="0" fontId="32" fillId="0" borderId="37" xfId="0" applyFont="1" applyBorder="1" applyAlignment="1">
      <alignment horizontal="center" vertical="center"/>
    </xf>
    <xf numFmtId="0" fontId="0" fillId="0" borderId="41" xfId="0" applyBorder="1" applyAlignment="1">
      <alignment horizontal="center" vertical="center"/>
    </xf>
    <xf numFmtId="0" fontId="0" fillId="0" borderId="9" xfId="0" applyBorder="1" applyAlignment="1">
      <alignment horizontal="center" vertical="center"/>
    </xf>
    <xf numFmtId="0" fontId="0" fillId="0" borderId="43" xfId="0" applyBorder="1" applyAlignment="1">
      <alignment horizontal="center" vertical="center"/>
    </xf>
    <xf numFmtId="0" fontId="0" fillId="0" borderId="2" xfId="0" applyBorder="1" applyAlignment="1">
      <alignment vertical="center"/>
    </xf>
    <xf numFmtId="0" fontId="0" fillId="0" borderId="15" xfId="0" applyBorder="1" applyAlignment="1">
      <alignment vertical="center"/>
    </xf>
    <xf numFmtId="0" fontId="0" fillId="0" borderId="5" xfId="0" applyBorder="1" applyAlignment="1">
      <alignment vertical="center"/>
    </xf>
    <xf numFmtId="3" fontId="16" fillId="0" borderId="5" xfId="0" applyNumberFormat="1" applyFont="1" applyFill="1" applyBorder="1" applyAlignment="1">
      <alignment horizontal="center" vertical="center" wrapText="1"/>
    </xf>
    <xf numFmtId="3" fontId="16" fillId="0" borderId="5" xfId="0" applyNumberFormat="1" applyFont="1" applyFill="1" applyBorder="1" applyAlignment="1">
      <alignment vertical="center" wrapText="1"/>
    </xf>
    <xf numFmtId="3" fontId="2" fillId="0" borderId="5" xfId="0" applyNumberFormat="1" applyFont="1" applyFill="1" applyBorder="1" applyAlignment="1">
      <alignment horizontal="center" vertical="center" wrapText="1"/>
    </xf>
    <xf numFmtId="0" fontId="32" fillId="0" borderId="5" xfId="0" applyFont="1" applyFill="1" applyBorder="1" applyAlignment="1">
      <alignment horizontal="center" vertical="center"/>
    </xf>
    <xf numFmtId="3" fontId="16" fillId="0" borderId="1" xfId="0" applyNumberFormat="1" applyFont="1" applyFill="1" applyBorder="1" applyAlignment="1">
      <alignment horizontal="center" vertical="center" wrapText="1"/>
    </xf>
    <xf numFmtId="3" fontId="16" fillId="0" borderId="1" xfId="0" applyNumberFormat="1" applyFont="1" applyFill="1" applyBorder="1" applyAlignment="1">
      <alignment vertical="center" wrapText="1"/>
    </xf>
    <xf numFmtId="3" fontId="2" fillId="0" borderId="1" xfId="0" applyNumberFormat="1" applyFont="1" applyFill="1" applyBorder="1" applyAlignment="1">
      <alignment horizontal="center" vertical="center" wrapText="1"/>
    </xf>
    <xf numFmtId="0" fontId="32" fillId="0" borderId="1" xfId="0" applyFont="1" applyFill="1" applyBorder="1" applyAlignment="1">
      <alignment horizontal="center" vertical="center"/>
    </xf>
    <xf numFmtId="4" fontId="2" fillId="0" borderId="1" xfId="0" applyNumberFormat="1" applyFont="1" applyFill="1" applyBorder="1" applyAlignment="1">
      <alignment horizontal="center" vertical="center"/>
    </xf>
    <xf numFmtId="4" fontId="4" fillId="0" borderId="1" xfId="0" applyNumberFormat="1" applyFont="1" applyFill="1" applyBorder="1" applyAlignment="1">
      <alignment horizontal="center" vertical="center"/>
    </xf>
    <xf numFmtId="188" fontId="4" fillId="0" borderId="1" xfId="0" applyNumberFormat="1" applyFont="1" applyFill="1" applyBorder="1" applyAlignment="1">
      <alignment horizontal="center" vertical="center" wrapText="1"/>
    </xf>
    <xf numFmtId="188" fontId="2" fillId="0" borderId="1" xfId="0" applyNumberFormat="1" applyFont="1" applyFill="1" applyBorder="1" applyAlignment="1">
      <alignment horizontal="center" vertical="center"/>
    </xf>
    <xf numFmtId="188" fontId="4" fillId="0" borderId="1" xfId="0" applyNumberFormat="1" applyFont="1" applyFill="1" applyBorder="1" applyAlignment="1">
      <alignment horizontal="center" vertical="center"/>
    </xf>
    <xf numFmtId="3" fontId="16" fillId="0" borderId="2" xfId="0" applyNumberFormat="1" applyFont="1" applyFill="1" applyBorder="1" applyAlignment="1">
      <alignment horizontal="center" vertical="center" wrapText="1"/>
    </xf>
    <xf numFmtId="3" fontId="16" fillId="0" borderId="2" xfId="0" applyNumberFormat="1" applyFont="1" applyFill="1" applyBorder="1" applyAlignment="1">
      <alignment vertical="center" wrapText="1"/>
    </xf>
    <xf numFmtId="3" fontId="16" fillId="0" borderId="15" xfId="0" applyNumberFormat="1" applyFont="1" applyFill="1" applyBorder="1" applyAlignment="1">
      <alignment horizontal="center" vertical="center" wrapText="1"/>
    </xf>
    <xf numFmtId="3" fontId="16" fillId="0" borderId="15" xfId="0" applyNumberFormat="1" applyFont="1" applyFill="1" applyBorder="1" applyAlignment="1">
      <alignment vertical="center" wrapText="1"/>
    </xf>
    <xf numFmtId="0" fontId="85" fillId="16" borderId="31" xfId="0" applyFont="1" applyFill="1" applyBorder="1" applyAlignment="1">
      <alignment horizontal="center" vertical="center"/>
    </xf>
    <xf numFmtId="0" fontId="85" fillId="16" borderId="32" xfId="0" applyFont="1" applyFill="1" applyBorder="1" applyAlignment="1">
      <alignment horizontal="center" vertical="center"/>
    </xf>
    <xf numFmtId="0" fontId="85" fillId="16" borderId="33" xfId="0" applyFont="1" applyFill="1" applyBorder="1" applyAlignment="1">
      <alignment horizontal="center" vertical="center"/>
    </xf>
    <xf numFmtId="0" fontId="86" fillId="16" borderId="31" xfId="0" applyFont="1" applyFill="1" applyBorder="1" applyAlignment="1">
      <alignment horizontal="center" vertical="center" wrapText="1"/>
    </xf>
    <xf numFmtId="0" fontId="86" fillId="16" borderId="32" xfId="0" applyFont="1" applyFill="1" applyBorder="1" applyAlignment="1">
      <alignment horizontal="center" vertical="center" wrapText="1"/>
    </xf>
    <xf numFmtId="0" fontId="86" fillId="16" borderId="33" xfId="0" applyFont="1" applyFill="1" applyBorder="1" applyAlignment="1">
      <alignment horizontal="center" vertical="center" wrapText="1"/>
    </xf>
    <xf numFmtId="0" fontId="11" fillId="15" borderId="18" xfId="0" applyFont="1" applyFill="1" applyBorder="1" applyAlignment="1">
      <alignment horizontal="left" vertical="center" wrapText="1"/>
    </xf>
    <xf numFmtId="0" fontId="11" fillId="15" borderId="0" xfId="0" applyFont="1" applyFill="1" applyAlignment="1">
      <alignment horizontal="left" vertical="center" wrapText="1"/>
    </xf>
    <xf numFmtId="0" fontId="11" fillId="15" borderId="19" xfId="0" applyFont="1" applyFill="1" applyBorder="1" applyAlignment="1">
      <alignment horizontal="left" vertical="center" wrapText="1"/>
    </xf>
    <xf numFmtId="0" fontId="11" fillId="15" borderId="31" xfId="0" applyFont="1" applyFill="1" applyBorder="1" applyAlignment="1">
      <alignment horizontal="center" vertical="center"/>
    </xf>
    <xf numFmtId="0" fontId="11" fillId="15" borderId="32" xfId="0" applyFont="1" applyFill="1" applyBorder="1" applyAlignment="1">
      <alignment horizontal="center" vertical="center"/>
    </xf>
    <xf numFmtId="0" fontId="11" fillId="15" borderId="33" xfId="0" applyFont="1" applyFill="1" applyBorder="1" applyAlignment="1">
      <alignment horizontal="center" vertical="center"/>
    </xf>
    <xf numFmtId="0" fontId="10" fillId="3" borderId="31" xfId="0" applyFont="1" applyFill="1" applyBorder="1" applyAlignment="1">
      <alignment horizontal="left" vertical="center"/>
    </xf>
    <xf numFmtId="0" fontId="10" fillId="3" borderId="32" xfId="0" applyFont="1" applyFill="1" applyBorder="1" applyAlignment="1">
      <alignment horizontal="left" vertical="center"/>
    </xf>
    <xf numFmtId="0" fontId="10" fillId="3" borderId="33" xfId="0" applyFont="1" applyFill="1" applyBorder="1" applyAlignment="1">
      <alignment horizontal="left" vertical="center"/>
    </xf>
    <xf numFmtId="0" fontId="11" fillId="15" borderId="31" xfId="0" applyFont="1" applyFill="1" applyBorder="1" applyAlignment="1">
      <alignment horizontal="left" vertical="center" wrapText="1"/>
    </xf>
    <xf numFmtId="0" fontId="11" fillId="15" borderId="32" xfId="0" applyFont="1" applyFill="1" applyBorder="1" applyAlignment="1">
      <alignment horizontal="left" vertical="center" wrapText="1"/>
    </xf>
    <xf numFmtId="0" fontId="11" fillId="15" borderId="33" xfId="0" applyFont="1" applyFill="1" applyBorder="1" applyAlignment="1">
      <alignment horizontal="left" vertical="center" wrapText="1"/>
    </xf>
  </cellXfs>
  <cellStyles count="2869">
    <cellStyle name="60% - Énfasis1 2" xfId="28" xr:uid="{00000000-0005-0000-0000-000000000000}"/>
    <cellStyle name="60% - Énfasis2 2" xfId="29" xr:uid="{00000000-0005-0000-0000-000001000000}"/>
    <cellStyle name="60% - Énfasis3 2" xfId="30" xr:uid="{00000000-0005-0000-0000-000002000000}"/>
    <cellStyle name="60% - Énfasis4 2" xfId="31" xr:uid="{00000000-0005-0000-0000-000003000000}"/>
    <cellStyle name="60% - Énfasis5 2" xfId="32" xr:uid="{00000000-0005-0000-0000-000004000000}"/>
    <cellStyle name="60% - Énfasis6 2" xfId="33" xr:uid="{00000000-0005-0000-0000-000005000000}"/>
    <cellStyle name="BodyStyle" xfId="34" xr:uid="{00000000-0005-0000-0000-000006000000}"/>
    <cellStyle name="BodyStyleBold" xfId="35" xr:uid="{00000000-0005-0000-0000-000007000000}"/>
    <cellStyle name="BodyStyleBoldRight" xfId="36" xr:uid="{00000000-0005-0000-0000-000008000000}"/>
    <cellStyle name="BodyStyleWithBorder" xfId="37" xr:uid="{00000000-0005-0000-0000-000009000000}"/>
    <cellStyle name="BodyStyleWithBorder 2" xfId="38" xr:uid="{00000000-0005-0000-0000-00000A000000}"/>
    <cellStyle name="BodyStyleWithBorder 2 2" xfId="39" xr:uid="{00000000-0005-0000-0000-00000B000000}"/>
    <cellStyle name="BodyStyleWithBorder 2 3" xfId="40" xr:uid="{00000000-0005-0000-0000-00000C000000}"/>
    <cellStyle name="BodyStyleWithBorder 2 4" xfId="41" xr:uid="{00000000-0005-0000-0000-00000D000000}"/>
    <cellStyle name="BodyStyleWithBorder 3" xfId="42" xr:uid="{00000000-0005-0000-0000-00000E000000}"/>
    <cellStyle name="BodyStyleWithBorder 4" xfId="43" xr:uid="{00000000-0005-0000-0000-00000F000000}"/>
    <cellStyle name="BodyStyleWithBorder 5" xfId="44" xr:uid="{00000000-0005-0000-0000-000010000000}"/>
    <cellStyle name="BorderThinBlack" xfId="45" xr:uid="{00000000-0005-0000-0000-000011000000}"/>
    <cellStyle name="BorderThinBlack 2" xfId="46" xr:uid="{00000000-0005-0000-0000-000012000000}"/>
    <cellStyle name="BorderThinBlack 2 2" xfId="47" xr:uid="{00000000-0005-0000-0000-000013000000}"/>
    <cellStyle name="BorderThinBlack 2 2 2" xfId="48" xr:uid="{00000000-0005-0000-0000-000014000000}"/>
    <cellStyle name="BorderThinBlack 2 2 2 2" xfId="49" xr:uid="{00000000-0005-0000-0000-000015000000}"/>
    <cellStyle name="BorderThinBlack 2 2 2 3" xfId="50" xr:uid="{00000000-0005-0000-0000-000016000000}"/>
    <cellStyle name="BorderThinBlack 2 2 2 4" xfId="51" xr:uid="{00000000-0005-0000-0000-000017000000}"/>
    <cellStyle name="BorderThinBlack 2 2 3" xfId="52" xr:uid="{00000000-0005-0000-0000-000018000000}"/>
    <cellStyle name="BorderThinBlack 2 2 4" xfId="53" xr:uid="{00000000-0005-0000-0000-000019000000}"/>
    <cellStyle name="BorderThinBlack 2 2 5" xfId="54" xr:uid="{00000000-0005-0000-0000-00001A000000}"/>
    <cellStyle name="BorderThinBlack 2 3" xfId="55" xr:uid="{00000000-0005-0000-0000-00001B000000}"/>
    <cellStyle name="BorderThinBlack 2 4" xfId="56" xr:uid="{00000000-0005-0000-0000-00001C000000}"/>
    <cellStyle name="BorderThinBlack 2 5" xfId="57" xr:uid="{00000000-0005-0000-0000-00001D000000}"/>
    <cellStyle name="BorderThinBlack 3" xfId="58" xr:uid="{00000000-0005-0000-0000-00001E000000}"/>
    <cellStyle name="BorderThinBlack 3 2" xfId="59" xr:uid="{00000000-0005-0000-0000-00001F000000}"/>
    <cellStyle name="BorderThinBlack 3 2 2" xfId="60" xr:uid="{00000000-0005-0000-0000-000020000000}"/>
    <cellStyle name="BorderThinBlack 3 2 3" xfId="61" xr:uid="{00000000-0005-0000-0000-000021000000}"/>
    <cellStyle name="BorderThinBlack 3 2 4" xfId="62" xr:uid="{00000000-0005-0000-0000-000022000000}"/>
    <cellStyle name="BorderThinBlack 3 3" xfId="63" xr:uid="{00000000-0005-0000-0000-000023000000}"/>
    <cellStyle name="BorderThinBlack 3 4" xfId="64" xr:uid="{00000000-0005-0000-0000-000024000000}"/>
    <cellStyle name="BorderThinBlack 3 5" xfId="65" xr:uid="{00000000-0005-0000-0000-000025000000}"/>
    <cellStyle name="BorderThinBlack 4" xfId="66" xr:uid="{00000000-0005-0000-0000-000026000000}"/>
    <cellStyle name="BorderThinBlack 5" xfId="67" xr:uid="{00000000-0005-0000-0000-000027000000}"/>
    <cellStyle name="BorderThinBlack 6" xfId="68" xr:uid="{00000000-0005-0000-0000-000028000000}"/>
    <cellStyle name="Coma 2" xfId="1" xr:uid="{00000000-0005-0000-0000-000029000000}"/>
    <cellStyle name="Coma 2 2" xfId="2" xr:uid="{00000000-0005-0000-0000-00002A000000}"/>
    <cellStyle name="Comma" xfId="69" xr:uid="{00000000-0005-0000-0000-00002B000000}"/>
    <cellStyle name="Comma [0]" xfId="70" xr:uid="{00000000-0005-0000-0000-00002C000000}"/>
    <cellStyle name="Comma [0] 2" xfId="71" xr:uid="{00000000-0005-0000-0000-00002D000000}"/>
    <cellStyle name="Comma [0] 2 2" xfId="72" xr:uid="{00000000-0005-0000-0000-00002E000000}"/>
    <cellStyle name="Comma [0] 2 2 2" xfId="73" xr:uid="{00000000-0005-0000-0000-00002F000000}"/>
    <cellStyle name="Comma [0] 2 3" xfId="74" xr:uid="{00000000-0005-0000-0000-000030000000}"/>
    <cellStyle name="Comma [0] 3" xfId="75" xr:uid="{00000000-0005-0000-0000-000031000000}"/>
    <cellStyle name="Comma 2" xfId="76" xr:uid="{00000000-0005-0000-0000-000032000000}"/>
    <cellStyle name="Comma 2 2" xfId="77" xr:uid="{00000000-0005-0000-0000-000033000000}"/>
    <cellStyle name="Comma 2 2 2" xfId="78" xr:uid="{00000000-0005-0000-0000-000034000000}"/>
    <cellStyle name="Comma 2 3" xfId="79" xr:uid="{00000000-0005-0000-0000-000035000000}"/>
    <cellStyle name="Comma 3" xfId="80" xr:uid="{00000000-0005-0000-0000-000036000000}"/>
    <cellStyle name="Comma 4" xfId="81" xr:uid="{00000000-0005-0000-0000-000037000000}"/>
    <cellStyle name="Comma 5" xfId="82" xr:uid="{00000000-0005-0000-0000-000038000000}"/>
    <cellStyle name="Currency" xfId="83" xr:uid="{00000000-0005-0000-0000-000039000000}"/>
    <cellStyle name="Currency [0]" xfId="84" xr:uid="{00000000-0005-0000-0000-00003A000000}"/>
    <cellStyle name="Currency [0] 2" xfId="85" xr:uid="{00000000-0005-0000-0000-00003B000000}"/>
    <cellStyle name="Currency [0] 2 2" xfId="86" xr:uid="{00000000-0005-0000-0000-00003C000000}"/>
    <cellStyle name="Currency [0] 2 2 2" xfId="87" xr:uid="{00000000-0005-0000-0000-00003D000000}"/>
    <cellStyle name="Currency [0] 2 2 2 2" xfId="88" xr:uid="{00000000-0005-0000-0000-00003E000000}"/>
    <cellStyle name="Currency [0] 2 2 3" xfId="89" xr:uid="{00000000-0005-0000-0000-00003F000000}"/>
    <cellStyle name="Currency [0] 2 2 3 2" xfId="90" xr:uid="{00000000-0005-0000-0000-000040000000}"/>
    <cellStyle name="Currency [0] 2 2 4" xfId="91" xr:uid="{00000000-0005-0000-0000-000041000000}"/>
    <cellStyle name="Currency [0] 2 2 4 2" xfId="92" xr:uid="{00000000-0005-0000-0000-000042000000}"/>
    <cellStyle name="Currency [0] 2 2 5" xfId="93" xr:uid="{00000000-0005-0000-0000-000043000000}"/>
    <cellStyle name="Currency [0] 2 3" xfId="94" xr:uid="{00000000-0005-0000-0000-000044000000}"/>
    <cellStyle name="Currency [0] 2 3 2" xfId="95" xr:uid="{00000000-0005-0000-0000-000045000000}"/>
    <cellStyle name="Currency [0] 2 4" xfId="96" xr:uid="{00000000-0005-0000-0000-000046000000}"/>
    <cellStyle name="Currency [0] 2 4 2" xfId="97" xr:uid="{00000000-0005-0000-0000-000047000000}"/>
    <cellStyle name="Currency [0] 2 5" xfId="98" xr:uid="{00000000-0005-0000-0000-000048000000}"/>
    <cellStyle name="Currency [0] 2 5 2" xfId="99" xr:uid="{00000000-0005-0000-0000-000049000000}"/>
    <cellStyle name="Currency [0] 2 6" xfId="100" xr:uid="{00000000-0005-0000-0000-00004A000000}"/>
    <cellStyle name="Currency [0] 3" xfId="101" xr:uid="{00000000-0005-0000-0000-00004B000000}"/>
    <cellStyle name="Currency [0] 3 2" xfId="102" xr:uid="{00000000-0005-0000-0000-00004C000000}"/>
    <cellStyle name="Currency [0] 3 2 2" xfId="103" xr:uid="{00000000-0005-0000-0000-00004D000000}"/>
    <cellStyle name="Currency [0] 3 3" xfId="104" xr:uid="{00000000-0005-0000-0000-00004E000000}"/>
    <cellStyle name="Currency [0] 3 3 2" xfId="105" xr:uid="{00000000-0005-0000-0000-00004F000000}"/>
    <cellStyle name="Currency [0] 3 4" xfId="106" xr:uid="{00000000-0005-0000-0000-000050000000}"/>
    <cellStyle name="Currency [0] 3 4 2" xfId="107" xr:uid="{00000000-0005-0000-0000-000051000000}"/>
    <cellStyle name="Currency [0] 3 5" xfId="108" xr:uid="{00000000-0005-0000-0000-000052000000}"/>
    <cellStyle name="Currency [0] 4" xfId="109" xr:uid="{00000000-0005-0000-0000-000053000000}"/>
    <cellStyle name="Currency [0] 4 2" xfId="110" xr:uid="{00000000-0005-0000-0000-000054000000}"/>
    <cellStyle name="Currency [0] 5" xfId="111" xr:uid="{00000000-0005-0000-0000-000055000000}"/>
    <cellStyle name="Currency [0] 5 2" xfId="112" xr:uid="{00000000-0005-0000-0000-000056000000}"/>
    <cellStyle name="Currency [0] 6" xfId="113" xr:uid="{00000000-0005-0000-0000-000057000000}"/>
    <cellStyle name="Currency [0] 6 2" xfId="114" xr:uid="{00000000-0005-0000-0000-000058000000}"/>
    <cellStyle name="Currency [0] 7" xfId="115" xr:uid="{00000000-0005-0000-0000-000059000000}"/>
    <cellStyle name="Currency 10" xfId="116" xr:uid="{00000000-0005-0000-0000-00005A000000}"/>
    <cellStyle name="Currency 10 2" xfId="117" xr:uid="{00000000-0005-0000-0000-00005B000000}"/>
    <cellStyle name="Currency 11" xfId="118" xr:uid="{00000000-0005-0000-0000-00005C000000}"/>
    <cellStyle name="Currency 11 2" xfId="119" xr:uid="{00000000-0005-0000-0000-00005D000000}"/>
    <cellStyle name="Currency 12" xfId="120" xr:uid="{00000000-0005-0000-0000-00005E000000}"/>
    <cellStyle name="Currency 12 2" xfId="121" xr:uid="{00000000-0005-0000-0000-00005F000000}"/>
    <cellStyle name="Currency 13" xfId="122" xr:uid="{00000000-0005-0000-0000-000060000000}"/>
    <cellStyle name="Currency 13 2" xfId="123" xr:uid="{00000000-0005-0000-0000-000061000000}"/>
    <cellStyle name="Currency 14" xfId="124" xr:uid="{00000000-0005-0000-0000-000062000000}"/>
    <cellStyle name="Currency 15" xfId="125" xr:uid="{00000000-0005-0000-0000-000063000000}"/>
    <cellStyle name="Currency 2" xfId="126" xr:uid="{00000000-0005-0000-0000-000064000000}"/>
    <cellStyle name="Currency 2 2" xfId="127" xr:uid="{00000000-0005-0000-0000-000065000000}"/>
    <cellStyle name="Currency 2 2 2" xfId="128" xr:uid="{00000000-0005-0000-0000-000066000000}"/>
    <cellStyle name="Currency 2 2 2 2" xfId="129" xr:uid="{00000000-0005-0000-0000-000067000000}"/>
    <cellStyle name="Currency 2 2 3" xfId="130" xr:uid="{00000000-0005-0000-0000-000068000000}"/>
    <cellStyle name="Currency 2 2 3 2" xfId="131" xr:uid="{00000000-0005-0000-0000-000069000000}"/>
    <cellStyle name="Currency 2 2 4" xfId="132" xr:uid="{00000000-0005-0000-0000-00006A000000}"/>
    <cellStyle name="Currency 2 2 4 2" xfId="133" xr:uid="{00000000-0005-0000-0000-00006B000000}"/>
    <cellStyle name="Currency 2 2 5" xfId="134" xr:uid="{00000000-0005-0000-0000-00006C000000}"/>
    <cellStyle name="Currency 2 3" xfId="135" xr:uid="{00000000-0005-0000-0000-00006D000000}"/>
    <cellStyle name="Currency 2 3 2" xfId="136" xr:uid="{00000000-0005-0000-0000-00006E000000}"/>
    <cellStyle name="Currency 2 4" xfId="137" xr:uid="{00000000-0005-0000-0000-00006F000000}"/>
    <cellStyle name="Currency 2 4 2" xfId="138" xr:uid="{00000000-0005-0000-0000-000070000000}"/>
    <cellStyle name="Currency 2 5" xfId="139" xr:uid="{00000000-0005-0000-0000-000071000000}"/>
    <cellStyle name="Currency 2 5 2" xfId="140" xr:uid="{00000000-0005-0000-0000-000072000000}"/>
    <cellStyle name="Currency 2 6" xfId="141" xr:uid="{00000000-0005-0000-0000-000073000000}"/>
    <cellStyle name="Currency 3" xfId="142" xr:uid="{00000000-0005-0000-0000-000074000000}"/>
    <cellStyle name="Currency 3 2" xfId="143" xr:uid="{00000000-0005-0000-0000-000075000000}"/>
    <cellStyle name="Currency 3 2 2" xfId="144" xr:uid="{00000000-0005-0000-0000-000076000000}"/>
    <cellStyle name="Currency 3 3" xfId="145" xr:uid="{00000000-0005-0000-0000-000077000000}"/>
    <cellStyle name="Currency 3 3 2" xfId="146" xr:uid="{00000000-0005-0000-0000-000078000000}"/>
    <cellStyle name="Currency 3 4" xfId="147" xr:uid="{00000000-0005-0000-0000-000079000000}"/>
    <cellStyle name="Currency 3 4 2" xfId="148" xr:uid="{00000000-0005-0000-0000-00007A000000}"/>
    <cellStyle name="Currency 3 5" xfId="149" xr:uid="{00000000-0005-0000-0000-00007B000000}"/>
    <cellStyle name="Currency 4" xfId="150" xr:uid="{00000000-0005-0000-0000-00007C000000}"/>
    <cellStyle name="Currency 4 2" xfId="151" xr:uid="{00000000-0005-0000-0000-00007D000000}"/>
    <cellStyle name="Currency 4 2 2" xfId="152" xr:uid="{00000000-0005-0000-0000-00007E000000}"/>
    <cellStyle name="Currency 4 3" xfId="153" xr:uid="{00000000-0005-0000-0000-00007F000000}"/>
    <cellStyle name="Currency 4 3 2" xfId="154" xr:uid="{00000000-0005-0000-0000-000080000000}"/>
    <cellStyle name="Currency 4 4" xfId="155" xr:uid="{00000000-0005-0000-0000-000081000000}"/>
    <cellStyle name="Currency 4 4 2" xfId="156" xr:uid="{00000000-0005-0000-0000-000082000000}"/>
    <cellStyle name="Currency 4 5" xfId="157" xr:uid="{00000000-0005-0000-0000-000083000000}"/>
    <cellStyle name="Currency 5" xfId="158" xr:uid="{00000000-0005-0000-0000-000084000000}"/>
    <cellStyle name="Currency 5 2" xfId="159" xr:uid="{00000000-0005-0000-0000-000085000000}"/>
    <cellStyle name="Currency 5 2 2" xfId="160" xr:uid="{00000000-0005-0000-0000-000086000000}"/>
    <cellStyle name="Currency 5 3" xfId="161" xr:uid="{00000000-0005-0000-0000-000087000000}"/>
    <cellStyle name="Currency 5 3 2" xfId="162" xr:uid="{00000000-0005-0000-0000-000088000000}"/>
    <cellStyle name="Currency 5 4" xfId="163" xr:uid="{00000000-0005-0000-0000-000089000000}"/>
    <cellStyle name="Currency 5 4 2" xfId="164" xr:uid="{00000000-0005-0000-0000-00008A000000}"/>
    <cellStyle name="Currency 5 5" xfId="165" xr:uid="{00000000-0005-0000-0000-00008B000000}"/>
    <cellStyle name="Currency 6" xfId="166" xr:uid="{00000000-0005-0000-0000-00008C000000}"/>
    <cellStyle name="Currency 6 2" xfId="167" xr:uid="{00000000-0005-0000-0000-00008D000000}"/>
    <cellStyle name="Currency 7" xfId="168" xr:uid="{00000000-0005-0000-0000-00008E000000}"/>
    <cellStyle name="Currency 7 2" xfId="169" xr:uid="{00000000-0005-0000-0000-00008F000000}"/>
    <cellStyle name="Currency 8" xfId="170" xr:uid="{00000000-0005-0000-0000-000090000000}"/>
    <cellStyle name="Currency 8 2" xfId="171" xr:uid="{00000000-0005-0000-0000-000091000000}"/>
    <cellStyle name="Currency 9" xfId="172" xr:uid="{00000000-0005-0000-0000-000092000000}"/>
    <cellStyle name="Currency 9 2" xfId="173" xr:uid="{00000000-0005-0000-0000-000093000000}"/>
    <cellStyle name="DateStyle" xfId="174" xr:uid="{00000000-0005-0000-0000-000094000000}"/>
    <cellStyle name="DateTimeStyle" xfId="175" xr:uid="{00000000-0005-0000-0000-000095000000}"/>
    <cellStyle name="Decimal" xfId="176" xr:uid="{00000000-0005-0000-0000-000096000000}"/>
    <cellStyle name="DecimalWithBorder" xfId="177" xr:uid="{00000000-0005-0000-0000-000097000000}"/>
    <cellStyle name="DecimalWithBorder 2" xfId="178" xr:uid="{00000000-0005-0000-0000-000098000000}"/>
    <cellStyle name="DecimalWithBorder 2 2" xfId="179" xr:uid="{00000000-0005-0000-0000-000099000000}"/>
    <cellStyle name="DecimalWithBorder 2 3" xfId="180" xr:uid="{00000000-0005-0000-0000-00009A000000}"/>
    <cellStyle name="DecimalWithBorder 2 4" xfId="181" xr:uid="{00000000-0005-0000-0000-00009B000000}"/>
    <cellStyle name="DecimalWithBorder 3" xfId="182" xr:uid="{00000000-0005-0000-0000-00009C000000}"/>
    <cellStyle name="DecimalWithBorder 4" xfId="183" xr:uid="{00000000-0005-0000-0000-00009D000000}"/>
    <cellStyle name="DecimalWithBorder 5" xfId="184" xr:uid="{00000000-0005-0000-0000-00009E000000}"/>
    <cellStyle name="Énfasis1 2" xfId="185" xr:uid="{00000000-0005-0000-0000-00009F000000}"/>
    <cellStyle name="Énfasis1 2 2" xfId="186" xr:uid="{00000000-0005-0000-0000-0000A0000000}"/>
    <cellStyle name="EuroCurrency" xfId="187" xr:uid="{00000000-0005-0000-0000-0000A1000000}"/>
    <cellStyle name="EuroCurrencyWithBorder" xfId="188" xr:uid="{00000000-0005-0000-0000-0000A2000000}"/>
    <cellStyle name="EuroCurrencyWithBorder 2" xfId="189" xr:uid="{00000000-0005-0000-0000-0000A3000000}"/>
    <cellStyle name="EuroCurrencyWithBorder 2 2" xfId="190" xr:uid="{00000000-0005-0000-0000-0000A4000000}"/>
    <cellStyle name="EuroCurrencyWithBorder 2 3" xfId="191" xr:uid="{00000000-0005-0000-0000-0000A5000000}"/>
    <cellStyle name="EuroCurrencyWithBorder 2 4" xfId="192" xr:uid="{00000000-0005-0000-0000-0000A6000000}"/>
    <cellStyle name="EuroCurrencyWithBorder 3" xfId="193" xr:uid="{00000000-0005-0000-0000-0000A7000000}"/>
    <cellStyle name="EuroCurrencyWithBorder 4" xfId="194" xr:uid="{00000000-0005-0000-0000-0000A8000000}"/>
    <cellStyle name="EuroCurrencyWithBorder 5" xfId="195" xr:uid="{00000000-0005-0000-0000-0000A9000000}"/>
    <cellStyle name="HeaderStyle" xfId="196" xr:uid="{00000000-0005-0000-0000-0000AA000000}"/>
    <cellStyle name="HeaderSubTop" xfId="197" xr:uid="{00000000-0005-0000-0000-0000AB000000}"/>
    <cellStyle name="HeaderSubTopNoBold" xfId="198" xr:uid="{00000000-0005-0000-0000-0000AC000000}"/>
    <cellStyle name="HeaderTopBuyer" xfId="199" xr:uid="{00000000-0005-0000-0000-0000AD000000}"/>
    <cellStyle name="HeaderTopStyle" xfId="200" xr:uid="{00000000-0005-0000-0000-0000AE000000}"/>
    <cellStyle name="HeaderTopStyleAlignRight" xfId="201" xr:uid="{00000000-0005-0000-0000-0000AF000000}"/>
    <cellStyle name="Hipervínculo" xfId="2867" builtinId="8"/>
    <cellStyle name="MainTitle" xfId="202" xr:uid="{00000000-0005-0000-0000-0000B0000000}"/>
    <cellStyle name="MainTitle 2" xfId="203" xr:uid="{00000000-0005-0000-0000-0000B1000000}"/>
    <cellStyle name="MainTitle 2 2" xfId="204" xr:uid="{00000000-0005-0000-0000-0000B2000000}"/>
    <cellStyle name="MainTitle 2 3" xfId="205" xr:uid="{00000000-0005-0000-0000-0000B3000000}"/>
    <cellStyle name="MainTitle 2 4" xfId="206" xr:uid="{00000000-0005-0000-0000-0000B4000000}"/>
    <cellStyle name="MainTitle 3" xfId="207" xr:uid="{00000000-0005-0000-0000-0000B5000000}"/>
    <cellStyle name="MainTitle 4" xfId="208" xr:uid="{00000000-0005-0000-0000-0000B6000000}"/>
    <cellStyle name="MainTitle 5" xfId="209" xr:uid="{00000000-0005-0000-0000-0000B7000000}"/>
    <cellStyle name="Millares" xfId="3" builtinId="3"/>
    <cellStyle name="Millares 10" xfId="210" xr:uid="{00000000-0005-0000-0000-0000BA000000}"/>
    <cellStyle name="Millares 10 2" xfId="211" xr:uid="{00000000-0005-0000-0000-0000BB000000}"/>
    <cellStyle name="Millares 2" xfId="4" xr:uid="{00000000-0005-0000-0000-0000BC000000}"/>
    <cellStyle name="Millares 2 2" xfId="5" xr:uid="{00000000-0005-0000-0000-0000BD000000}"/>
    <cellStyle name="Millares 2 2 2" xfId="212" xr:uid="{00000000-0005-0000-0000-0000BE000000}"/>
    <cellStyle name="Millares 2 3" xfId="213" xr:uid="{00000000-0005-0000-0000-0000BF000000}"/>
    <cellStyle name="Millares 2 3 2" xfId="214" xr:uid="{00000000-0005-0000-0000-0000C0000000}"/>
    <cellStyle name="Millares 2 3 2 2" xfId="215" xr:uid="{00000000-0005-0000-0000-0000C1000000}"/>
    <cellStyle name="Millares 2 3 3" xfId="216" xr:uid="{00000000-0005-0000-0000-0000C2000000}"/>
    <cellStyle name="Millares 2 3 4" xfId="217" xr:uid="{00000000-0005-0000-0000-0000C3000000}"/>
    <cellStyle name="Millares 2 4" xfId="218" xr:uid="{00000000-0005-0000-0000-0000C4000000}"/>
    <cellStyle name="Millares 2 4 2" xfId="219" xr:uid="{00000000-0005-0000-0000-0000C5000000}"/>
    <cellStyle name="Millares 2 4 3" xfId="220" xr:uid="{00000000-0005-0000-0000-0000C6000000}"/>
    <cellStyle name="Millares 2 5" xfId="221" xr:uid="{00000000-0005-0000-0000-0000C7000000}"/>
    <cellStyle name="Millares 2 5 2" xfId="222" xr:uid="{00000000-0005-0000-0000-0000C8000000}"/>
    <cellStyle name="Millares 2 6" xfId="223" xr:uid="{00000000-0005-0000-0000-0000C9000000}"/>
    <cellStyle name="Millares 2 6 2" xfId="224" xr:uid="{00000000-0005-0000-0000-0000CA000000}"/>
    <cellStyle name="Millares 3" xfId="6" xr:uid="{00000000-0005-0000-0000-0000CB000000}"/>
    <cellStyle name="Millares 3 2" xfId="7" xr:uid="{00000000-0005-0000-0000-0000CC000000}"/>
    <cellStyle name="Millares 3 3" xfId="225" xr:uid="{00000000-0005-0000-0000-0000CD000000}"/>
    <cellStyle name="Millares 3 3 2" xfId="226" xr:uid="{00000000-0005-0000-0000-0000CE000000}"/>
    <cellStyle name="Millares 3 4" xfId="227" xr:uid="{00000000-0005-0000-0000-0000CF000000}"/>
    <cellStyle name="Millares 4" xfId="8" xr:uid="{00000000-0005-0000-0000-0000D0000000}"/>
    <cellStyle name="Millares 4 2" xfId="228" xr:uid="{00000000-0005-0000-0000-0000D1000000}"/>
    <cellStyle name="Millares 5" xfId="229" xr:uid="{00000000-0005-0000-0000-0000D2000000}"/>
    <cellStyle name="Millares 5 2" xfId="230" xr:uid="{00000000-0005-0000-0000-0000D3000000}"/>
    <cellStyle name="Millares 5 3" xfId="231" xr:uid="{00000000-0005-0000-0000-0000D4000000}"/>
    <cellStyle name="Millares 5 4" xfId="232" xr:uid="{00000000-0005-0000-0000-0000D5000000}"/>
    <cellStyle name="Millares 5 5" xfId="233" xr:uid="{00000000-0005-0000-0000-0000D6000000}"/>
    <cellStyle name="Millares 6" xfId="234" xr:uid="{00000000-0005-0000-0000-0000D7000000}"/>
    <cellStyle name="Millares 6 2" xfId="235" xr:uid="{00000000-0005-0000-0000-0000D8000000}"/>
    <cellStyle name="Millares 6 2 2" xfId="236" xr:uid="{00000000-0005-0000-0000-0000D9000000}"/>
    <cellStyle name="Millares 6 3" xfId="237" xr:uid="{00000000-0005-0000-0000-0000DA000000}"/>
    <cellStyle name="Millares 6 3 2" xfId="238" xr:uid="{00000000-0005-0000-0000-0000DB000000}"/>
    <cellStyle name="Millares 6 4" xfId="239" xr:uid="{00000000-0005-0000-0000-0000DC000000}"/>
    <cellStyle name="Millares 7" xfId="240" xr:uid="{00000000-0005-0000-0000-0000DD000000}"/>
    <cellStyle name="Millares 7 2" xfId="241" xr:uid="{00000000-0005-0000-0000-0000DE000000}"/>
    <cellStyle name="Millares 8" xfId="242" xr:uid="{00000000-0005-0000-0000-0000DF000000}"/>
    <cellStyle name="Millares 8 2" xfId="243" xr:uid="{00000000-0005-0000-0000-0000E0000000}"/>
    <cellStyle name="Millares 9" xfId="244" xr:uid="{00000000-0005-0000-0000-0000E1000000}"/>
    <cellStyle name="Millares 9 2" xfId="245" xr:uid="{00000000-0005-0000-0000-0000E2000000}"/>
    <cellStyle name="Moneda" xfId="9" builtinId="4"/>
    <cellStyle name="Moneda [0]" xfId="2865" builtinId="7"/>
    <cellStyle name="Moneda [0] 10" xfId="2868" xr:uid="{25B1F56D-B9D1-2C49-A661-7EFB3AEF3E04}"/>
    <cellStyle name="Moneda [0] 2" xfId="246" xr:uid="{00000000-0005-0000-0000-0000E5000000}"/>
    <cellStyle name="Moneda [0] 2 2" xfId="247" xr:uid="{00000000-0005-0000-0000-0000E6000000}"/>
    <cellStyle name="Moneda [0] 2 2 2" xfId="248" xr:uid="{00000000-0005-0000-0000-0000E7000000}"/>
    <cellStyle name="Moneda [0] 2 2 2 2" xfId="249" xr:uid="{00000000-0005-0000-0000-0000E8000000}"/>
    <cellStyle name="Moneda [0] 2 2 3" xfId="250" xr:uid="{00000000-0005-0000-0000-0000E9000000}"/>
    <cellStyle name="Moneda [0] 2 2 4" xfId="251" xr:uid="{00000000-0005-0000-0000-0000EA000000}"/>
    <cellStyle name="Moneda [0] 2 3" xfId="252" xr:uid="{00000000-0005-0000-0000-0000EB000000}"/>
    <cellStyle name="Moneda [0] 2 3 2" xfId="253" xr:uid="{00000000-0005-0000-0000-0000EC000000}"/>
    <cellStyle name="Moneda [0] 2 4" xfId="254" xr:uid="{00000000-0005-0000-0000-0000ED000000}"/>
    <cellStyle name="Moneda [0] 2 5" xfId="255" xr:uid="{00000000-0005-0000-0000-0000EE000000}"/>
    <cellStyle name="Moneda [0] 3" xfId="256" xr:uid="{00000000-0005-0000-0000-0000EF000000}"/>
    <cellStyle name="Moneda [0] 3 2" xfId="257" xr:uid="{00000000-0005-0000-0000-0000F0000000}"/>
    <cellStyle name="Moneda [0] 3 2 2" xfId="258" xr:uid="{00000000-0005-0000-0000-0000F1000000}"/>
    <cellStyle name="Moneda [0] 3 2 2 2" xfId="259" xr:uid="{00000000-0005-0000-0000-0000F2000000}"/>
    <cellStyle name="Moneda [0] 3 2 3" xfId="260" xr:uid="{00000000-0005-0000-0000-0000F3000000}"/>
    <cellStyle name="Moneda [0] 3 2 3 2" xfId="261" xr:uid="{00000000-0005-0000-0000-0000F4000000}"/>
    <cellStyle name="Moneda [0] 3 2 4" xfId="262" xr:uid="{00000000-0005-0000-0000-0000F5000000}"/>
    <cellStyle name="Moneda [0] 3 2 4 2" xfId="263" xr:uid="{00000000-0005-0000-0000-0000F6000000}"/>
    <cellStyle name="Moneda [0] 3 2 5" xfId="264" xr:uid="{00000000-0005-0000-0000-0000F7000000}"/>
    <cellStyle name="Moneda [0] 3 3" xfId="265" xr:uid="{00000000-0005-0000-0000-0000F8000000}"/>
    <cellStyle name="Moneda [0] 3 3 2" xfId="266" xr:uid="{00000000-0005-0000-0000-0000F9000000}"/>
    <cellStyle name="Moneda [0] 3 4" xfId="267" xr:uid="{00000000-0005-0000-0000-0000FA000000}"/>
    <cellStyle name="Moneda [0] 3 4 2" xfId="268" xr:uid="{00000000-0005-0000-0000-0000FB000000}"/>
    <cellStyle name="Moneda [0] 3 5" xfId="269" xr:uid="{00000000-0005-0000-0000-0000FC000000}"/>
    <cellStyle name="Moneda [0] 3 5 2" xfId="270" xr:uid="{00000000-0005-0000-0000-0000FD000000}"/>
    <cellStyle name="Moneda [0] 3 6" xfId="271" xr:uid="{00000000-0005-0000-0000-0000FE000000}"/>
    <cellStyle name="Moneda [0] 3 7" xfId="272" xr:uid="{00000000-0005-0000-0000-0000FF000000}"/>
    <cellStyle name="Moneda [0] 4" xfId="273" xr:uid="{00000000-0005-0000-0000-000000010000}"/>
    <cellStyle name="Moneda [0] 4 2" xfId="274" xr:uid="{00000000-0005-0000-0000-000001010000}"/>
    <cellStyle name="Moneda [0] 4 2 2" xfId="275" xr:uid="{00000000-0005-0000-0000-000002010000}"/>
    <cellStyle name="Moneda [0] 4 3" xfId="276" xr:uid="{00000000-0005-0000-0000-000003010000}"/>
    <cellStyle name="Moneda [0] 4 3 2" xfId="277" xr:uid="{00000000-0005-0000-0000-000004010000}"/>
    <cellStyle name="Moneda [0] 4 4" xfId="278" xr:uid="{00000000-0005-0000-0000-000005010000}"/>
    <cellStyle name="Moneda [0] 4 4 2" xfId="279" xr:uid="{00000000-0005-0000-0000-000006010000}"/>
    <cellStyle name="Moneda [0] 4 5" xfId="280" xr:uid="{00000000-0005-0000-0000-000007010000}"/>
    <cellStyle name="Moneda [0] 5" xfId="281" xr:uid="{00000000-0005-0000-0000-000008010000}"/>
    <cellStyle name="Moneda [0] 5 2" xfId="282" xr:uid="{00000000-0005-0000-0000-000009010000}"/>
    <cellStyle name="Moneda [0] 5 2 2" xfId="283" xr:uid="{00000000-0005-0000-0000-00000A010000}"/>
    <cellStyle name="Moneda [0] 5 3" xfId="284" xr:uid="{00000000-0005-0000-0000-00000B010000}"/>
    <cellStyle name="Moneda [0] 5 3 2" xfId="285" xr:uid="{00000000-0005-0000-0000-00000C010000}"/>
    <cellStyle name="Moneda [0] 5 4" xfId="286" xr:uid="{00000000-0005-0000-0000-00000D010000}"/>
    <cellStyle name="Moneda [0] 5 4 2" xfId="287" xr:uid="{00000000-0005-0000-0000-00000E010000}"/>
    <cellStyle name="Moneda [0] 5 5" xfId="288" xr:uid="{00000000-0005-0000-0000-00000F010000}"/>
    <cellStyle name="Moneda [0] 6" xfId="289" xr:uid="{00000000-0005-0000-0000-000010010000}"/>
    <cellStyle name="Moneda [0] 6 2" xfId="290" xr:uid="{00000000-0005-0000-0000-000011010000}"/>
    <cellStyle name="Moneda [0] 7" xfId="291" xr:uid="{00000000-0005-0000-0000-000012010000}"/>
    <cellStyle name="Moneda [0] 7 2" xfId="292" xr:uid="{00000000-0005-0000-0000-000013010000}"/>
    <cellStyle name="Moneda [0] 8" xfId="293" xr:uid="{00000000-0005-0000-0000-000014010000}"/>
    <cellStyle name="Moneda [0] 8 2" xfId="294" xr:uid="{00000000-0005-0000-0000-000015010000}"/>
    <cellStyle name="Moneda [0] 9" xfId="295" xr:uid="{00000000-0005-0000-0000-000016010000}"/>
    <cellStyle name="Moneda [0] 9 2" xfId="296" xr:uid="{00000000-0005-0000-0000-000017010000}"/>
    <cellStyle name="Moneda 10" xfId="297" xr:uid="{00000000-0005-0000-0000-000018010000}"/>
    <cellStyle name="Moneda 10 10" xfId="298" xr:uid="{00000000-0005-0000-0000-000019010000}"/>
    <cellStyle name="Moneda 10 11" xfId="299" xr:uid="{00000000-0005-0000-0000-00001A010000}"/>
    <cellStyle name="Moneda 10 2" xfId="300" xr:uid="{00000000-0005-0000-0000-00001B010000}"/>
    <cellStyle name="Moneda 10 2 2" xfId="301" xr:uid="{00000000-0005-0000-0000-00001C010000}"/>
    <cellStyle name="Moneda 10 2 2 2" xfId="302" xr:uid="{00000000-0005-0000-0000-00001D010000}"/>
    <cellStyle name="Moneda 10 2 2 2 2" xfId="303" xr:uid="{00000000-0005-0000-0000-00001E010000}"/>
    <cellStyle name="Moneda 10 2 2 2 2 2" xfId="304" xr:uid="{00000000-0005-0000-0000-00001F010000}"/>
    <cellStyle name="Moneda 10 2 2 2 3" xfId="305" xr:uid="{00000000-0005-0000-0000-000020010000}"/>
    <cellStyle name="Moneda 10 2 2 2 3 2" xfId="306" xr:uid="{00000000-0005-0000-0000-000021010000}"/>
    <cellStyle name="Moneda 10 2 2 2 4" xfId="307" xr:uid="{00000000-0005-0000-0000-000022010000}"/>
    <cellStyle name="Moneda 10 2 2 2 4 2" xfId="308" xr:uid="{00000000-0005-0000-0000-000023010000}"/>
    <cellStyle name="Moneda 10 2 2 2 5" xfId="309" xr:uid="{00000000-0005-0000-0000-000024010000}"/>
    <cellStyle name="Moneda 10 2 2 3" xfId="310" xr:uid="{00000000-0005-0000-0000-000025010000}"/>
    <cellStyle name="Moneda 10 2 2 3 2" xfId="311" xr:uid="{00000000-0005-0000-0000-000026010000}"/>
    <cellStyle name="Moneda 10 2 2 4" xfId="312" xr:uid="{00000000-0005-0000-0000-000027010000}"/>
    <cellStyle name="Moneda 10 2 2 4 2" xfId="313" xr:uid="{00000000-0005-0000-0000-000028010000}"/>
    <cellStyle name="Moneda 10 2 2 5" xfId="314" xr:uid="{00000000-0005-0000-0000-000029010000}"/>
    <cellStyle name="Moneda 10 2 2 5 2" xfId="315" xr:uid="{00000000-0005-0000-0000-00002A010000}"/>
    <cellStyle name="Moneda 10 2 2 6" xfId="316" xr:uid="{00000000-0005-0000-0000-00002B010000}"/>
    <cellStyle name="Moneda 10 2 3" xfId="317" xr:uid="{00000000-0005-0000-0000-00002C010000}"/>
    <cellStyle name="Moneda 10 2 3 2" xfId="318" xr:uid="{00000000-0005-0000-0000-00002D010000}"/>
    <cellStyle name="Moneda 10 2 3 2 2" xfId="319" xr:uid="{00000000-0005-0000-0000-00002E010000}"/>
    <cellStyle name="Moneda 10 2 3 3" xfId="320" xr:uid="{00000000-0005-0000-0000-00002F010000}"/>
    <cellStyle name="Moneda 10 2 3 3 2" xfId="321" xr:uid="{00000000-0005-0000-0000-000030010000}"/>
    <cellStyle name="Moneda 10 2 3 4" xfId="322" xr:uid="{00000000-0005-0000-0000-000031010000}"/>
    <cellStyle name="Moneda 10 2 3 4 2" xfId="323" xr:uid="{00000000-0005-0000-0000-000032010000}"/>
    <cellStyle name="Moneda 10 2 3 5" xfId="324" xr:uid="{00000000-0005-0000-0000-000033010000}"/>
    <cellStyle name="Moneda 10 2 4" xfId="325" xr:uid="{00000000-0005-0000-0000-000034010000}"/>
    <cellStyle name="Moneda 10 2 4 2" xfId="326" xr:uid="{00000000-0005-0000-0000-000035010000}"/>
    <cellStyle name="Moneda 10 2 5" xfId="327" xr:uid="{00000000-0005-0000-0000-000036010000}"/>
    <cellStyle name="Moneda 10 2 5 2" xfId="328" xr:uid="{00000000-0005-0000-0000-000037010000}"/>
    <cellStyle name="Moneda 10 2 6" xfId="329" xr:uid="{00000000-0005-0000-0000-000038010000}"/>
    <cellStyle name="Moneda 10 2 6 2" xfId="330" xr:uid="{00000000-0005-0000-0000-000039010000}"/>
    <cellStyle name="Moneda 10 2 7" xfId="331" xr:uid="{00000000-0005-0000-0000-00003A010000}"/>
    <cellStyle name="Moneda 10 2 8" xfId="332" xr:uid="{00000000-0005-0000-0000-00003B010000}"/>
    <cellStyle name="Moneda 10 3" xfId="333" xr:uid="{00000000-0005-0000-0000-00003C010000}"/>
    <cellStyle name="Moneda 10 3 2" xfId="334" xr:uid="{00000000-0005-0000-0000-00003D010000}"/>
    <cellStyle name="Moneda 10 3 2 2" xfId="335" xr:uid="{00000000-0005-0000-0000-00003E010000}"/>
    <cellStyle name="Moneda 10 3 2 2 2" xfId="336" xr:uid="{00000000-0005-0000-0000-00003F010000}"/>
    <cellStyle name="Moneda 10 3 2 2 2 2" xfId="337" xr:uid="{00000000-0005-0000-0000-000040010000}"/>
    <cellStyle name="Moneda 10 3 2 2 3" xfId="338" xr:uid="{00000000-0005-0000-0000-000041010000}"/>
    <cellStyle name="Moneda 10 3 2 2 3 2" xfId="339" xr:uid="{00000000-0005-0000-0000-000042010000}"/>
    <cellStyle name="Moneda 10 3 2 2 4" xfId="340" xr:uid="{00000000-0005-0000-0000-000043010000}"/>
    <cellStyle name="Moneda 10 3 2 2 4 2" xfId="341" xr:uid="{00000000-0005-0000-0000-000044010000}"/>
    <cellStyle name="Moneda 10 3 2 2 5" xfId="342" xr:uid="{00000000-0005-0000-0000-000045010000}"/>
    <cellStyle name="Moneda 10 3 2 3" xfId="343" xr:uid="{00000000-0005-0000-0000-000046010000}"/>
    <cellStyle name="Moneda 10 3 2 3 2" xfId="344" xr:uid="{00000000-0005-0000-0000-000047010000}"/>
    <cellStyle name="Moneda 10 3 2 4" xfId="345" xr:uid="{00000000-0005-0000-0000-000048010000}"/>
    <cellStyle name="Moneda 10 3 2 4 2" xfId="346" xr:uid="{00000000-0005-0000-0000-000049010000}"/>
    <cellStyle name="Moneda 10 3 2 5" xfId="347" xr:uid="{00000000-0005-0000-0000-00004A010000}"/>
    <cellStyle name="Moneda 10 3 2 5 2" xfId="348" xr:uid="{00000000-0005-0000-0000-00004B010000}"/>
    <cellStyle name="Moneda 10 3 2 6" xfId="349" xr:uid="{00000000-0005-0000-0000-00004C010000}"/>
    <cellStyle name="Moneda 10 3 3" xfId="350" xr:uid="{00000000-0005-0000-0000-00004D010000}"/>
    <cellStyle name="Moneda 10 3 3 2" xfId="351" xr:uid="{00000000-0005-0000-0000-00004E010000}"/>
    <cellStyle name="Moneda 10 3 3 2 2" xfId="352" xr:uid="{00000000-0005-0000-0000-00004F010000}"/>
    <cellStyle name="Moneda 10 3 3 3" xfId="353" xr:uid="{00000000-0005-0000-0000-000050010000}"/>
    <cellStyle name="Moneda 10 3 3 3 2" xfId="354" xr:uid="{00000000-0005-0000-0000-000051010000}"/>
    <cellStyle name="Moneda 10 3 3 4" xfId="355" xr:uid="{00000000-0005-0000-0000-000052010000}"/>
    <cellStyle name="Moneda 10 3 3 4 2" xfId="356" xr:uid="{00000000-0005-0000-0000-000053010000}"/>
    <cellStyle name="Moneda 10 3 3 5" xfId="357" xr:uid="{00000000-0005-0000-0000-000054010000}"/>
    <cellStyle name="Moneda 10 3 4" xfId="358" xr:uid="{00000000-0005-0000-0000-000055010000}"/>
    <cellStyle name="Moneda 10 3 4 2" xfId="359" xr:uid="{00000000-0005-0000-0000-000056010000}"/>
    <cellStyle name="Moneda 10 3 5" xfId="360" xr:uid="{00000000-0005-0000-0000-000057010000}"/>
    <cellStyle name="Moneda 10 3 5 2" xfId="361" xr:uid="{00000000-0005-0000-0000-000058010000}"/>
    <cellStyle name="Moneda 10 3 6" xfId="362" xr:uid="{00000000-0005-0000-0000-000059010000}"/>
    <cellStyle name="Moneda 10 3 6 2" xfId="363" xr:uid="{00000000-0005-0000-0000-00005A010000}"/>
    <cellStyle name="Moneda 10 3 7" xfId="364" xr:uid="{00000000-0005-0000-0000-00005B010000}"/>
    <cellStyle name="Moneda 10 4" xfId="365" xr:uid="{00000000-0005-0000-0000-00005C010000}"/>
    <cellStyle name="Moneda 10 4 2" xfId="366" xr:uid="{00000000-0005-0000-0000-00005D010000}"/>
    <cellStyle name="Moneda 10 4 2 2" xfId="367" xr:uid="{00000000-0005-0000-0000-00005E010000}"/>
    <cellStyle name="Moneda 10 4 2 2 2" xfId="368" xr:uid="{00000000-0005-0000-0000-00005F010000}"/>
    <cellStyle name="Moneda 10 4 2 2 2 2" xfId="369" xr:uid="{00000000-0005-0000-0000-000060010000}"/>
    <cellStyle name="Moneda 10 4 2 2 3" xfId="370" xr:uid="{00000000-0005-0000-0000-000061010000}"/>
    <cellStyle name="Moneda 10 4 2 2 3 2" xfId="371" xr:uid="{00000000-0005-0000-0000-000062010000}"/>
    <cellStyle name="Moneda 10 4 2 2 4" xfId="372" xr:uid="{00000000-0005-0000-0000-000063010000}"/>
    <cellStyle name="Moneda 10 4 2 2 4 2" xfId="373" xr:uid="{00000000-0005-0000-0000-000064010000}"/>
    <cellStyle name="Moneda 10 4 2 2 5" xfId="374" xr:uid="{00000000-0005-0000-0000-000065010000}"/>
    <cellStyle name="Moneda 10 4 2 3" xfId="375" xr:uid="{00000000-0005-0000-0000-000066010000}"/>
    <cellStyle name="Moneda 10 4 2 3 2" xfId="376" xr:uid="{00000000-0005-0000-0000-000067010000}"/>
    <cellStyle name="Moneda 10 4 2 4" xfId="377" xr:uid="{00000000-0005-0000-0000-000068010000}"/>
    <cellStyle name="Moneda 10 4 2 4 2" xfId="378" xr:uid="{00000000-0005-0000-0000-000069010000}"/>
    <cellStyle name="Moneda 10 4 2 5" xfId="379" xr:uid="{00000000-0005-0000-0000-00006A010000}"/>
    <cellStyle name="Moneda 10 4 2 5 2" xfId="380" xr:uid="{00000000-0005-0000-0000-00006B010000}"/>
    <cellStyle name="Moneda 10 4 2 6" xfId="381" xr:uid="{00000000-0005-0000-0000-00006C010000}"/>
    <cellStyle name="Moneda 10 4 3" xfId="382" xr:uid="{00000000-0005-0000-0000-00006D010000}"/>
    <cellStyle name="Moneda 10 4 3 2" xfId="383" xr:uid="{00000000-0005-0000-0000-00006E010000}"/>
    <cellStyle name="Moneda 10 4 3 2 2" xfId="384" xr:uid="{00000000-0005-0000-0000-00006F010000}"/>
    <cellStyle name="Moneda 10 4 3 3" xfId="385" xr:uid="{00000000-0005-0000-0000-000070010000}"/>
    <cellStyle name="Moneda 10 4 3 3 2" xfId="386" xr:uid="{00000000-0005-0000-0000-000071010000}"/>
    <cellStyle name="Moneda 10 4 3 4" xfId="387" xr:uid="{00000000-0005-0000-0000-000072010000}"/>
    <cellStyle name="Moneda 10 4 3 4 2" xfId="388" xr:uid="{00000000-0005-0000-0000-000073010000}"/>
    <cellStyle name="Moneda 10 4 3 5" xfId="389" xr:uid="{00000000-0005-0000-0000-000074010000}"/>
    <cellStyle name="Moneda 10 4 4" xfId="390" xr:uid="{00000000-0005-0000-0000-000075010000}"/>
    <cellStyle name="Moneda 10 4 4 2" xfId="391" xr:uid="{00000000-0005-0000-0000-000076010000}"/>
    <cellStyle name="Moneda 10 4 5" xfId="392" xr:uid="{00000000-0005-0000-0000-000077010000}"/>
    <cellStyle name="Moneda 10 4 5 2" xfId="393" xr:uid="{00000000-0005-0000-0000-000078010000}"/>
    <cellStyle name="Moneda 10 4 6" xfId="394" xr:uid="{00000000-0005-0000-0000-000079010000}"/>
    <cellStyle name="Moneda 10 4 6 2" xfId="395" xr:uid="{00000000-0005-0000-0000-00007A010000}"/>
    <cellStyle name="Moneda 10 4 7" xfId="396" xr:uid="{00000000-0005-0000-0000-00007B010000}"/>
    <cellStyle name="Moneda 10 5" xfId="397" xr:uid="{00000000-0005-0000-0000-00007C010000}"/>
    <cellStyle name="Moneda 10 5 2" xfId="398" xr:uid="{00000000-0005-0000-0000-00007D010000}"/>
    <cellStyle name="Moneda 10 5 2 2" xfId="399" xr:uid="{00000000-0005-0000-0000-00007E010000}"/>
    <cellStyle name="Moneda 10 5 2 2 2" xfId="400" xr:uid="{00000000-0005-0000-0000-00007F010000}"/>
    <cellStyle name="Moneda 10 5 2 3" xfId="401" xr:uid="{00000000-0005-0000-0000-000080010000}"/>
    <cellStyle name="Moneda 10 5 2 3 2" xfId="402" xr:uid="{00000000-0005-0000-0000-000081010000}"/>
    <cellStyle name="Moneda 10 5 2 4" xfId="403" xr:uid="{00000000-0005-0000-0000-000082010000}"/>
    <cellStyle name="Moneda 10 5 2 4 2" xfId="404" xr:uid="{00000000-0005-0000-0000-000083010000}"/>
    <cellStyle name="Moneda 10 5 2 5" xfId="405" xr:uid="{00000000-0005-0000-0000-000084010000}"/>
    <cellStyle name="Moneda 10 5 3" xfId="406" xr:uid="{00000000-0005-0000-0000-000085010000}"/>
    <cellStyle name="Moneda 10 5 3 2" xfId="407" xr:uid="{00000000-0005-0000-0000-000086010000}"/>
    <cellStyle name="Moneda 10 5 4" xfId="408" xr:uid="{00000000-0005-0000-0000-000087010000}"/>
    <cellStyle name="Moneda 10 5 4 2" xfId="409" xr:uid="{00000000-0005-0000-0000-000088010000}"/>
    <cellStyle name="Moneda 10 5 5" xfId="410" xr:uid="{00000000-0005-0000-0000-000089010000}"/>
    <cellStyle name="Moneda 10 5 5 2" xfId="411" xr:uid="{00000000-0005-0000-0000-00008A010000}"/>
    <cellStyle name="Moneda 10 5 6" xfId="412" xr:uid="{00000000-0005-0000-0000-00008B010000}"/>
    <cellStyle name="Moneda 10 6" xfId="413" xr:uid="{00000000-0005-0000-0000-00008C010000}"/>
    <cellStyle name="Moneda 10 6 2" xfId="414" xr:uid="{00000000-0005-0000-0000-00008D010000}"/>
    <cellStyle name="Moneda 10 6 2 2" xfId="415" xr:uid="{00000000-0005-0000-0000-00008E010000}"/>
    <cellStyle name="Moneda 10 6 3" xfId="416" xr:uid="{00000000-0005-0000-0000-00008F010000}"/>
    <cellStyle name="Moneda 10 6 3 2" xfId="417" xr:uid="{00000000-0005-0000-0000-000090010000}"/>
    <cellStyle name="Moneda 10 6 4" xfId="418" xr:uid="{00000000-0005-0000-0000-000091010000}"/>
    <cellStyle name="Moneda 10 6 4 2" xfId="419" xr:uid="{00000000-0005-0000-0000-000092010000}"/>
    <cellStyle name="Moneda 10 6 5" xfId="420" xr:uid="{00000000-0005-0000-0000-000093010000}"/>
    <cellStyle name="Moneda 10 7" xfId="421" xr:uid="{00000000-0005-0000-0000-000094010000}"/>
    <cellStyle name="Moneda 10 7 2" xfId="422" xr:uid="{00000000-0005-0000-0000-000095010000}"/>
    <cellStyle name="Moneda 10 8" xfId="423" xr:uid="{00000000-0005-0000-0000-000096010000}"/>
    <cellStyle name="Moneda 10 8 2" xfId="424" xr:uid="{00000000-0005-0000-0000-000097010000}"/>
    <cellStyle name="Moneda 10 9" xfId="425" xr:uid="{00000000-0005-0000-0000-000098010000}"/>
    <cellStyle name="Moneda 10 9 2" xfId="426" xr:uid="{00000000-0005-0000-0000-000099010000}"/>
    <cellStyle name="Moneda 11" xfId="427" xr:uid="{00000000-0005-0000-0000-00009A010000}"/>
    <cellStyle name="Moneda 11 10" xfId="428" xr:uid="{00000000-0005-0000-0000-00009B010000}"/>
    <cellStyle name="Moneda 11 11" xfId="429" xr:uid="{00000000-0005-0000-0000-00009C010000}"/>
    <cellStyle name="Moneda 11 2" xfId="430" xr:uid="{00000000-0005-0000-0000-00009D010000}"/>
    <cellStyle name="Moneda 11 2 2" xfId="431" xr:uid="{00000000-0005-0000-0000-00009E010000}"/>
    <cellStyle name="Moneda 11 2 2 2" xfId="432" xr:uid="{00000000-0005-0000-0000-00009F010000}"/>
    <cellStyle name="Moneda 11 2 2 2 2" xfId="433" xr:uid="{00000000-0005-0000-0000-0000A0010000}"/>
    <cellStyle name="Moneda 11 2 2 2 2 2" xfId="434" xr:uid="{00000000-0005-0000-0000-0000A1010000}"/>
    <cellStyle name="Moneda 11 2 2 2 3" xfId="435" xr:uid="{00000000-0005-0000-0000-0000A2010000}"/>
    <cellStyle name="Moneda 11 2 2 2 3 2" xfId="436" xr:uid="{00000000-0005-0000-0000-0000A3010000}"/>
    <cellStyle name="Moneda 11 2 2 2 4" xfId="437" xr:uid="{00000000-0005-0000-0000-0000A4010000}"/>
    <cellStyle name="Moneda 11 2 2 2 4 2" xfId="438" xr:uid="{00000000-0005-0000-0000-0000A5010000}"/>
    <cellStyle name="Moneda 11 2 2 2 5" xfId="439" xr:uid="{00000000-0005-0000-0000-0000A6010000}"/>
    <cellStyle name="Moneda 11 2 2 3" xfId="440" xr:uid="{00000000-0005-0000-0000-0000A7010000}"/>
    <cellStyle name="Moneda 11 2 2 3 2" xfId="441" xr:uid="{00000000-0005-0000-0000-0000A8010000}"/>
    <cellStyle name="Moneda 11 2 2 4" xfId="442" xr:uid="{00000000-0005-0000-0000-0000A9010000}"/>
    <cellStyle name="Moneda 11 2 2 4 2" xfId="443" xr:uid="{00000000-0005-0000-0000-0000AA010000}"/>
    <cellStyle name="Moneda 11 2 2 5" xfId="444" xr:uid="{00000000-0005-0000-0000-0000AB010000}"/>
    <cellStyle name="Moneda 11 2 2 5 2" xfId="445" xr:uid="{00000000-0005-0000-0000-0000AC010000}"/>
    <cellStyle name="Moneda 11 2 2 6" xfId="446" xr:uid="{00000000-0005-0000-0000-0000AD010000}"/>
    <cellStyle name="Moneda 11 2 3" xfId="447" xr:uid="{00000000-0005-0000-0000-0000AE010000}"/>
    <cellStyle name="Moneda 11 2 3 2" xfId="448" xr:uid="{00000000-0005-0000-0000-0000AF010000}"/>
    <cellStyle name="Moneda 11 2 3 2 2" xfId="449" xr:uid="{00000000-0005-0000-0000-0000B0010000}"/>
    <cellStyle name="Moneda 11 2 3 3" xfId="450" xr:uid="{00000000-0005-0000-0000-0000B1010000}"/>
    <cellStyle name="Moneda 11 2 3 3 2" xfId="451" xr:uid="{00000000-0005-0000-0000-0000B2010000}"/>
    <cellStyle name="Moneda 11 2 3 4" xfId="452" xr:uid="{00000000-0005-0000-0000-0000B3010000}"/>
    <cellStyle name="Moneda 11 2 3 4 2" xfId="453" xr:uid="{00000000-0005-0000-0000-0000B4010000}"/>
    <cellStyle name="Moneda 11 2 3 5" xfId="454" xr:uid="{00000000-0005-0000-0000-0000B5010000}"/>
    <cellStyle name="Moneda 11 2 4" xfId="455" xr:uid="{00000000-0005-0000-0000-0000B6010000}"/>
    <cellStyle name="Moneda 11 2 4 2" xfId="456" xr:uid="{00000000-0005-0000-0000-0000B7010000}"/>
    <cellStyle name="Moneda 11 2 5" xfId="457" xr:uid="{00000000-0005-0000-0000-0000B8010000}"/>
    <cellStyle name="Moneda 11 2 5 2" xfId="458" xr:uid="{00000000-0005-0000-0000-0000B9010000}"/>
    <cellStyle name="Moneda 11 2 6" xfId="459" xr:uid="{00000000-0005-0000-0000-0000BA010000}"/>
    <cellStyle name="Moneda 11 2 6 2" xfId="460" xr:uid="{00000000-0005-0000-0000-0000BB010000}"/>
    <cellStyle name="Moneda 11 2 7" xfId="461" xr:uid="{00000000-0005-0000-0000-0000BC010000}"/>
    <cellStyle name="Moneda 11 2 8" xfId="462" xr:uid="{00000000-0005-0000-0000-0000BD010000}"/>
    <cellStyle name="Moneda 11 3" xfId="463" xr:uid="{00000000-0005-0000-0000-0000BE010000}"/>
    <cellStyle name="Moneda 11 3 2" xfId="464" xr:uid="{00000000-0005-0000-0000-0000BF010000}"/>
    <cellStyle name="Moneda 11 3 2 2" xfId="465" xr:uid="{00000000-0005-0000-0000-0000C0010000}"/>
    <cellStyle name="Moneda 11 3 2 2 2" xfId="466" xr:uid="{00000000-0005-0000-0000-0000C1010000}"/>
    <cellStyle name="Moneda 11 3 2 2 2 2" xfId="467" xr:uid="{00000000-0005-0000-0000-0000C2010000}"/>
    <cellStyle name="Moneda 11 3 2 2 3" xfId="468" xr:uid="{00000000-0005-0000-0000-0000C3010000}"/>
    <cellStyle name="Moneda 11 3 2 2 3 2" xfId="469" xr:uid="{00000000-0005-0000-0000-0000C4010000}"/>
    <cellStyle name="Moneda 11 3 2 2 4" xfId="470" xr:uid="{00000000-0005-0000-0000-0000C5010000}"/>
    <cellStyle name="Moneda 11 3 2 2 4 2" xfId="471" xr:uid="{00000000-0005-0000-0000-0000C6010000}"/>
    <cellStyle name="Moneda 11 3 2 2 5" xfId="472" xr:uid="{00000000-0005-0000-0000-0000C7010000}"/>
    <cellStyle name="Moneda 11 3 2 3" xfId="473" xr:uid="{00000000-0005-0000-0000-0000C8010000}"/>
    <cellStyle name="Moneda 11 3 2 3 2" xfId="474" xr:uid="{00000000-0005-0000-0000-0000C9010000}"/>
    <cellStyle name="Moneda 11 3 2 4" xfId="475" xr:uid="{00000000-0005-0000-0000-0000CA010000}"/>
    <cellStyle name="Moneda 11 3 2 4 2" xfId="476" xr:uid="{00000000-0005-0000-0000-0000CB010000}"/>
    <cellStyle name="Moneda 11 3 2 5" xfId="477" xr:uid="{00000000-0005-0000-0000-0000CC010000}"/>
    <cellStyle name="Moneda 11 3 2 5 2" xfId="478" xr:uid="{00000000-0005-0000-0000-0000CD010000}"/>
    <cellStyle name="Moneda 11 3 2 6" xfId="479" xr:uid="{00000000-0005-0000-0000-0000CE010000}"/>
    <cellStyle name="Moneda 11 3 3" xfId="480" xr:uid="{00000000-0005-0000-0000-0000CF010000}"/>
    <cellStyle name="Moneda 11 3 3 2" xfId="481" xr:uid="{00000000-0005-0000-0000-0000D0010000}"/>
    <cellStyle name="Moneda 11 3 3 2 2" xfId="482" xr:uid="{00000000-0005-0000-0000-0000D1010000}"/>
    <cellStyle name="Moneda 11 3 3 3" xfId="483" xr:uid="{00000000-0005-0000-0000-0000D2010000}"/>
    <cellStyle name="Moneda 11 3 3 3 2" xfId="484" xr:uid="{00000000-0005-0000-0000-0000D3010000}"/>
    <cellStyle name="Moneda 11 3 3 4" xfId="485" xr:uid="{00000000-0005-0000-0000-0000D4010000}"/>
    <cellStyle name="Moneda 11 3 3 4 2" xfId="486" xr:uid="{00000000-0005-0000-0000-0000D5010000}"/>
    <cellStyle name="Moneda 11 3 3 5" xfId="487" xr:uid="{00000000-0005-0000-0000-0000D6010000}"/>
    <cellStyle name="Moneda 11 3 4" xfId="488" xr:uid="{00000000-0005-0000-0000-0000D7010000}"/>
    <cellStyle name="Moneda 11 3 4 2" xfId="489" xr:uid="{00000000-0005-0000-0000-0000D8010000}"/>
    <cellStyle name="Moneda 11 3 5" xfId="490" xr:uid="{00000000-0005-0000-0000-0000D9010000}"/>
    <cellStyle name="Moneda 11 3 5 2" xfId="491" xr:uid="{00000000-0005-0000-0000-0000DA010000}"/>
    <cellStyle name="Moneda 11 3 6" xfId="492" xr:uid="{00000000-0005-0000-0000-0000DB010000}"/>
    <cellStyle name="Moneda 11 3 6 2" xfId="493" xr:uid="{00000000-0005-0000-0000-0000DC010000}"/>
    <cellStyle name="Moneda 11 3 7" xfId="494" xr:uid="{00000000-0005-0000-0000-0000DD010000}"/>
    <cellStyle name="Moneda 11 4" xfId="495" xr:uid="{00000000-0005-0000-0000-0000DE010000}"/>
    <cellStyle name="Moneda 11 4 2" xfId="496" xr:uid="{00000000-0005-0000-0000-0000DF010000}"/>
    <cellStyle name="Moneda 11 4 2 2" xfId="497" xr:uid="{00000000-0005-0000-0000-0000E0010000}"/>
    <cellStyle name="Moneda 11 4 2 2 2" xfId="498" xr:uid="{00000000-0005-0000-0000-0000E1010000}"/>
    <cellStyle name="Moneda 11 4 2 2 2 2" xfId="499" xr:uid="{00000000-0005-0000-0000-0000E2010000}"/>
    <cellStyle name="Moneda 11 4 2 2 3" xfId="500" xr:uid="{00000000-0005-0000-0000-0000E3010000}"/>
    <cellStyle name="Moneda 11 4 2 2 3 2" xfId="501" xr:uid="{00000000-0005-0000-0000-0000E4010000}"/>
    <cellStyle name="Moneda 11 4 2 2 4" xfId="502" xr:uid="{00000000-0005-0000-0000-0000E5010000}"/>
    <cellStyle name="Moneda 11 4 2 2 4 2" xfId="503" xr:uid="{00000000-0005-0000-0000-0000E6010000}"/>
    <cellStyle name="Moneda 11 4 2 2 5" xfId="504" xr:uid="{00000000-0005-0000-0000-0000E7010000}"/>
    <cellStyle name="Moneda 11 4 2 3" xfId="505" xr:uid="{00000000-0005-0000-0000-0000E8010000}"/>
    <cellStyle name="Moneda 11 4 2 3 2" xfId="506" xr:uid="{00000000-0005-0000-0000-0000E9010000}"/>
    <cellStyle name="Moneda 11 4 2 4" xfId="507" xr:uid="{00000000-0005-0000-0000-0000EA010000}"/>
    <cellStyle name="Moneda 11 4 2 4 2" xfId="508" xr:uid="{00000000-0005-0000-0000-0000EB010000}"/>
    <cellStyle name="Moneda 11 4 2 5" xfId="509" xr:uid="{00000000-0005-0000-0000-0000EC010000}"/>
    <cellStyle name="Moneda 11 4 2 5 2" xfId="510" xr:uid="{00000000-0005-0000-0000-0000ED010000}"/>
    <cellStyle name="Moneda 11 4 2 6" xfId="511" xr:uid="{00000000-0005-0000-0000-0000EE010000}"/>
    <cellStyle name="Moneda 11 4 3" xfId="512" xr:uid="{00000000-0005-0000-0000-0000EF010000}"/>
    <cellStyle name="Moneda 11 4 3 2" xfId="513" xr:uid="{00000000-0005-0000-0000-0000F0010000}"/>
    <cellStyle name="Moneda 11 4 3 2 2" xfId="514" xr:uid="{00000000-0005-0000-0000-0000F1010000}"/>
    <cellStyle name="Moneda 11 4 3 3" xfId="515" xr:uid="{00000000-0005-0000-0000-0000F2010000}"/>
    <cellStyle name="Moneda 11 4 3 3 2" xfId="516" xr:uid="{00000000-0005-0000-0000-0000F3010000}"/>
    <cellStyle name="Moneda 11 4 3 4" xfId="517" xr:uid="{00000000-0005-0000-0000-0000F4010000}"/>
    <cellStyle name="Moneda 11 4 3 4 2" xfId="518" xr:uid="{00000000-0005-0000-0000-0000F5010000}"/>
    <cellStyle name="Moneda 11 4 3 5" xfId="519" xr:uid="{00000000-0005-0000-0000-0000F6010000}"/>
    <cellStyle name="Moneda 11 4 4" xfId="520" xr:uid="{00000000-0005-0000-0000-0000F7010000}"/>
    <cellStyle name="Moneda 11 4 4 2" xfId="521" xr:uid="{00000000-0005-0000-0000-0000F8010000}"/>
    <cellStyle name="Moneda 11 4 5" xfId="522" xr:uid="{00000000-0005-0000-0000-0000F9010000}"/>
    <cellStyle name="Moneda 11 4 5 2" xfId="523" xr:uid="{00000000-0005-0000-0000-0000FA010000}"/>
    <cellStyle name="Moneda 11 4 6" xfId="524" xr:uid="{00000000-0005-0000-0000-0000FB010000}"/>
    <cellStyle name="Moneda 11 4 6 2" xfId="525" xr:uid="{00000000-0005-0000-0000-0000FC010000}"/>
    <cellStyle name="Moneda 11 4 7" xfId="526" xr:uid="{00000000-0005-0000-0000-0000FD010000}"/>
    <cellStyle name="Moneda 11 5" xfId="527" xr:uid="{00000000-0005-0000-0000-0000FE010000}"/>
    <cellStyle name="Moneda 11 5 2" xfId="528" xr:uid="{00000000-0005-0000-0000-0000FF010000}"/>
    <cellStyle name="Moneda 11 5 2 2" xfId="529" xr:uid="{00000000-0005-0000-0000-000000020000}"/>
    <cellStyle name="Moneda 11 5 2 2 2" xfId="530" xr:uid="{00000000-0005-0000-0000-000001020000}"/>
    <cellStyle name="Moneda 11 5 2 3" xfId="531" xr:uid="{00000000-0005-0000-0000-000002020000}"/>
    <cellStyle name="Moneda 11 5 2 3 2" xfId="532" xr:uid="{00000000-0005-0000-0000-000003020000}"/>
    <cellStyle name="Moneda 11 5 2 4" xfId="533" xr:uid="{00000000-0005-0000-0000-000004020000}"/>
    <cellStyle name="Moneda 11 5 2 4 2" xfId="534" xr:uid="{00000000-0005-0000-0000-000005020000}"/>
    <cellStyle name="Moneda 11 5 2 5" xfId="535" xr:uid="{00000000-0005-0000-0000-000006020000}"/>
    <cellStyle name="Moneda 11 5 3" xfId="536" xr:uid="{00000000-0005-0000-0000-000007020000}"/>
    <cellStyle name="Moneda 11 5 3 2" xfId="537" xr:uid="{00000000-0005-0000-0000-000008020000}"/>
    <cellStyle name="Moneda 11 5 4" xfId="538" xr:uid="{00000000-0005-0000-0000-000009020000}"/>
    <cellStyle name="Moneda 11 5 4 2" xfId="539" xr:uid="{00000000-0005-0000-0000-00000A020000}"/>
    <cellStyle name="Moneda 11 5 5" xfId="540" xr:uid="{00000000-0005-0000-0000-00000B020000}"/>
    <cellStyle name="Moneda 11 5 5 2" xfId="541" xr:uid="{00000000-0005-0000-0000-00000C020000}"/>
    <cellStyle name="Moneda 11 5 6" xfId="542" xr:uid="{00000000-0005-0000-0000-00000D020000}"/>
    <cellStyle name="Moneda 11 6" xfId="543" xr:uid="{00000000-0005-0000-0000-00000E020000}"/>
    <cellStyle name="Moneda 11 6 2" xfId="544" xr:uid="{00000000-0005-0000-0000-00000F020000}"/>
    <cellStyle name="Moneda 11 6 2 2" xfId="545" xr:uid="{00000000-0005-0000-0000-000010020000}"/>
    <cellStyle name="Moneda 11 6 3" xfId="546" xr:uid="{00000000-0005-0000-0000-000011020000}"/>
    <cellStyle name="Moneda 11 6 3 2" xfId="547" xr:uid="{00000000-0005-0000-0000-000012020000}"/>
    <cellStyle name="Moneda 11 6 4" xfId="548" xr:uid="{00000000-0005-0000-0000-000013020000}"/>
    <cellStyle name="Moneda 11 6 4 2" xfId="549" xr:uid="{00000000-0005-0000-0000-000014020000}"/>
    <cellStyle name="Moneda 11 6 5" xfId="550" xr:uid="{00000000-0005-0000-0000-000015020000}"/>
    <cellStyle name="Moneda 11 7" xfId="551" xr:uid="{00000000-0005-0000-0000-000016020000}"/>
    <cellStyle name="Moneda 11 7 2" xfId="552" xr:uid="{00000000-0005-0000-0000-000017020000}"/>
    <cellStyle name="Moneda 11 8" xfId="553" xr:uid="{00000000-0005-0000-0000-000018020000}"/>
    <cellStyle name="Moneda 11 8 2" xfId="554" xr:uid="{00000000-0005-0000-0000-000019020000}"/>
    <cellStyle name="Moneda 11 9" xfId="555" xr:uid="{00000000-0005-0000-0000-00001A020000}"/>
    <cellStyle name="Moneda 11 9 2" xfId="556" xr:uid="{00000000-0005-0000-0000-00001B020000}"/>
    <cellStyle name="Moneda 12" xfId="557" xr:uid="{00000000-0005-0000-0000-00001C020000}"/>
    <cellStyle name="Moneda 12 2" xfId="558" xr:uid="{00000000-0005-0000-0000-00001D020000}"/>
    <cellStyle name="Moneda 12 2 2" xfId="559" xr:uid="{00000000-0005-0000-0000-00001E020000}"/>
    <cellStyle name="Moneda 12 2 2 2" xfId="560" xr:uid="{00000000-0005-0000-0000-00001F020000}"/>
    <cellStyle name="Moneda 12 2 2 2 2" xfId="561" xr:uid="{00000000-0005-0000-0000-000020020000}"/>
    <cellStyle name="Moneda 12 2 2 2 2 2" xfId="562" xr:uid="{00000000-0005-0000-0000-000021020000}"/>
    <cellStyle name="Moneda 12 2 2 2 3" xfId="563" xr:uid="{00000000-0005-0000-0000-000022020000}"/>
    <cellStyle name="Moneda 12 2 2 2 3 2" xfId="564" xr:uid="{00000000-0005-0000-0000-000023020000}"/>
    <cellStyle name="Moneda 12 2 2 2 4" xfId="565" xr:uid="{00000000-0005-0000-0000-000024020000}"/>
    <cellStyle name="Moneda 12 2 2 2 4 2" xfId="566" xr:uid="{00000000-0005-0000-0000-000025020000}"/>
    <cellStyle name="Moneda 12 2 2 2 5" xfId="567" xr:uid="{00000000-0005-0000-0000-000026020000}"/>
    <cellStyle name="Moneda 12 2 2 3" xfId="568" xr:uid="{00000000-0005-0000-0000-000027020000}"/>
    <cellStyle name="Moneda 12 2 2 3 2" xfId="569" xr:uid="{00000000-0005-0000-0000-000028020000}"/>
    <cellStyle name="Moneda 12 2 2 4" xfId="570" xr:uid="{00000000-0005-0000-0000-000029020000}"/>
    <cellStyle name="Moneda 12 2 2 4 2" xfId="571" xr:uid="{00000000-0005-0000-0000-00002A020000}"/>
    <cellStyle name="Moneda 12 2 2 5" xfId="572" xr:uid="{00000000-0005-0000-0000-00002B020000}"/>
    <cellStyle name="Moneda 12 2 2 5 2" xfId="573" xr:uid="{00000000-0005-0000-0000-00002C020000}"/>
    <cellStyle name="Moneda 12 2 2 6" xfId="574" xr:uid="{00000000-0005-0000-0000-00002D020000}"/>
    <cellStyle name="Moneda 12 2 3" xfId="575" xr:uid="{00000000-0005-0000-0000-00002E020000}"/>
    <cellStyle name="Moneda 12 2 3 2" xfId="576" xr:uid="{00000000-0005-0000-0000-00002F020000}"/>
    <cellStyle name="Moneda 12 2 3 2 2" xfId="577" xr:uid="{00000000-0005-0000-0000-000030020000}"/>
    <cellStyle name="Moneda 12 2 3 3" xfId="578" xr:uid="{00000000-0005-0000-0000-000031020000}"/>
    <cellStyle name="Moneda 12 2 3 3 2" xfId="579" xr:uid="{00000000-0005-0000-0000-000032020000}"/>
    <cellStyle name="Moneda 12 2 3 4" xfId="580" xr:uid="{00000000-0005-0000-0000-000033020000}"/>
    <cellStyle name="Moneda 12 2 3 4 2" xfId="581" xr:uid="{00000000-0005-0000-0000-000034020000}"/>
    <cellStyle name="Moneda 12 2 3 5" xfId="582" xr:uid="{00000000-0005-0000-0000-000035020000}"/>
    <cellStyle name="Moneda 12 2 4" xfId="583" xr:uid="{00000000-0005-0000-0000-000036020000}"/>
    <cellStyle name="Moneda 12 2 4 2" xfId="584" xr:uid="{00000000-0005-0000-0000-000037020000}"/>
    <cellStyle name="Moneda 12 2 5" xfId="585" xr:uid="{00000000-0005-0000-0000-000038020000}"/>
    <cellStyle name="Moneda 12 2 5 2" xfId="586" xr:uid="{00000000-0005-0000-0000-000039020000}"/>
    <cellStyle name="Moneda 12 2 6" xfId="587" xr:uid="{00000000-0005-0000-0000-00003A020000}"/>
    <cellStyle name="Moneda 12 2 6 2" xfId="588" xr:uid="{00000000-0005-0000-0000-00003B020000}"/>
    <cellStyle name="Moneda 12 2 7" xfId="589" xr:uid="{00000000-0005-0000-0000-00003C020000}"/>
    <cellStyle name="Moneda 12 2 8" xfId="590" xr:uid="{00000000-0005-0000-0000-00003D020000}"/>
    <cellStyle name="Moneda 12 3" xfId="591" xr:uid="{00000000-0005-0000-0000-00003E020000}"/>
    <cellStyle name="Moneda 12 3 2" xfId="592" xr:uid="{00000000-0005-0000-0000-00003F020000}"/>
    <cellStyle name="Moneda 12 3 2 2" xfId="593" xr:uid="{00000000-0005-0000-0000-000040020000}"/>
    <cellStyle name="Moneda 12 3 2 2 2" xfId="594" xr:uid="{00000000-0005-0000-0000-000041020000}"/>
    <cellStyle name="Moneda 12 3 2 3" xfId="595" xr:uid="{00000000-0005-0000-0000-000042020000}"/>
    <cellStyle name="Moneda 12 3 2 3 2" xfId="596" xr:uid="{00000000-0005-0000-0000-000043020000}"/>
    <cellStyle name="Moneda 12 3 2 4" xfId="597" xr:uid="{00000000-0005-0000-0000-000044020000}"/>
    <cellStyle name="Moneda 12 3 2 4 2" xfId="598" xr:uid="{00000000-0005-0000-0000-000045020000}"/>
    <cellStyle name="Moneda 12 3 2 5" xfId="599" xr:uid="{00000000-0005-0000-0000-000046020000}"/>
    <cellStyle name="Moneda 12 3 3" xfId="600" xr:uid="{00000000-0005-0000-0000-000047020000}"/>
    <cellStyle name="Moneda 12 3 3 2" xfId="601" xr:uid="{00000000-0005-0000-0000-000048020000}"/>
    <cellStyle name="Moneda 12 3 4" xfId="602" xr:uid="{00000000-0005-0000-0000-000049020000}"/>
    <cellStyle name="Moneda 12 3 4 2" xfId="603" xr:uid="{00000000-0005-0000-0000-00004A020000}"/>
    <cellStyle name="Moneda 12 3 5" xfId="604" xr:uid="{00000000-0005-0000-0000-00004B020000}"/>
    <cellStyle name="Moneda 12 3 5 2" xfId="605" xr:uid="{00000000-0005-0000-0000-00004C020000}"/>
    <cellStyle name="Moneda 12 3 6" xfId="606" xr:uid="{00000000-0005-0000-0000-00004D020000}"/>
    <cellStyle name="Moneda 12 4" xfId="607" xr:uid="{00000000-0005-0000-0000-00004E020000}"/>
    <cellStyle name="Moneda 12 4 2" xfId="608" xr:uid="{00000000-0005-0000-0000-00004F020000}"/>
    <cellStyle name="Moneda 12 4 2 2" xfId="609" xr:uid="{00000000-0005-0000-0000-000050020000}"/>
    <cellStyle name="Moneda 12 4 3" xfId="610" xr:uid="{00000000-0005-0000-0000-000051020000}"/>
    <cellStyle name="Moneda 12 4 3 2" xfId="611" xr:uid="{00000000-0005-0000-0000-000052020000}"/>
    <cellStyle name="Moneda 12 4 4" xfId="612" xr:uid="{00000000-0005-0000-0000-000053020000}"/>
    <cellStyle name="Moneda 12 4 4 2" xfId="613" xr:uid="{00000000-0005-0000-0000-000054020000}"/>
    <cellStyle name="Moneda 12 4 5" xfId="614" xr:uid="{00000000-0005-0000-0000-000055020000}"/>
    <cellStyle name="Moneda 12 5" xfId="615" xr:uid="{00000000-0005-0000-0000-000056020000}"/>
    <cellStyle name="Moneda 12 5 2" xfId="616" xr:uid="{00000000-0005-0000-0000-000057020000}"/>
    <cellStyle name="Moneda 12 6" xfId="617" xr:uid="{00000000-0005-0000-0000-000058020000}"/>
    <cellStyle name="Moneda 12 6 2" xfId="618" xr:uid="{00000000-0005-0000-0000-000059020000}"/>
    <cellStyle name="Moneda 12 7" xfId="619" xr:uid="{00000000-0005-0000-0000-00005A020000}"/>
    <cellStyle name="Moneda 12 7 2" xfId="620" xr:uid="{00000000-0005-0000-0000-00005B020000}"/>
    <cellStyle name="Moneda 12 8" xfId="621" xr:uid="{00000000-0005-0000-0000-00005C020000}"/>
    <cellStyle name="Moneda 12 9" xfId="622" xr:uid="{00000000-0005-0000-0000-00005D020000}"/>
    <cellStyle name="Moneda 13" xfId="623" xr:uid="{00000000-0005-0000-0000-00005E020000}"/>
    <cellStyle name="Moneda 13 10" xfId="624" xr:uid="{00000000-0005-0000-0000-00005F020000}"/>
    <cellStyle name="Moneda 13 2" xfId="625" xr:uid="{00000000-0005-0000-0000-000060020000}"/>
    <cellStyle name="Moneda 13 2 2" xfId="626" xr:uid="{00000000-0005-0000-0000-000061020000}"/>
    <cellStyle name="Moneda 13 2 2 2" xfId="627" xr:uid="{00000000-0005-0000-0000-000062020000}"/>
    <cellStyle name="Moneda 13 2 2 2 2" xfId="628" xr:uid="{00000000-0005-0000-0000-000063020000}"/>
    <cellStyle name="Moneda 13 2 2 2 2 2" xfId="629" xr:uid="{00000000-0005-0000-0000-000064020000}"/>
    <cellStyle name="Moneda 13 2 2 2 3" xfId="630" xr:uid="{00000000-0005-0000-0000-000065020000}"/>
    <cellStyle name="Moneda 13 2 2 2 3 2" xfId="631" xr:uid="{00000000-0005-0000-0000-000066020000}"/>
    <cellStyle name="Moneda 13 2 2 2 4" xfId="632" xr:uid="{00000000-0005-0000-0000-000067020000}"/>
    <cellStyle name="Moneda 13 2 2 2 4 2" xfId="633" xr:uid="{00000000-0005-0000-0000-000068020000}"/>
    <cellStyle name="Moneda 13 2 2 2 5" xfId="634" xr:uid="{00000000-0005-0000-0000-000069020000}"/>
    <cellStyle name="Moneda 13 2 2 3" xfId="635" xr:uid="{00000000-0005-0000-0000-00006A020000}"/>
    <cellStyle name="Moneda 13 2 2 3 2" xfId="636" xr:uid="{00000000-0005-0000-0000-00006B020000}"/>
    <cellStyle name="Moneda 13 2 2 4" xfId="637" xr:uid="{00000000-0005-0000-0000-00006C020000}"/>
    <cellStyle name="Moneda 13 2 2 4 2" xfId="638" xr:uid="{00000000-0005-0000-0000-00006D020000}"/>
    <cellStyle name="Moneda 13 2 2 5" xfId="639" xr:uid="{00000000-0005-0000-0000-00006E020000}"/>
    <cellStyle name="Moneda 13 2 2 5 2" xfId="640" xr:uid="{00000000-0005-0000-0000-00006F020000}"/>
    <cellStyle name="Moneda 13 2 2 6" xfId="641" xr:uid="{00000000-0005-0000-0000-000070020000}"/>
    <cellStyle name="Moneda 13 2 3" xfId="642" xr:uid="{00000000-0005-0000-0000-000071020000}"/>
    <cellStyle name="Moneda 13 2 3 2" xfId="643" xr:uid="{00000000-0005-0000-0000-000072020000}"/>
    <cellStyle name="Moneda 13 2 3 2 2" xfId="644" xr:uid="{00000000-0005-0000-0000-000073020000}"/>
    <cellStyle name="Moneda 13 2 3 3" xfId="645" xr:uid="{00000000-0005-0000-0000-000074020000}"/>
    <cellStyle name="Moneda 13 2 3 3 2" xfId="646" xr:uid="{00000000-0005-0000-0000-000075020000}"/>
    <cellStyle name="Moneda 13 2 3 4" xfId="647" xr:uid="{00000000-0005-0000-0000-000076020000}"/>
    <cellStyle name="Moneda 13 2 3 4 2" xfId="648" xr:uid="{00000000-0005-0000-0000-000077020000}"/>
    <cellStyle name="Moneda 13 2 3 5" xfId="649" xr:uid="{00000000-0005-0000-0000-000078020000}"/>
    <cellStyle name="Moneda 13 2 4" xfId="650" xr:uid="{00000000-0005-0000-0000-000079020000}"/>
    <cellStyle name="Moneda 13 2 4 2" xfId="651" xr:uid="{00000000-0005-0000-0000-00007A020000}"/>
    <cellStyle name="Moneda 13 2 5" xfId="652" xr:uid="{00000000-0005-0000-0000-00007B020000}"/>
    <cellStyle name="Moneda 13 2 5 2" xfId="653" xr:uid="{00000000-0005-0000-0000-00007C020000}"/>
    <cellStyle name="Moneda 13 2 6" xfId="654" xr:uid="{00000000-0005-0000-0000-00007D020000}"/>
    <cellStyle name="Moneda 13 2 6 2" xfId="655" xr:uid="{00000000-0005-0000-0000-00007E020000}"/>
    <cellStyle name="Moneda 13 2 7" xfId="656" xr:uid="{00000000-0005-0000-0000-00007F020000}"/>
    <cellStyle name="Moneda 13 2 8" xfId="657" xr:uid="{00000000-0005-0000-0000-000080020000}"/>
    <cellStyle name="Moneda 13 3" xfId="658" xr:uid="{00000000-0005-0000-0000-000081020000}"/>
    <cellStyle name="Moneda 13 3 2" xfId="659" xr:uid="{00000000-0005-0000-0000-000082020000}"/>
    <cellStyle name="Moneda 13 3 2 2" xfId="660" xr:uid="{00000000-0005-0000-0000-000083020000}"/>
    <cellStyle name="Moneda 13 3 2 2 2" xfId="661" xr:uid="{00000000-0005-0000-0000-000084020000}"/>
    <cellStyle name="Moneda 13 3 2 3" xfId="662" xr:uid="{00000000-0005-0000-0000-000085020000}"/>
    <cellStyle name="Moneda 13 3 2 3 2" xfId="663" xr:uid="{00000000-0005-0000-0000-000086020000}"/>
    <cellStyle name="Moneda 13 3 2 4" xfId="664" xr:uid="{00000000-0005-0000-0000-000087020000}"/>
    <cellStyle name="Moneda 13 3 2 4 2" xfId="665" xr:uid="{00000000-0005-0000-0000-000088020000}"/>
    <cellStyle name="Moneda 13 3 2 5" xfId="666" xr:uid="{00000000-0005-0000-0000-000089020000}"/>
    <cellStyle name="Moneda 13 3 3" xfId="667" xr:uid="{00000000-0005-0000-0000-00008A020000}"/>
    <cellStyle name="Moneda 13 3 3 2" xfId="668" xr:uid="{00000000-0005-0000-0000-00008B020000}"/>
    <cellStyle name="Moneda 13 3 4" xfId="669" xr:uid="{00000000-0005-0000-0000-00008C020000}"/>
    <cellStyle name="Moneda 13 3 4 2" xfId="670" xr:uid="{00000000-0005-0000-0000-00008D020000}"/>
    <cellStyle name="Moneda 13 3 5" xfId="671" xr:uid="{00000000-0005-0000-0000-00008E020000}"/>
    <cellStyle name="Moneda 13 3 5 2" xfId="672" xr:uid="{00000000-0005-0000-0000-00008F020000}"/>
    <cellStyle name="Moneda 13 3 6" xfId="673" xr:uid="{00000000-0005-0000-0000-000090020000}"/>
    <cellStyle name="Moneda 13 4" xfId="674" xr:uid="{00000000-0005-0000-0000-000091020000}"/>
    <cellStyle name="Moneda 13 4 2" xfId="675" xr:uid="{00000000-0005-0000-0000-000092020000}"/>
    <cellStyle name="Moneda 13 4 2 2" xfId="676" xr:uid="{00000000-0005-0000-0000-000093020000}"/>
    <cellStyle name="Moneda 13 4 3" xfId="677" xr:uid="{00000000-0005-0000-0000-000094020000}"/>
    <cellStyle name="Moneda 13 4 3 2" xfId="678" xr:uid="{00000000-0005-0000-0000-000095020000}"/>
    <cellStyle name="Moneda 13 4 4" xfId="679" xr:uid="{00000000-0005-0000-0000-000096020000}"/>
    <cellStyle name="Moneda 13 4 4 2" xfId="680" xr:uid="{00000000-0005-0000-0000-000097020000}"/>
    <cellStyle name="Moneda 13 4 5" xfId="681" xr:uid="{00000000-0005-0000-0000-000098020000}"/>
    <cellStyle name="Moneda 13 5" xfId="682" xr:uid="{00000000-0005-0000-0000-000099020000}"/>
    <cellStyle name="Moneda 13 5 2" xfId="683" xr:uid="{00000000-0005-0000-0000-00009A020000}"/>
    <cellStyle name="Moneda 13 5 2 2" xfId="684" xr:uid="{00000000-0005-0000-0000-00009B020000}"/>
    <cellStyle name="Moneda 13 5 3" xfId="685" xr:uid="{00000000-0005-0000-0000-00009C020000}"/>
    <cellStyle name="Moneda 13 5 3 2" xfId="686" xr:uid="{00000000-0005-0000-0000-00009D020000}"/>
    <cellStyle name="Moneda 13 5 4" xfId="687" xr:uid="{00000000-0005-0000-0000-00009E020000}"/>
    <cellStyle name="Moneda 13 5 4 2" xfId="688" xr:uid="{00000000-0005-0000-0000-00009F020000}"/>
    <cellStyle name="Moneda 13 5 5" xfId="689" xr:uid="{00000000-0005-0000-0000-0000A0020000}"/>
    <cellStyle name="Moneda 13 6" xfId="690" xr:uid="{00000000-0005-0000-0000-0000A1020000}"/>
    <cellStyle name="Moneda 13 6 2" xfId="691" xr:uid="{00000000-0005-0000-0000-0000A2020000}"/>
    <cellStyle name="Moneda 13 7" xfId="692" xr:uid="{00000000-0005-0000-0000-0000A3020000}"/>
    <cellStyle name="Moneda 13 7 2" xfId="693" xr:uid="{00000000-0005-0000-0000-0000A4020000}"/>
    <cellStyle name="Moneda 13 8" xfId="694" xr:uid="{00000000-0005-0000-0000-0000A5020000}"/>
    <cellStyle name="Moneda 13 8 2" xfId="695" xr:uid="{00000000-0005-0000-0000-0000A6020000}"/>
    <cellStyle name="Moneda 13 9" xfId="696" xr:uid="{00000000-0005-0000-0000-0000A7020000}"/>
    <cellStyle name="Moneda 14" xfId="697" xr:uid="{00000000-0005-0000-0000-0000A8020000}"/>
    <cellStyle name="Moneda 14 2" xfId="698" xr:uid="{00000000-0005-0000-0000-0000A9020000}"/>
    <cellStyle name="Moneda 14 2 2" xfId="699" xr:uid="{00000000-0005-0000-0000-0000AA020000}"/>
    <cellStyle name="Moneda 14 2 2 2" xfId="700" xr:uid="{00000000-0005-0000-0000-0000AB020000}"/>
    <cellStyle name="Moneda 14 2 2 2 2" xfId="701" xr:uid="{00000000-0005-0000-0000-0000AC020000}"/>
    <cellStyle name="Moneda 14 2 2 2 2 2" xfId="702" xr:uid="{00000000-0005-0000-0000-0000AD020000}"/>
    <cellStyle name="Moneda 14 2 2 2 3" xfId="703" xr:uid="{00000000-0005-0000-0000-0000AE020000}"/>
    <cellStyle name="Moneda 14 2 2 2 3 2" xfId="704" xr:uid="{00000000-0005-0000-0000-0000AF020000}"/>
    <cellStyle name="Moneda 14 2 2 2 4" xfId="705" xr:uid="{00000000-0005-0000-0000-0000B0020000}"/>
    <cellStyle name="Moneda 14 2 2 2 4 2" xfId="706" xr:uid="{00000000-0005-0000-0000-0000B1020000}"/>
    <cellStyle name="Moneda 14 2 2 2 5" xfId="707" xr:uid="{00000000-0005-0000-0000-0000B2020000}"/>
    <cellStyle name="Moneda 14 2 2 3" xfId="708" xr:uid="{00000000-0005-0000-0000-0000B3020000}"/>
    <cellStyle name="Moneda 14 2 2 3 2" xfId="709" xr:uid="{00000000-0005-0000-0000-0000B4020000}"/>
    <cellStyle name="Moneda 14 2 2 4" xfId="710" xr:uid="{00000000-0005-0000-0000-0000B5020000}"/>
    <cellStyle name="Moneda 14 2 2 4 2" xfId="711" xr:uid="{00000000-0005-0000-0000-0000B6020000}"/>
    <cellStyle name="Moneda 14 2 2 5" xfId="712" xr:uid="{00000000-0005-0000-0000-0000B7020000}"/>
    <cellStyle name="Moneda 14 2 2 5 2" xfId="713" xr:uid="{00000000-0005-0000-0000-0000B8020000}"/>
    <cellStyle name="Moneda 14 2 2 6" xfId="714" xr:uid="{00000000-0005-0000-0000-0000B9020000}"/>
    <cellStyle name="Moneda 14 2 3" xfId="715" xr:uid="{00000000-0005-0000-0000-0000BA020000}"/>
    <cellStyle name="Moneda 14 2 3 2" xfId="716" xr:uid="{00000000-0005-0000-0000-0000BB020000}"/>
    <cellStyle name="Moneda 14 2 3 2 2" xfId="717" xr:uid="{00000000-0005-0000-0000-0000BC020000}"/>
    <cellStyle name="Moneda 14 2 3 3" xfId="718" xr:uid="{00000000-0005-0000-0000-0000BD020000}"/>
    <cellStyle name="Moneda 14 2 3 3 2" xfId="719" xr:uid="{00000000-0005-0000-0000-0000BE020000}"/>
    <cellStyle name="Moneda 14 2 3 4" xfId="720" xr:uid="{00000000-0005-0000-0000-0000BF020000}"/>
    <cellStyle name="Moneda 14 2 3 4 2" xfId="721" xr:uid="{00000000-0005-0000-0000-0000C0020000}"/>
    <cellStyle name="Moneda 14 2 3 5" xfId="722" xr:uid="{00000000-0005-0000-0000-0000C1020000}"/>
    <cellStyle name="Moneda 14 2 4" xfId="723" xr:uid="{00000000-0005-0000-0000-0000C2020000}"/>
    <cellStyle name="Moneda 14 2 4 2" xfId="724" xr:uid="{00000000-0005-0000-0000-0000C3020000}"/>
    <cellStyle name="Moneda 14 2 5" xfId="725" xr:uid="{00000000-0005-0000-0000-0000C4020000}"/>
    <cellStyle name="Moneda 14 2 5 2" xfId="726" xr:uid="{00000000-0005-0000-0000-0000C5020000}"/>
    <cellStyle name="Moneda 14 2 6" xfId="727" xr:uid="{00000000-0005-0000-0000-0000C6020000}"/>
    <cellStyle name="Moneda 14 2 6 2" xfId="728" xr:uid="{00000000-0005-0000-0000-0000C7020000}"/>
    <cellStyle name="Moneda 14 2 7" xfId="729" xr:uid="{00000000-0005-0000-0000-0000C8020000}"/>
    <cellStyle name="Moneda 14 2 8" xfId="730" xr:uid="{00000000-0005-0000-0000-0000C9020000}"/>
    <cellStyle name="Moneda 14 3" xfId="731" xr:uid="{00000000-0005-0000-0000-0000CA020000}"/>
    <cellStyle name="Moneda 14 3 2" xfId="732" xr:uid="{00000000-0005-0000-0000-0000CB020000}"/>
    <cellStyle name="Moneda 14 3 2 2" xfId="733" xr:uid="{00000000-0005-0000-0000-0000CC020000}"/>
    <cellStyle name="Moneda 14 3 2 2 2" xfId="734" xr:uid="{00000000-0005-0000-0000-0000CD020000}"/>
    <cellStyle name="Moneda 14 3 2 3" xfId="735" xr:uid="{00000000-0005-0000-0000-0000CE020000}"/>
    <cellStyle name="Moneda 14 3 2 3 2" xfId="736" xr:uid="{00000000-0005-0000-0000-0000CF020000}"/>
    <cellStyle name="Moneda 14 3 2 4" xfId="737" xr:uid="{00000000-0005-0000-0000-0000D0020000}"/>
    <cellStyle name="Moneda 14 3 2 4 2" xfId="738" xr:uid="{00000000-0005-0000-0000-0000D1020000}"/>
    <cellStyle name="Moneda 14 3 2 5" xfId="739" xr:uid="{00000000-0005-0000-0000-0000D2020000}"/>
    <cellStyle name="Moneda 14 3 3" xfId="740" xr:uid="{00000000-0005-0000-0000-0000D3020000}"/>
    <cellStyle name="Moneda 14 3 3 2" xfId="741" xr:uid="{00000000-0005-0000-0000-0000D4020000}"/>
    <cellStyle name="Moneda 14 3 4" xfId="742" xr:uid="{00000000-0005-0000-0000-0000D5020000}"/>
    <cellStyle name="Moneda 14 3 4 2" xfId="743" xr:uid="{00000000-0005-0000-0000-0000D6020000}"/>
    <cellStyle name="Moneda 14 3 5" xfId="744" xr:uid="{00000000-0005-0000-0000-0000D7020000}"/>
    <cellStyle name="Moneda 14 3 5 2" xfId="745" xr:uid="{00000000-0005-0000-0000-0000D8020000}"/>
    <cellStyle name="Moneda 14 3 6" xfId="746" xr:uid="{00000000-0005-0000-0000-0000D9020000}"/>
    <cellStyle name="Moneda 14 4" xfId="747" xr:uid="{00000000-0005-0000-0000-0000DA020000}"/>
    <cellStyle name="Moneda 14 4 2" xfId="748" xr:uid="{00000000-0005-0000-0000-0000DB020000}"/>
    <cellStyle name="Moneda 14 4 2 2" xfId="749" xr:uid="{00000000-0005-0000-0000-0000DC020000}"/>
    <cellStyle name="Moneda 14 4 3" xfId="750" xr:uid="{00000000-0005-0000-0000-0000DD020000}"/>
    <cellStyle name="Moneda 14 4 3 2" xfId="751" xr:uid="{00000000-0005-0000-0000-0000DE020000}"/>
    <cellStyle name="Moneda 14 4 4" xfId="752" xr:uid="{00000000-0005-0000-0000-0000DF020000}"/>
    <cellStyle name="Moneda 14 4 4 2" xfId="753" xr:uid="{00000000-0005-0000-0000-0000E0020000}"/>
    <cellStyle name="Moneda 14 4 5" xfId="754" xr:uid="{00000000-0005-0000-0000-0000E1020000}"/>
    <cellStyle name="Moneda 14 5" xfId="755" xr:uid="{00000000-0005-0000-0000-0000E2020000}"/>
    <cellStyle name="Moneda 14 5 2" xfId="756" xr:uid="{00000000-0005-0000-0000-0000E3020000}"/>
    <cellStyle name="Moneda 14 6" xfId="757" xr:uid="{00000000-0005-0000-0000-0000E4020000}"/>
    <cellStyle name="Moneda 14 6 2" xfId="758" xr:uid="{00000000-0005-0000-0000-0000E5020000}"/>
    <cellStyle name="Moneda 14 7" xfId="759" xr:uid="{00000000-0005-0000-0000-0000E6020000}"/>
    <cellStyle name="Moneda 14 7 2" xfId="760" xr:uid="{00000000-0005-0000-0000-0000E7020000}"/>
    <cellStyle name="Moneda 14 8" xfId="761" xr:uid="{00000000-0005-0000-0000-0000E8020000}"/>
    <cellStyle name="Moneda 14 9" xfId="762" xr:uid="{00000000-0005-0000-0000-0000E9020000}"/>
    <cellStyle name="Moneda 15" xfId="763" xr:uid="{00000000-0005-0000-0000-0000EA020000}"/>
    <cellStyle name="Moneda 15 2" xfId="764" xr:uid="{00000000-0005-0000-0000-0000EB020000}"/>
    <cellStyle name="Moneda 15 2 2" xfId="765" xr:uid="{00000000-0005-0000-0000-0000EC020000}"/>
    <cellStyle name="Moneda 15 2 2 2" xfId="766" xr:uid="{00000000-0005-0000-0000-0000ED020000}"/>
    <cellStyle name="Moneda 15 2 2 2 2" xfId="767" xr:uid="{00000000-0005-0000-0000-0000EE020000}"/>
    <cellStyle name="Moneda 15 2 2 2 2 2" xfId="768" xr:uid="{00000000-0005-0000-0000-0000EF020000}"/>
    <cellStyle name="Moneda 15 2 2 2 3" xfId="769" xr:uid="{00000000-0005-0000-0000-0000F0020000}"/>
    <cellStyle name="Moneda 15 2 2 2 3 2" xfId="770" xr:uid="{00000000-0005-0000-0000-0000F1020000}"/>
    <cellStyle name="Moneda 15 2 2 2 4" xfId="771" xr:uid="{00000000-0005-0000-0000-0000F2020000}"/>
    <cellStyle name="Moneda 15 2 2 2 4 2" xfId="772" xr:uid="{00000000-0005-0000-0000-0000F3020000}"/>
    <cellStyle name="Moneda 15 2 2 2 5" xfId="773" xr:uid="{00000000-0005-0000-0000-0000F4020000}"/>
    <cellStyle name="Moneda 15 2 2 3" xfId="774" xr:uid="{00000000-0005-0000-0000-0000F5020000}"/>
    <cellStyle name="Moneda 15 2 2 3 2" xfId="775" xr:uid="{00000000-0005-0000-0000-0000F6020000}"/>
    <cellStyle name="Moneda 15 2 2 4" xfId="776" xr:uid="{00000000-0005-0000-0000-0000F7020000}"/>
    <cellStyle name="Moneda 15 2 2 4 2" xfId="777" xr:uid="{00000000-0005-0000-0000-0000F8020000}"/>
    <cellStyle name="Moneda 15 2 2 5" xfId="778" xr:uid="{00000000-0005-0000-0000-0000F9020000}"/>
    <cellStyle name="Moneda 15 2 2 5 2" xfId="779" xr:uid="{00000000-0005-0000-0000-0000FA020000}"/>
    <cellStyle name="Moneda 15 2 2 6" xfId="780" xr:uid="{00000000-0005-0000-0000-0000FB020000}"/>
    <cellStyle name="Moneda 15 2 3" xfId="781" xr:uid="{00000000-0005-0000-0000-0000FC020000}"/>
    <cellStyle name="Moneda 15 2 3 2" xfId="782" xr:uid="{00000000-0005-0000-0000-0000FD020000}"/>
    <cellStyle name="Moneda 15 2 3 2 2" xfId="783" xr:uid="{00000000-0005-0000-0000-0000FE020000}"/>
    <cellStyle name="Moneda 15 2 3 3" xfId="784" xr:uid="{00000000-0005-0000-0000-0000FF020000}"/>
    <cellStyle name="Moneda 15 2 3 3 2" xfId="785" xr:uid="{00000000-0005-0000-0000-000000030000}"/>
    <cellStyle name="Moneda 15 2 3 4" xfId="786" xr:uid="{00000000-0005-0000-0000-000001030000}"/>
    <cellStyle name="Moneda 15 2 3 4 2" xfId="787" xr:uid="{00000000-0005-0000-0000-000002030000}"/>
    <cellStyle name="Moneda 15 2 3 5" xfId="788" xr:uid="{00000000-0005-0000-0000-000003030000}"/>
    <cellStyle name="Moneda 15 2 4" xfId="789" xr:uid="{00000000-0005-0000-0000-000004030000}"/>
    <cellStyle name="Moneda 15 2 4 2" xfId="790" xr:uid="{00000000-0005-0000-0000-000005030000}"/>
    <cellStyle name="Moneda 15 2 5" xfId="791" xr:uid="{00000000-0005-0000-0000-000006030000}"/>
    <cellStyle name="Moneda 15 2 5 2" xfId="792" xr:uid="{00000000-0005-0000-0000-000007030000}"/>
    <cellStyle name="Moneda 15 2 6" xfId="793" xr:uid="{00000000-0005-0000-0000-000008030000}"/>
    <cellStyle name="Moneda 15 2 6 2" xfId="794" xr:uid="{00000000-0005-0000-0000-000009030000}"/>
    <cellStyle name="Moneda 15 2 7" xfId="795" xr:uid="{00000000-0005-0000-0000-00000A030000}"/>
    <cellStyle name="Moneda 15 2 8" xfId="796" xr:uid="{00000000-0005-0000-0000-00000B030000}"/>
    <cellStyle name="Moneda 15 3" xfId="797" xr:uid="{00000000-0005-0000-0000-00000C030000}"/>
    <cellStyle name="Moneda 15 3 2" xfId="798" xr:uid="{00000000-0005-0000-0000-00000D030000}"/>
    <cellStyle name="Moneda 15 3 2 2" xfId="799" xr:uid="{00000000-0005-0000-0000-00000E030000}"/>
    <cellStyle name="Moneda 15 3 2 2 2" xfId="800" xr:uid="{00000000-0005-0000-0000-00000F030000}"/>
    <cellStyle name="Moneda 15 3 2 3" xfId="801" xr:uid="{00000000-0005-0000-0000-000010030000}"/>
    <cellStyle name="Moneda 15 3 2 3 2" xfId="802" xr:uid="{00000000-0005-0000-0000-000011030000}"/>
    <cellStyle name="Moneda 15 3 2 4" xfId="803" xr:uid="{00000000-0005-0000-0000-000012030000}"/>
    <cellStyle name="Moneda 15 3 2 4 2" xfId="804" xr:uid="{00000000-0005-0000-0000-000013030000}"/>
    <cellStyle name="Moneda 15 3 2 5" xfId="805" xr:uid="{00000000-0005-0000-0000-000014030000}"/>
    <cellStyle name="Moneda 15 3 3" xfId="806" xr:uid="{00000000-0005-0000-0000-000015030000}"/>
    <cellStyle name="Moneda 15 3 3 2" xfId="807" xr:uid="{00000000-0005-0000-0000-000016030000}"/>
    <cellStyle name="Moneda 15 3 4" xfId="808" xr:uid="{00000000-0005-0000-0000-000017030000}"/>
    <cellStyle name="Moneda 15 3 4 2" xfId="809" xr:uid="{00000000-0005-0000-0000-000018030000}"/>
    <cellStyle name="Moneda 15 3 5" xfId="810" xr:uid="{00000000-0005-0000-0000-000019030000}"/>
    <cellStyle name="Moneda 15 3 5 2" xfId="811" xr:uid="{00000000-0005-0000-0000-00001A030000}"/>
    <cellStyle name="Moneda 15 3 6" xfId="812" xr:uid="{00000000-0005-0000-0000-00001B030000}"/>
    <cellStyle name="Moneda 15 4" xfId="813" xr:uid="{00000000-0005-0000-0000-00001C030000}"/>
    <cellStyle name="Moneda 15 4 2" xfId="814" xr:uid="{00000000-0005-0000-0000-00001D030000}"/>
    <cellStyle name="Moneda 15 4 2 2" xfId="815" xr:uid="{00000000-0005-0000-0000-00001E030000}"/>
    <cellStyle name="Moneda 15 4 3" xfId="816" xr:uid="{00000000-0005-0000-0000-00001F030000}"/>
    <cellStyle name="Moneda 15 4 3 2" xfId="817" xr:uid="{00000000-0005-0000-0000-000020030000}"/>
    <cellStyle name="Moneda 15 4 4" xfId="818" xr:uid="{00000000-0005-0000-0000-000021030000}"/>
    <cellStyle name="Moneda 15 4 4 2" xfId="819" xr:uid="{00000000-0005-0000-0000-000022030000}"/>
    <cellStyle name="Moneda 15 4 5" xfId="820" xr:uid="{00000000-0005-0000-0000-000023030000}"/>
    <cellStyle name="Moneda 15 5" xfId="821" xr:uid="{00000000-0005-0000-0000-000024030000}"/>
    <cellStyle name="Moneda 15 5 2" xfId="822" xr:uid="{00000000-0005-0000-0000-000025030000}"/>
    <cellStyle name="Moneda 15 6" xfId="823" xr:uid="{00000000-0005-0000-0000-000026030000}"/>
    <cellStyle name="Moneda 15 6 2" xfId="824" xr:uid="{00000000-0005-0000-0000-000027030000}"/>
    <cellStyle name="Moneda 15 7" xfId="825" xr:uid="{00000000-0005-0000-0000-000028030000}"/>
    <cellStyle name="Moneda 15 7 2" xfId="826" xr:uid="{00000000-0005-0000-0000-000029030000}"/>
    <cellStyle name="Moneda 15 8" xfId="827" xr:uid="{00000000-0005-0000-0000-00002A030000}"/>
    <cellStyle name="Moneda 15 9" xfId="828" xr:uid="{00000000-0005-0000-0000-00002B030000}"/>
    <cellStyle name="Moneda 16" xfId="829" xr:uid="{00000000-0005-0000-0000-00002C030000}"/>
    <cellStyle name="Moneda 16 2" xfId="830" xr:uid="{00000000-0005-0000-0000-00002D030000}"/>
    <cellStyle name="Moneda 16 2 2" xfId="831" xr:uid="{00000000-0005-0000-0000-00002E030000}"/>
    <cellStyle name="Moneda 16 2 2 2" xfId="832" xr:uid="{00000000-0005-0000-0000-00002F030000}"/>
    <cellStyle name="Moneda 16 2 2 2 2" xfId="833" xr:uid="{00000000-0005-0000-0000-000030030000}"/>
    <cellStyle name="Moneda 16 2 2 3" xfId="834" xr:uid="{00000000-0005-0000-0000-000031030000}"/>
    <cellStyle name="Moneda 16 2 2 3 2" xfId="835" xr:uid="{00000000-0005-0000-0000-000032030000}"/>
    <cellStyle name="Moneda 16 2 2 4" xfId="836" xr:uid="{00000000-0005-0000-0000-000033030000}"/>
    <cellStyle name="Moneda 16 2 2 4 2" xfId="837" xr:uid="{00000000-0005-0000-0000-000034030000}"/>
    <cellStyle name="Moneda 16 2 2 5" xfId="838" xr:uid="{00000000-0005-0000-0000-000035030000}"/>
    <cellStyle name="Moneda 16 2 3" xfId="839" xr:uid="{00000000-0005-0000-0000-000036030000}"/>
    <cellStyle name="Moneda 16 2 3 2" xfId="840" xr:uid="{00000000-0005-0000-0000-000037030000}"/>
    <cellStyle name="Moneda 16 2 4" xfId="841" xr:uid="{00000000-0005-0000-0000-000038030000}"/>
    <cellStyle name="Moneda 16 2 4 2" xfId="842" xr:uid="{00000000-0005-0000-0000-000039030000}"/>
    <cellStyle name="Moneda 16 2 5" xfId="843" xr:uid="{00000000-0005-0000-0000-00003A030000}"/>
    <cellStyle name="Moneda 16 2 5 2" xfId="844" xr:uid="{00000000-0005-0000-0000-00003B030000}"/>
    <cellStyle name="Moneda 16 2 6" xfId="845" xr:uid="{00000000-0005-0000-0000-00003C030000}"/>
    <cellStyle name="Moneda 16 2 7" xfId="846" xr:uid="{00000000-0005-0000-0000-00003D030000}"/>
    <cellStyle name="Moneda 16 3" xfId="847" xr:uid="{00000000-0005-0000-0000-00003E030000}"/>
    <cellStyle name="Moneda 16 3 2" xfId="848" xr:uid="{00000000-0005-0000-0000-00003F030000}"/>
    <cellStyle name="Moneda 16 3 2 2" xfId="849" xr:uid="{00000000-0005-0000-0000-000040030000}"/>
    <cellStyle name="Moneda 16 3 3" xfId="850" xr:uid="{00000000-0005-0000-0000-000041030000}"/>
    <cellStyle name="Moneda 16 3 3 2" xfId="851" xr:uid="{00000000-0005-0000-0000-000042030000}"/>
    <cellStyle name="Moneda 16 3 4" xfId="852" xr:uid="{00000000-0005-0000-0000-000043030000}"/>
    <cellStyle name="Moneda 16 3 4 2" xfId="853" xr:uid="{00000000-0005-0000-0000-000044030000}"/>
    <cellStyle name="Moneda 16 3 5" xfId="854" xr:uid="{00000000-0005-0000-0000-000045030000}"/>
    <cellStyle name="Moneda 16 4" xfId="855" xr:uid="{00000000-0005-0000-0000-000046030000}"/>
    <cellStyle name="Moneda 16 4 2" xfId="856" xr:uid="{00000000-0005-0000-0000-000047030000}"/>
    <cellStyle name="Moneda 16 5" xfId="857" xr:uid="{00000000-0005-0000-0000-000048030000}"/>
    <cellStyle name="Moneda 16 5 2" xfId="858" xr:uid="{00000000-0005-0000-0000-000049030000}"/>
    <cellStyle name="Moneda 16 6" xfId="859" xr:uid="{00000000-0005-0000-0000-00004A030000}"/>
    <cellStyle name="Moneda 16 6 2" xfId="860" xr:uid="{00000000-0005-0000-0000-00004B030000}"/>
    <cellStyle name="Moneda 16 7" xfId="861" xr:uid="{00000000-0005-0000-0000-00004C030000}"/>
    <cellStyle name="Moneda 16 8" xfId="862" xr:uid="{00000000-0005-0000-0000-00004D030000}"/>
    <cellStyle name="Moneda 17" xfId="863" xr:uid="{00000000-0005-0000-0000-00004E030000}"/>
    <cellStyle name="Moneda 17 2" xfId="864" xr:uid="{00000000-0005-0000-0000-00004F030000}"/>
    <cellStyle name="Moneda 17 2 2" xfId="865" xr:uid="{00000000-0005-0000-0000-000050030000}"/>
    <cellStyle name="Moneda 17 2 2 2" xfId="866" xr:uid="{00000000-0005-0000-0000-000051030000}"/>
    <cellStyle name="Moneda 17 2 2 2 2" xfId="867" xr:uid="{00000000-0005-0000-0000-000052030000}"/>
    <cellStyle name="Moneda 17 2 2 3" xfId="868" xr:uid="{00000000-0005-0000-0000-000053030000}"/>
    <cellStyle name="Moneda 17 2 2 3 2" xfId="869" xr:uid="{00000000-0005-0000-0000-000054030000}"/>
    <cellStyle name="Moneda 17 2 2 4" xfId="870" xr:uid="{00000000-0005-0000-0000-000055030000}"/>
    <cellStyle name="Moneda 17 2 2 4 2" xfId="871" xr:uid="{00000000-0005-0000-0000-000056030000}"/>
    <cellStyle name="Moneda 17 2 2 5" xfId="872" xr:uid="{00000000-0005-0000-0000-000057030000}"/>
    <cellStyle name="Moneda 17 2 3" xfId="873" xr:uid="{00000000-0005-0000-0000-000058030000}"/>
    <cellStyle name="Moneda 17 2 3 2" xfId="874" xr:uid="{00000000-0005-0000-0000-000059030000}"/>
    <cellStyle name="Moneda 17 2 4" xfId="875" xr:uid="{00000000-0005-0000-0000-00005A030000}"/>
    <cellStyle name="Moneda 17 2 4 2" xfId="876" xr:uid="{00000000-0005-0000-0000-00005B030000}"/>
    <cellStyle name="Moneda 17 2 5" xfId="877" xr:uid="{00000000-0005-0000-0000-00005C030000}"/>
    <cellStyle name="Moneda 17 2 5 2" xfId="878" xr:uid="{00000000-0005-0000-0000-00005D030000}"/>
    <cellStyle name="Moneda 17 2 6" xfId="879" xr:uid="{00000000-0005-0000-0000-00005E030000}"/>
    <cellStyle name="Moneda 17 2 7" xfId="880" xr:uid="{00000000-0005-0000-0000-00005F030000}"/>
    <cellStyle name="Moneda 17 3" xfId="881" xr:uid="{00000000-0005-0000-0000-000060030000}"/>
    <cellStyle name="Moneda 17 3 2" xfId="882" xr:uid="{00000000-0005-0000-0000-000061030000}"/>
    <cellStyle name="Moneda 17 3 2 2" xfId="883" xr:uid="{00000000-0005-0000-0000-000062030000}"/>
    <cellStyle name="Moneda 17 3 3" xfId="884" xr:uid="{00000000-0005-0000-0000-000063030000}"/>
    <cellStyle name="Moneda 17 3 3 2" xfId="885" xr:uid="{00000000-0005-0000-0000-000064030000}"/>
    <cellStyle name="Moneda 17 3 4" xfId="886" xr:uid="{00000000-0005-0000-0000-000065030000}"/>
    <cellStyle name="Moneda 17 3 4 2" xfId="887" xr:uid="{00000000-0005-0000-0000-000066030000}"/>
    <cellStyle name="Moneda 17 3 5" xfId="888" xr:uid="{00000000-0005-0000-0000-000067030000}"/>
    <cellStyle name="Moneda 17 4" xfId="889" xr:uid="{00000000-0005-0000-0000-000068030000}"/>
    <cellStyle name="Moneda 17 4 2" xfId="890" xr:uid="{00000000-0005-0000-0000-000069030000}"/>
    <cellStyle name="Moneda 17 5" xfId="891" xr:uid="{00000000-0005-0000-0000-00006A030000}"/>
    <cellStyle name="Moneda 17 5 2" xfId="892" xr:uid="{00000000-0005-0000-0000-00006B030000}"/>
    <cellStyle name="Moneda 17 6" xfId="893" xr:uid="{00000000-0005-0000-0000-00006C030000}"/>
    <cellStyle name="Moneda 17 6 2" xfId="894" xr:uid="{00000000-0005-0000-0000-00006D030000}"/>
    <cellStyle name="Moneda 17 7" xfId="895" xr:uid="{00000000-0005-0000-0000-00006E030000}"/>
    <cellStyle name="Moneda 17 8" xfId="896" xr:uid="{00000000-0005-0000-0000-00006F030000}"/>
    <cellStyle name="Moneda 18" xfId="897" xr:uid="{00000000-0005-0000-0000-000070030000}"/>
    <cellStyle name="Moneda 18 2" xfId="898" xr:uid="{00000000-0005-0000-0000-000071030000}"/>
    <cellStyle name="Moneda 18 2 2" xfId="899" xr:uid="{00000000-0005-0000-0000-000072030000}"/>
    <cellStyle name="Moneda 18 2 2 2" xfId="900" xr:uid="{00000000-0005-0000-0000-000073030000}"/>
    <cellStyle name="Moneda 18 2 2 2 2" xfId="901" xr:uid="{00000000-0005-0000-0000-000074030000}"/>
    <cellStyle name="Moneda 18 2 2 3" xfId="902" xr:uid="{00000000-0005-0000-0000-000075030000}"/>
    <cellStyle name="Moneda 18 2 2 3 2" xfId="903" xr:uid="{00000000-0005-0000-0000-000076030000}"/>
    <cellStyle name="Moneda 18 2 2 4" xfId="904" xr:uid="{00000000-0005-0000-0000-000077030000}"/>
    <cellStyle name="Moneda 18 2 2 4 2" xfId="905" xr:uid="{00000000-0005-0000-0000-000078030000}"/>
    <cellStyle name="Moneda 18 2 2 5" xfId="906" xr:uid="{00000000-0005-0000-0000-000079030000}"/>
    <cellStyle name="Moneda 18 2 3" xfId="907" xr:uid="{00000000-0005-0000-0000-00007A030000}"/>
    <cellStyle name="Moneda 18 2 3 2" xfId="908" xr:uid="{00000000-0005-0000-0000-00007B030000}"/>
    <cellStyle name="Moneda 18 2 4" xfId="909" xr:uid="{00000000-0005-0000-0000-00007C030000}"/>
    <cellStyle name="Moneda 18 2 4 2" xfId="910" xr:uid="{00000000-0005-0000-0000-00007D030000}"/>
    <cellStyle name="Moneda 18 2 5" xfId="911" xr:uid="{00000000-0005-0000-0000-00007E030000}"/>
    <cellStyle name="Moneda 18 2 5 2" xfId="912" xr:uid="{00000000-0005-0000-0000-00007F030000}"/>
    <cellStyle name="Moneda 18 2 6" xfId="913" xr:uid="{00000000-0005-0000-0000-000080030000}"/>
    <cellStyle name="Moneda 18 2 7" xfId="914" xr:uid="{00000000-0005-0000-0000-000081030000}"/>
    <cellStyle name="Moneda 18 3" xfId="915" xr:uid="{00000000-0005-0000-0000-000082030000}"/>
    <cellStyle name="Moneda 18 3 2" xfId="916" xr:uid="{00000000-0005-0000-0000-000083030000}"/>
    <cellStyle name="Moneda 18 3 2 2" xfId="917" xr:uid="{00000000-0005-0000-0000-000084030000}"/>
    <cellStyle name="Moneda 18 3 3" xfId="918" xr:uid="{00000000-0005-0000-0000-000085030000}"/>
    <cellStyle name="Moneda 18 3 3 2" xfId="919" xr:uid="{00000000-0005-0000-0000-000086030000}"/>
    <cellStyle name="Moneda 18 3 4" xfId="920" xr:uid="{00000000-0005-0000-0000-000087030000}"/>
    <cellStyle name="Moneda 18 3 4 2" xfId="921" xr:uid="{00000000-0005-0000-0000-000088030000}"/>
    <cellStyle name="Moneda 18 3 5" xfId="922" xr:uid="{00000000-0005-0000-0000-000089030000}"/>
    <cellStyle name="Moneda 18 4" xfId="923" xr:uid="{00000000-0005-0000-0000-00008A030000}"/>
    <cellStyle name="Moneda 18 4 2" xfId="924" xr:uid="{00000000-0005-0000-0000-00008B030000}"/>
    <cellStyle name="Moneda 18 5" xfId="925" xr:uid="{00000000-0005-0000-0000-00008C030000}"/>
    <cellStyle name="Moneda 18 5 2" xfId="926" xr:uid="{00000000-0005-0000-0000-00008D030000}"/>
    <cellStyle name="Moneda 18 6" xfId="927" xr:uid="{00000000-0005-0000-0000-00008E030000}"/>
    <cellStyle name="Moneda 18 6 2" xfId="928" xr:uid="{00000000-0005-0000-0000-00008F030000}"/>
    <cellStyle name="Moneda 18 7" xfId="929" xr:uid="{00000000-0005-0000-0000-000090030000}"/>
    <cellStyle name="Moneda 18 8" xfId="930" xr:uid="{00000000-0005-0000-0000-000091030000}"/>
    <cellStyle name="Moneda 19" xfId="931" xr:uid="{00000000-0005-0000-0000-000092030000}"/>
    <cellStyle name="Moneda 19 2" xfId="932" xr:uid="{00000000-0005-0000-0000-000093030000}"/>
    <cellStyle name="Moneda 19 2 2" xfId="933" xr:uid="{00000000-0005-0000-0000-000094030000}"/>
    <cellStyle name="Moneda 19 2 2 2" xfId="934" xr:uid="{00000000-0005-0000-0000-000095030000}"/>
    <cellStyle name="Moneda 19 2 2 2 2" xfId="935" xr:uid="{00000000-0005-0000-0000-000096030000}"/>
    <cellStyle name="Moneda 19 2 2 3" xfId="936" xr:uid="{00000000-0005-0000-0000-000097030000}"/>
    <cellStyle name="Moneda 19 2 2 3 2" xfId="937" xr:uid="{00000000-0005-0000-0000-000098030000}"/>
    <cellStyle name="Moneda 19 2 2 4" xfId="938" xr:uid="{00000000-0005-0000-0000-000099030000}"/>
    <cellStyle name="Moneda 19 2 2 4 2" xfId="939" xr:uid="{00000000-0005-0000-0000-00009A030000}"/>
    <cellStyle name="Moneda 19 2 2 5" xfId="940" xr:uid="{00000000-0005-0000-0000-00009B030000}"/>
    <cellStyle name="Moneda 19 2 3" xfId="941" xr:uid="{00000000-0005-0000-0000-00009C030000}"/>
    <cellStyle name="Moneda 19 2 3 2" xfId="942" xr:uid="{00000000-0005-0000-0000-00009D030000}"/>
    <cellStyle name="Moneda 19 2 4" xfId="943" xr:uid="{00000000-0005-0000-0000-00009E030000}"/>
    <cellStyle name="Moneda 19 2 4 2" xfId="944" xr:uid="{00000000-0005-0000-0000-00009F030000}"/>
    <cellStyle name="Moneda 19 2 5" xfId="945" xr:uid="{00000000-0005-0000-0000-0000A0030000}"/>
    <cellStyle name="Moneda 19 2 5 2" xfId="946" xr:uid="{00000000-0005-0000-0000-0000A1030000}"/>
    <cellStyle name="Moneda 19 2 6" xfId="947" xr:uid="{00000000-0005-0000-0000-0000A2030000}"/>
    <cellStyle name="Moneda 19 2 7" xfId="948" xr:uid="{00000000-0005-0000-0000-0000A3030000}"/>
    <cellStyle name="Moneda 19 3" xfId="949" xr:uid="{00000000-0005-0000-0000-0000A4030000}"/>
    <cellStyle name="Moneda 19 3 2" xfId="950" xr:uid="{00000000-0005-0000-0000-0000A5030000}"/>
    <cellStyle name="Moneda 19 3 2 2" xfId="951" xr:uid="{00000000-0005-0000-0000-0000A6030000}"/>
    <cellStyle name="Moneda 19 3 3" xfId="952" xr:uid="{00000000-0005-0000-0000-0000A7030000}"/>
    <cellStyle name="Moneda 19 3 3 2" xfId="953" xr:uid="{00000000-0005-0000-0000-0000A8030000}"/>
    <cellStyle name="Moneda 19 3 4" xfId="954" xr:uid="{00000000-0005-0000-0000-0000A9030000}"/>
    <cellStyle name="Moneda 19 3 4 2" xfId="955" xr:uid="{00000000-0005-0000-0000-0000AA030000}"/>
    <cellStyle name="Moneda 19 3 5" xfId="956" xr:uid="{00000000-0005-0000-0000-0000AB030000}"/>
    <cellStyle name="Moneda 19 4" xfId="957" xr:uid="{00000000-0005-0000-0000-0000AC030000}"/>
    <cellStyle name="Moneda 19 4 2" xfId="958" xr:uid="{00000000-0005-0000-0000-0000AD030000}"/>
    <cellStyle name="Moneda 19 5" xfId="959" xr:uid="{00000000-0005-0000-0000-0000AE030000}"/>
    <cellStyle name="Moneda 19 5 2" xfId="960" xr:uid="{00000000-0005-0000-0000-0000AF030000}"/>
    <cellStyle name="Moneda 19 6" xfId="961" xr:uid="{00000000-0005-0000-0000-0000B0030000}"/>
    <cellStyle name="Moneda 19 6 2" xfId="962" xr:uid="{00000000-0005-0000-0000-0000B1030000}"/>
    <cellStyle name="Moneda 19 7" xfId="963" xr:uid="{00000000-0005-0000-0000-0000B2030000}"/>
    <cellStyle name="Moneda 19 8" xfId="964" xr:uid="{00000000-0005-0000-0000-0000B3030000}"/>
    <cellStyle name="Moneda 2" xfId="10" xr:uid="{00000000-0005-0000-0000-0000B4030000}"/>
    <cellStyle name="Moneda 2 2" xfId="11" xr:uid="{00000000-0005-0000-0000-0000B5030000}"/>
    <cellStyle name="Moneda 2 2 2" xfId="12" xr:uid="{00000000-0005-0000-0000-0000B6030000}"/>
    <cellStyle name="Moneda 2 2 3" xfId="965" xr:uid="{00000000-0005-0000-0000-0000B7030000}"/>
    <cellStyle name="Moneda 2 2 3 2" xfId="966" xr:uid="{00000000-0005-0000-0000-0000B8030000}"/>
    <cellStyle name="Moneda 2 3" xfId="13" xr:uid="{00000000-0005-0000-0000-0000B9030000}"/>
    <cellStyle name="Moneda 2 3 10" xfId="967" xr:uid="{00000000-0005-0000-0000-0000BA030000}"/>
    <cellStyle name="Moneda 2 3 10 2" xfId="968" xr:uid="{00000000-0005-0000-0000-0000BB030000}"/>
    <cellStyle name="Moneda 2 3 10 2 2" xfId="969" xr:uid="{00000000-0005-0000-0000-0000BC030000}"/>
    <cellStyle name="Moneda 2 3 10 3" xfId="970" xr:uid="{00000000-0005-0000-0000-0000BD030000}"/>
    <cellStyle name="Moneda 2 3 11" xfId="971" xr:uid="{00000000-0005-0000-0000-0000BE030000}"/>
    <cellStyle name="Moneda 2 3 11 2" xfId="972" xr:uid="{00000000-0005-0000-0000-0000BF030000}"/>
    <cellStyle name="Moneda 2 3 11 3" xfId="973" xr:uid="{00000000-0005-0000-0000-0000C0030000}"/>
    <cellStyle name="Moneda 2 3 12" xfId="974" xr:uid="{00000000-0005-0000-0000-0000C1030000}"/>
    <cellStyle name="Moneda 2 3 2" xfId="975" xr:uid="{00000000-0005-0000-0000-0000C2030000}"/>
    <cellStyle name="Moneda 2 3 2 10" xfId="976" xr:uid="{00000000-0005-0000-0000-0000C3030000}"/>
    <cellStyle name="Moneda 2 3 2 11" xfId="977" xr:uid="{00000000-0005-0000-0000-0000C4030000}"/>
    <cellStyle name="Moneda 2 3 2 2" xfId="978" xr:uid="{00000000-0005-0000-0000-0000C5030000}"/>
    <cellStyle name="Moneda 2 3 2 2 2" xfId="979" xr:uid="{00000000-0005-0000-0000-0000C6030000}"/>
    <cellStyle name="Moneda 2 3 2 2 2 2" xfId="980" xr:uid="{00000000-0005-0000-0000-0000C7030000}"/>
    <cellStyle name="Moneda 2 3 2 2 2 2 2" xfId="981" xr:uid="{00000000-0005-0000-0000-0000C8030000}"/>
    <cellStyle name="Moneda 2 3 2 2 2 2 2 2" xfId="982" xr:uid="{00000000-0005-0000-0000-0000C9030000}"/>
    <cellStyle name="Moneda 2 3 2 2 2 2 2 2 2" xfId="983" xr:uid="{00000000-0005-0000-0000-0000CA030000}"/>
    <cellStyle name="Moneda 2 3 2 2 2 2 2 3" xfId="984" xr:uid="{00000000-0005-0000-0000-0000CB030000}"/>
    <cellStyle name="Moneda 2 3 2 2 2 2 3" xfId="985" xr:uid="{00000000-0005-0000-0000-0000CC030000}"/>
    <cellStyle name="Moneda 2 3 2 2 2 2 3 2" xfId="986" xr:uid="{00000000-0005-0000-0000-0000CD030000}"/>
    <cellStyle name="Moneda 2 3 2 2 2 2 3 3" xfId="987" xr:uid="{00000000-0005-0000-0000-0000CE030000}"/>
    <cellStyle name="Moneda 2 3 2 2 2 2 4" xfId="988" xr:uid="{00000000-0005-0000-0000-0000CF030000}"/>
    <cellStyle name="Moneda 2 3 2 2 2 2 4 2" xfId="989" xr:uid="{00000000-0005-0000-0000-0000D0030000}"/>
    <cellStyle name="Moneda 2 3 2 2 2 2 5" xfId="990" xr:uid="{00000000-0005-0000-0000-0000D1030000}"/>
    <cellStyle name="Moneda 2 3 2 2 2 2 6" xfId="991" xr:uid="{00000000-0005-0000-0000-0000D2030000}"/>
    <cellStyle name="Moneda 2 3 2 2 2 3" xfId="992" xr:uid="{00000000-0005-0000-0000-0000D3030000}"/>
    <cellStyle name="Moneda 2 3 2 2 2 3 2" xfId="993" xr:uid="{00000000-0005-0000-0000-0000D4030000}"/>
    <cellStyle name="Moneda 2 3 2 2 2 3 2 2" xfId="994" xr:uid="{00000000-0005-0000-0000-0000D5030000}"/>
    <cellStyle name="Moneda 2 3 2 2 2 3 3" xfId="995" xr:uid="{00000000-0005-0000-0000-0000D6030000}"/>
    <cellStyle name="Moneda 2 3 2 2 2 4" xfId="996" xr:uid="{00000000-0005-0000-0000-0000D7030000}"/>
    <cellStyle name="Moneda 2 3 2 2 2 4 2" xfId="997" xr:uid="{00000000-0005-0000-0000-0000D8030000}"/>
    <cellStyle name="Moneda 2 3 2 2 2 4 3" xfId="998" xr:uid="{00000000-0005-0000-0000-0000D9030000}"/>
    <cellStyle name="Moneda 2 3 2 2 2 5" xfId="999" xr:uid="{00000000-0005-0000-0000-0000DA030000}"/>
    <cellStyle name="Moneda 2 3 2 2 2 5 2" xfId="1000" xr:uid="{00000000-0005-0000-0000-0000DB030000}"/>
    <cellStyle name="Moneda 2 3 2 2 2 6" xfId="1001" xr:uid="{00000000-0005-0000-0000-0000DC030000}"/>
    <cellStyle name="Moneda 2 3 2 2 2 7" xfId="1002" xr:uid="{00000000-0005-0000-0000-0000DD030000}"/>
    <cellStyle name="Moneda 2 3 2 2 3" xfId="1003" xr:uid="{00000000-0005-0000-0000-0000DE030000}"/>
    <cellStyle name="Moneda 2 3 2 2 3 2" xfId="1004" xr:uid="{00000000-0005-0000-0000-0000DF030000}"/>
    <cellStyle name="Moneda 2 3 2 2 3 2 2" xfId="1005" xr:uid="{00000000-0005-0000-0000-0000E0030000}"/>
    <cellStyle name="Moneda 2 3 2 2 3 2 2 2" xfId="1006" xr:uid="{00000000-0005-0000-0000-0000E1030000}"/>
    <cellStyle name="Moneda 2 3 2 2 3 2 2 3" xfId="1007" xr:uid="{00000000-0005-0000-0000-0000E2030000}"/>
    <cellStyle name="Moneda 2 3 2 2 3 2 3" xfId="1008" xr:uid="{00000000-0005-0000-0000-0000E3030000}"/>
    <cellStyle name="Moneda 2 3 2 2 3 2 4" xfId="1009" xr:uid="{00000000-0005-0000-0000-0000E4030000}"/>
    <cellStyle name="Moneda 2 3 2 2 3 3" xfId="1010" xr:uid="{00000000-0005-0000-0000-0000E5030000}"/>
    <cellStyle name="Moneda 2 3 2 2 3 3 2" xfId="1011" xr:uid="{00000000-0005-0000-0000-0000E6030000}"/>
    <cellStyle name="Moneda 2 3 2 2 3 3 2 2" xfId="1012" xr:uid="{00000000-0005-0000-0000-0000E7030000}"/>
    <cellStyle name="Moneda 2 3 2 2 3 3 3" xfId="1013" xr:uid="{00000000-0005-0000-0000-0000E8030000}"/>
    <cellStyle name="Moneda 2 3 2 2 3 4" xfId="1014" xr:uid="{00000000-0005-0000-0000-0000E9030000}"/>
    <cellStyle name="Moneda 2 3 2 2 3 4 2" xfId="1015" xr:uid="{00000000-0005-0000-0000-0000EA030000}"/>
    <cellStyle name="Moneda 2 3 2 2 3 4 3" xfId="1016" xr:uid="{00000000-0005-0000-0000-0000EB030000}"/>
    <cellStyle name="Moneda 2 3 2 2 3 5" xfId="1017" xr:uid="{00000000-0005-0000-0000-0000EC030000}"/>
    <cellStyle name="Moneda 2 3 2 2 3 6" xfId="1018" xr:uid="{00000000-0005-0000-0000-0000ED030000}"/>
    <cellStyle name="Moneda 2 3 2 2 4" xfId="1019" xr:uid="{00000000-0005-0000-0000-0000EE030000}"/>
    <cellStyle name="Moneda 2 3 2 2 4 2" xfId="1020" xr:uid="{00000000-0005-0000-0000-0000EF030000}"/>
    <cellStyle name="Moneda 2 3 2 2 4 2 2" xfId="1021" xr:uid="{00000000-0005-0000-0000-0000F0030000}"/>
    <cellStyle name="Moneda 2 3 2 2 4 2 2 2" xfId="1022" xr:uid="{00000000-0005-0000-0000-0000F1030000}"/>
    <cellStyle name="Moneda 2 3 2 2 4 2 3" xfId="1023" xr:uid="{00000000-0005-0000-0000-0000F2030000}"/>
    <cellStyle name="Moneda 2 3 2 2 4 2 4" xfId="1024" xr:uid="{00000000-0005-0000-0000-0000F3030000}"/>
    <cellStyle name="Moneda 2 3 2 2 4 3" xfId="1025" xr:uid="{00000000-0005-0000-0000-0000F4030000}"/>
    <cellStyle name="Moneda 2 3 2 2 4 3 2" xfId="1026" xr:uid="{00000000-0005-0000-0000-0000F5030000}"/>
    <cellStyle name="Moneda 2 3 2 2 4 4" xfId="1027" xr:uid="{00000000-0005-0000-0000-0000F6030000}"/>
    <cellStyle name="Moneda 2 3 2 2 4 5" xfId="1028" xr:uid="{00000000-0005-0000-0000-0000F7030000}"/>
    <cellStyle name="Moneda 2 3 2 2 5" xfId="1029" xr:uid="{00000000-0005-0000-0000-0000F8030000}"/>
    <cellStyle name="Moneda 2 3 2 2 5 2" xfId="1030" xr:uid="{00000000-0005-0000-0000-0000F9030000}"/>
    <cellStyle name="Moneda 2 3 2 2 5 2 2" xfId="1031" xr:uid="{00000000-0005-0000-0000-0000FA030000}"/>
    <cellStyle name="Moneda 2 3 2 2 5 2 3" xfId="1032" xr:uid="{00000000-0005-0000-0000-0000FB030000}"/>
    <cellStyle name="Moneda 2 3 2 2 5 3" xfId="1033" xr:uid="{00000000-0005-0000-0000-0000FC030000}"/>
    <cellStyle name="Moneda 2 3 2 2 5 4" xfId="1034" xr:uid="{00000000-0005-0000-0000-0000FD030000}"/>
    <cellStyle name="Moneda 2 3 2 2 6" xfId="1035" xr:uid="{00000000-0005-0000-0000-0000FE030000}"/>
    <cellStyle name="Moneda 2 3 2 2 6 2" xfId="1036" xr:uid="{00000000-0005-0000-0000-0000FF030000}"/>
    <cellStyle name="Moneda 2 3 2 2 6 2 2" xfId="1037" xr:uid="{00000000-0005-0000-0000-000000040000}"/>
    <cellStyle name="Moneda 2 3 2 2 6 3" xfId="1038" xr:uid="{00000000-0005-0000-0000-000001040000}"/>
    <cellStyle name="Moneda 2 3 2 2 7" xfId="1039" xr:uid="{00000000-0005-0000-0000-000002040000}"/>
    <cellStyle name="Moneda 2 3 2 2 7 2" xfId="1040" xr:uid="{00000000-0005-0000-0000-000003040000}"/>
    <cellStyle name="Moneda 2 3 2 2 8" xfId="1041" xr:uid="{00000000-0005-0000-0000-000004040000}"/>
    <cellStyle name="Moneda 2 3 2 3" xfId="1042" xr:uid="{00000000-0005-0000-0000-000005040000}"/>
    <cellStyle name="Moneda 2 3 2 3 2" xfId="1043" xr:uid="{00000000-0005-0000-0000-000006040000}"/>
    <cellStyle name="Moneda 2 3 2 3 2 2" xfId="1044" xr:uid="{00000000-0005-0000-0000-000007040000}"/>
    <cellStyle name="Moneda 2 3 2 3 2 2 2" xfId="1045" xr:uid="{00000000-0005-0000-0000-000008040000}"/>
    <cellStyle name="Moneda 2 3 2 3 2 2 2 2" xfId="1046" xr:uid="{00000000-0005-0000-0000-000009040000}"/>
    <cellStyle name="Moneda 2 3 2 3 2 2 2 3" xfId="1047" xr:uid="{00000000-0005-0000-0000-00000A040000}"/>
    <cellStyle name="Moneda 2 3 2 3 2 2 3" xfId="1048" xr:uid="{00000000-0005-0000-0000-00000B040000}"/>
    <cellStyle name="Moneda 2 3 2 3 2 2 3 2" xfId="1049" xr:uid="{00000000-0005-0000-0000-00000C040000}"/>
    <cellStyle name="Moneda 2 3 2 3 2 2 4" xfId="1050" xr:uid="{00000000-0005-0000-0000-00000D040000}"/>
    <cellStyle name="Moneda 2 3 2 3 2 2 4 2" xfId="1051" xr:uid="{00000000-0005-0000-0000-00000E040000}"/>
    <cellStyle name="Moneda 2 3 2 3 2 2 5" xfId="1052" xr:uid="{00000000-0005-0000-0000-00000F040000}"/>
    <cellStyle name="Moneda 2 3 2 3 2 2 6" xfId="1053" xr:uid="{00000000-0005-0000-0000-000010040000}"/>
    <cellStyle name="Moneda 2 3 2 3 2 3" xfId="1054" xr:uid="{00000000-0005-0000-0000-000011040000}"/>
    <cellStyle name="Moneda 2 3 2 3 2 3 2" xfId="1055" xr:uid="{00000000-0005-0000-0000-000012040000}"/>
    <cellStyle name="Moneda 2 3 2 3 2 3 3" xfId="1056" xr:uid="{00000000-0005-0000-0000-000013040000}"/>
    <cellStyle name="Moneda 2 3 2 3 2 4" xfId="1057" xr:uid="{00000000-0005-0000-0000-000014040000}"/>
    <cellStyle name="Moneda 2 3 2 3 2 4 2" xfId="1058" xr:uid="{00000000-0005-0000-0000-000015040000}"/>
    <cellStyle name="Moneda 2 3 2 3 2 5" xfId="1059" xr:uid="{00000000-0005-0000-0000-000016040000}"/>
    <cellStyle name="Moneda 2 3 2 3 2 5 2" xfId="1060" xr:uid="{00000000-0005-0000-0000-000017040000}"/>
    <cellStyle name="Moneda 2 3 2 3 2 6" xfId="1061" xr:uid="{00000000-0005-0000-0000-000018040000}"/>
    <cellStyle name="Moneda 2 3 2 3 2 7" xfId="1062" xr:uid="{00000000-0005-0000-0000-000019040000}"/>
    <cellStyle name="Moneda 2 3 2 3 3" xfId="1063" xr:uid="{00000000-0005-0000-0000-00001A040000}"/>
    <cellStyle name="Moneda 2 3 2 3 3 2" xfId="1064" xr:uid="{00000000-0005-0000-0000-00001B040000}"/>
    <cellStyle name="Moneda 2 3 2 3 3 2 2" xfId="1065" xr:uid="{00000000-0005-0000-0000-00001C040000}"/>
    <cellStyle name="Moneda 2 3 2 3 3 2 3" xfId="1066" xr:uid="{00000000-0005-0000-0000-00001D040000}"/>
    <cellStyle name="Moneda 2 3 2 3 3 3" xfId="1067" xr:uid="{00000000-0005-0000-0000-00001E040000}"/>
    <cellStyle name="Moneda 2 3 2 3 3 3 2" xfId="1068" xr:uid="{00000000-0005-0000-0000-00001F040000}"/>
    <cellStyle name="Moneda 2 3 2 3 3 4" xfId="1069" xr:uid="{00000000-0005-0000-0000-000020040000}"/>
    <cellStyle name="Moneda 2 3 2 3 3 4 2" xfId="1070" xr:uid="{00000000-0005-0000-0000-000021040000}"/>
    <cellStyle name="Moneda 2 3 2 3 3 5" xfId="1071" xr:uid="{00000000-0005-0000-0000-000022040000}"/>
    <cellStyle name="Moneda 2 3 2 3 3 6" xfId="1072" xr:uid="{00000000-0005-0000-0000-000023040000}"/>
    <cellStyle name="Moneda 2 3 2 3 4" xfId="1073" xr:uid="{00000000-0005-0000-0000-000024040000}"/>
    <cellStyle name="Moneda 2 3 2 3 4 2" xfId="1074" xr:uid="{00000000-0005-0000-0000-000025040000}"/>
    <cellStyle name="Moneda 2 3 2 3 4 3" xfId="1075" xr:uid="{00000000-0005-0000-0000-000026040000}"/>
    <cellStyle name="Moneda 2 3 2 3 5" xfId="1076" xr:uid="{00000000-0005-0000-0000-000027040000}"/>
    <cellStyle name="Moneda 2 3 2 3 5 2" xfId="1077" xr:uid="{00000000-0005-0000-0000-000028040000}"/>
    <cellStyle name="Moneda 2 3 2 3 6" xfId="1078" xr:uid="{00000000-0005-0000-0000-000029040000}"/>
    <cellStyle name="Moneda 2 3 2 3 6 2" xfId="1079" xr:uid="{00000000-0005-0000-0000-00002A040000}"/>
    <cellStyle name="Moneda 2 3 2 3 7" xfId="1080" xr:uid="{00000000-0005-0000-0000-00002B040000}"/>
    <cellStyle name="Moneda 2 3 2 3 8" xfId="1081" xr:uid="{00000000-0005-0000-0000-00002C040000}"/>
    <cellStyle name="Moneda 2 3 2 4" xfId="1082" xr:uid="{00000000-0005-0000-0000-00002D040000}"/>
    <cellStyle name="Moneda 2 3 2 4 2" xfId="1083" xr:uid="{00000000-0005-0000-0000-00002E040000}"/>
    <cellStyle name="Moneda 2 3 2 4 2 2" xfId="1084" xr:uid="{00000000-0005-0000-0000-00002F040000}"/>
    <cellStyle name="Moneda 2 3 2 4 2 2 2" xfId="1085" xr:uid="{00000000-0005-0000-0000-000030040000}"/>
    <cellStyle name="Moneda 2 3 2 4 2 2 2 2" xfId="1086" xr:uid="{00000000-0005-0000-0000-000031040000}"/>
    <cellStyle name="Moneda 2 3 2 4 2 2 2 3" xfId="1087" xr:uid="{00000000-0005-0000-0000-000032040000}"/>
    <cellStyle name="Moneda 2 3 2 4 2 2 3" xfId="1088" xr:uid="{00000000-0005-0000-0000-000033040000}"/>
    <cellStyle name="Moneda 2 3 2 4 2 2 3 2" xfId="1089" xr:uid="{00000000-0005-0000-0000-000034040000}"/>
    <cellStyle name="Moneda 2 3 2 4 2 2 4" xfId="1090" xr:uid="{00000000-0005-0000-0000-000035040000}"/>
    <cellStyle name="Moneda 2 3 2 4 2 2 4 2" xfId="1091" xr:uid="{00000000-0005-0000-0000-000036040000}"/>
    <cellStyle name="Moneda 2 3 2 4 2 2 5" xfId="1092" xr:uid="{00000000-0005-0000-0000-000037040000}"/>
    <cellStyle name="Moneda 2 3 2 4 2 2 6" xfId="1093" xr:uid="{00000000-0005-0000-0000-000038040000}"/>
    <cellStyle name="Moneda 2 3 2 4 2 3" xfId="1094" xr:uid="{00000000-0005-0000-0000-000039040000}"/>
    <cellStyle name="Moneda 2 3 2 4 2 3 2" xfId="1095" xr:uid="{00000000-0005-0000-0000-00003A040000}"/>
    <cellStyle name="Moneda 2 3 2 4 2 3 3" xfId="1096" xr:uid="{00000000-0005-0000-0000-00003B040000}"/>
    <cellStyle name="Moneda 2 3 2 4 2 4" xfId="1097" xr:uid="{00000000-0005-0000-0000-00003C040000}"/>
    <cellStyle name="Moneda 2 3 2 4 2 4 2" xfId="1098" xr:uid="{00000000-0005-0000-0000-00003D040000}"/>
    <cellStyle name="Moneda 2 3 2 4 2 5" xfId="1099" xr:uid="{00000000-0005-0000-0000-00003E040000}"/>
    <cellStyle name="Moneda 2 3 2 4 2 5 2" xfId="1100" xr:uid="{00000000-0005-0000-0000-00003F040000}"/>
    <cellStyle name="Moneda 2 3 2 4 2 6" xfId="1101" xr:uid="{00000000-0005-0000-0000-000040040000}"/>
    <cellStyle name="Moneda 2 3 2 4 2 7" xfId="1102" xr:uid="{00000000-0005-0000-0000-000041040000}"/>
    <cellStyle name="Moneda 2 3 2 4 3" xfId="1103" xr:uid="{00000000-0005-0000-0000-000042040000}"/>
    <cellStyle name="Moneda 2 3 2 4 3 2" xfId="1104" xr:uid="{00000000-0005-0000-0000-000043040000}"/>
    <cellStyle name="Moneda 2 3 2 4 3 2 2" xfId="1105" xr:uid="{00000000-0005-0000-0000-000044040000}"/>
    <cellStyle name="Moneda 2 3 2 4 3 2 3" xfId="1106" xr:uid="{00000000-0005-0000-0000-000045040000}"/>
    <cellStyle name="Moneda 2 3 2 4 3 3" xfId="1107" xr:uid="{00000000-0005-0000-0000-000046040000}"/>
    <cellStyle name="Moneda 2 3 2 4 3 3 2" xfId="1108" xr:uid="{00000000-0005-0000-0000-000047040000}"/>
    <cellStyle name="Moneda 2 3 2 4 3 4" xfId="1109" xr:uid="{00000000-0005-0000-0000-000048040000}"/>
    <cellStyle name="Moneda 2 3 2 4 3 4 2" xfId="1110" xr:uid="{00000000-0005-0000-0000-000049040000}"/>
    <cellStyle name="Moneda 2 3 2 4 3 5" xfId="1111" xr:uid="{00000000-0005-0000-0000-00004A040000}"/>
    <cellStyle name="Moneda 2 3 2 4 3 6" xfId="1112" xr:uid="{00000000-0005-0000-0000-00004B040000}"/>
    <cellStyle name="Moneda 2 3 2 4 4" xfId="1113" xr:uid="{00000000-0005-0000-0000-00004C040000}"/>
    <cellStyle name="Moneda 2 3 2 4 4 2" xfId="1114" xr:uid="{00000000-0005-0000-0000-00004D040000}"/>
    <cellStyle name="Moneda 2 3 2 4 4 3" xfId="1115" xr:uid="{00000000-0005-0000-0000-00004E040000}"/>
    <cellStyle name="Moneda 2 3 2 4 5" xfId="1116" xr:uid="{00000000-0005-0000-0000-00004F040000}"/>
    <cellStyle name="Moneda 2 3 2 4 5 2" xfId="1117" xr:uid="{00000000-0005-0000-0000-000050040000}"/>
    <cellStyle name="Moneda 2 3 2 4 6" xfId="1118" xr:uid="{00000000-0005-0000-0000-000051040000}"/>
    <cellStyle name="Moneda 2 3 2 4 6 2" xfId="1119" xr:uid="{00000000-0005-0000-0000-000052040000}"/>
    <cellStyle name="Moneda 2 3 2 4 7" xfId="1120" xr:uid="{00000000-0005-0000-0000-000053040000}"/>
    <cellStyle name="Moneda 2 3 2 4 8" xfId="1121" xr:uid="{00000000-0005-0000-0000-000054040000}"/>
    <cellStyle name="Moneda 2 3 2 5" xfId="1122" xr:uid="{00000000-0005-0000-0000-000055040000}"/>
    <cellStyle name="Moneda 2 3 2 5 2" xfId="1123" xr:uid="{00000000-0005-0000-0000-000056040000}"/>
    <cellStyle name="Moneda 2 3 2 5 2 2" xfId="1124" xr:uid="{00000000-0005-0000-0000-000057040000}"/>
    <cellStyle name="Moneda 2 3 2 5 2 2 2" xfId="1125" xr:uid="{00000000-0005-0000-0000-000058040000}"/>
    <cellStyle name="Moneda 2 3 2 5 2 2 2 2" xfId="1126" xr:uid="{00000000-0005-0000-0000-000059040000}"/>
    <cellStyle name="Moneda 2 3 2 5 2 2 3" xfId="1127" xr:uid="{00000000-0005-0000-0000-00005A040000}"/>
    <cellStyle name="Moneda 2 3 2 5 2 3" xfId="1128" xr:uid="{00000000-0005-0000-0000-00005B040000}"/>
    <cellStyle name="Moneda 2 3 2 5 2 3 2" xfId="1129" xr:uid="{00000000-0005-0000-0000-00005C040000}"/>
    <cellStyle name="Moneda 2 3 2 5 2 3 3" xfId="1130" xr:uid="{00000000-0005-0000-0000-00005D040000}"/>
    <cellStyle name="Moneda 2 3 2 5 2 4" xfId="1131" xr:uid="{00000000-0005-0000-0000-00005E040000}"/>
    <cellStyle name="Moneda 2 3 2 5 2 4 2" xfId="1132" xr:uid="{00000000-0005-0000-0000-00005F040000}"/>
    <cellStyle name="Moneda 2 3 2 5 2 5" xfId="1133" xr:uid="{00000000-0005-0000-0000-000060040000}"/>
    <cellStyle name="Moneda 2 3 2 5 2 6" xfId="1134" xr:uid="{00000000-0005-0000-0000-000061040000}"/>
    <cellStyle name="Moneda 2 3 2 5 3" xfId="1135" xr:uid="{00000000-0005-0000-0000-000062040000}"/>
    <cellStyle name="Moneda 2 3 2 5 3 2" xfId="1136" xr:uid="{00000000-0005-0000-0000-000063040000}"/>
    <cellStyle name="Moneda 2 3 2 5 3 2 2" xfId="1137" xr:uid="{00000000-0005-0000-0000-000064040000}"/>
    <cellStyle name="Moneda 2 3 2 5 3 3" xfId="1138" xr:uid="{00000000-0005-0000-0000-000065040000}"/>
    <cellStyle name="Moneda 2 3 2 5 4" xfId="1139" xr:uid="{00000000-0005-0000-0000-000066040000}"/>
    <cellStyle name="Moneda 2 3 2 5 4 2" xfId="1140" xr:uid="{00000000-0005-0000-0000-000067040000}"/>
    <cellStyle name="Moneda 2 3 2 5 4 3" xfId="1141" xr:uid="{00000000-0005-0000-0000-000068040000}"/>
    <cellStyle name="Moneda 2 3 2 5 5" xfId="1142" xr:uid="{00000000-0005-0000-0000-000069040000}"/>
    <cellStyle name="Moneda 2 3 2 5 5 2" xfId="1143" xr:uid="{00000000-0005-0000-0000-00006A040000}"/>
    <cellStyle name="Moneda 2 3 2 5 6" xfId="1144" xr:uid="{00000000-0005-0000-0000-00006B040000}"/>
    <cellStyle name="Moneda 2 3 2 5 7" xfId="1145" xr:uid="{00000000-0005-0000-0000-00006C040000}"/>
    <cellStyle name="Moneda 2 3 2 6" xfId="1146" xr:uid="{00000000-0005-0000-0000-00006D040000}"/>
    <cellStyle name="Moneda 2 3 2 6 2" xfId="1147" xr:uid="{00000000-0005-0000-0000-00006E040000}"/>
    <cellStyle name="Moneda 2 3 2 6 2 2" xfId="1148" xr:uid="{00000000-0005-0000-0000-00006F040000}"/>
    <cellStyle name="Moneda 2 3 2 6 2 2 2" xfId="1149" xr:uid="{00000000-0005-0000-0000-000070040000}"/>
    <cellStyle name="Moneda 2 3 2 6 2 3" xfId="1150" xr:uid="{00000000-0005-0000-0000-000071040000}"/>
    <cellStyle name="Moneda 2 3 2 6 3" xfId="1151" xr:uid="{00000000-0005-0000-0000-000072040000}"/>
    <cellStyle name="Moneda 2 3 2 6 3 2" xfId="1152" xr:uid="{00000000-0005-0000-0000-000073040000}"/>
    <cellStyle name="Moneda 2 3 2 6 3 3" xfId="1153" xr:uid="{00000000-0005-0000-0000-000074040000}"/>
    <cellStyle name="Moneda 2 3 2 6 4" xfId="1154" xr:uid="{00000000-0005-0000-0000-000075040000}"/>
    <cellStyle name="Moneda 2 3 2 6 4 2" xfId="1155" xr:uid="{00000000-0005-0000-0000-000076040000}"/>
    <cellStyle name="Moneda 2 3 2 6 5" xfId="1156" xr:uid="{00000000-0005-0000-0000-000077040000}"/>
    <cellStyle name="Moneda 2 3 2 6 6" xfId="1157" xr:uid="{00000000-0005-0000-0000-000078040000}"/>
    <cellStyle name="Moneda 2 3 2 7" xfId="1158" xr:uid="{00000000-0005-0000-0000-000079040000}"/>
    <cellStyle name="Moneda 2 3 2 7 2" xfId="1159" xr:uid="{00000000-0005-0000-0000-00007A040000}"/>
    <cellStyle name="Moneda 2 3 2 7 2 2" xfId="1160" xr:uid="{00000000-0005-0000-0000-00007B040000}"/>
    <cellStyle name="Moneda 2 3 2 7 3" xfId="1161" xr:uid="{00000000-0005-0000-0000-00007C040000}"/>
    <cellStyle name="Moneda 2 3 2 8" xfId="1162" xr:uid="{00000000-0005-0000-0000-00007D040000}"/>
    <cellStyle name="Moneda 2 3 2 8 2" xfId="1163" xr:uid="{00000000-0005-0000-0000-00007E040000}"/>
    <cellStyle name="Moneda 2 3 2 8 3" xfId="1164" xr:uid="{00000000-0005-0000-0000-00007F040000}"/>
    <cellStyle name="Moneda 2 3 2 9" xfId="1165" xr:uid="{00000000-0005-0000-0000-000080040000}"/>
    <cellStyle name="Moneda 2 3 2 9 2" xfId="1166" xr:uid="{00000000-0005-0000-0000-000081040000}"/>
    <cellStyle name="Moneda 2 3 3" xfId="1167" xr:uid="{00000000-0005-0000-0000-000082040000}"/>
    <cellStyle name="Moneda 2 3 3 2" xfId="1168" xr:uid="{00000000-0005-0000-0000-000083040000}"/>
    <cellStyle name="Moneda 2 3 3 2 2" xfId="1169" xr:uid="{00000000-0005-0000-0000-000084040000}"/>
    <cellStyle name="Moneda 2 3 3 2 2 2" xfId="1170" xr:uid="{00000000-0005-0000-0000-000085040000}"/>
    <cellStyle name="Moneda 2 3 3 2 2 2 2" xfId="1171" xr:uid="{00000000-0005-0000-0000-000086040000}"/>
    <cellStyle name="Moneda 2 3 3 2 2 2 2 2" xfId="1172" xr:uid="{00000000-0005-0000-0000-000087040000}"/>
    <cellStyle name="Moneda 2 3 3 2 2 2 3" xfId="1173" xr:uid="{00000000-0005-0000-0000-000088040000}"/>
    <cellStyle name="Moneda 2 3 3 2 2 3" xfId="1174" xr:uid="{00000000-0005-0000-0000-000089040000}"/>
    <cellStyle name="Moneda 2 3 3 2 2 3 2" xfId="1175" xr:uid="{00000000-0005-0000-0000-00008A040000}"/>
    <cellStyle name="Moneda 2 3 3 2 2 3 3" xfId="1176" xr:uid="{00000000-0005-0000-0000-00008B040000}"/>
    <cellStyle name="Moneda 2 3 3 2 2 4" xfId="1177" xr:uid="{00000000-0005-0000-0000-00008C040000}"/>
    <cellStyle name="Moneda 2 3 3 2 2 4 2" xfId="1178" xr:uid="{00000000-0005-0000-0000-00008D040000}"/>
    <cellStyle name="Moneda 2 3 3 2 2 5" xfId="1179" xr:uid="{00000000-0005-0000-0000-00008E040000}"/>
    <cellStyle name="Moneda 2 3 3 2 2 6" xfId="1180" xr:uid="{00000000-0005-0000-0000-00008F040000}"/>
    <cellStyle name="Moneda 2 3 3 2 3" xfId="1181" xr:uid="{00000000-0005-0000-0000-000090040000}"/>
    <cellStyle name="Moneda 2 3 3 2 3 2" xfId="1182" xr:uid="{00000000-0005-0000-0000-000091040000}"/>
    <cellStyle name="Moneda 2 3 3 2 3 2 2" xfId="1183" xr:uid="{00000000-0005-0000-0000-000092040000}"/>
    <cellStyle name="Moneda 2 3 3 2 3 3" xfId="1184" xr:uid="{00000000-0005-0000-0000-000093040000}"/>
    <cellStyle name="Moneda 2 3 3 2 4" xfId="1185" xr:uid="{00000000-0005-0000-0000-000094040000}"/>
    <cellStyle name="Moneda 2 3 3 2 4 2" xfId="1186" xr:uid="{00000000-0005-0000-0000-000095040000}"/>
    <cellStyle name="Moneda 2 3 3 2 4 3" xfId="1187" xr:uid="{00000000-0005-0000-0000-000096040000}"/>
    <cellStyle name="Moneda 2 3 3 2 5" xfId="1188" xr:uid="{00000000-0005-0000-0000-000097040000}"/>
    <cellStyle name="Moneda 2 3 3 2 5 2" xfId="1189" xr:uid="{00000000-0005-0000-0000-000098040000}"/>
    <cellStyle name="Moneda 2 3 3 2 6" xfId="1190" xr:uid="{00000000-0005-0000-0000-000099040000}"/>
    <cellStyle name="Moneda 2 3 3 2 7" xfId="1191" xr:uid="{00000000-0005-0000-0000-00009A040000}"/>
    <cellStyle name="Moneda 2 3 3 3" xfId="1192" xr:uid="{00000000-0005-0000-0000-00009B040000}"/>
    <cellStyle name="Moneda 2 3 3 3 2" xfId="1193" xr:uid="{00000000-0005-0000-0000-00009C040000}"/>
    <cellStyle name="Moneda 2 3 3 3 2 2" xfId="1194" xr:uid="{00000000-0005-0000-0000-00009D040000}"/>
    <cellStyle name="Moneda 2 3 3 3 2 2 2" xfId="1195" xr:uid="{00000000-0005-0000-0000-00009E040000}"/>
    <cellStyle name="Moneda 2 3 3 3 2 2 3" xfId="1196" xr:uid="{00000000-0005-0000-0000-00009F040000}"/>
    <cellStyle name="Moneda 2 3 3 3 2 3" xfId="1197" xr:uid="{00000000-0005-0000-0000-0000A0040000}"/>
    <cellStyle name="Moneda 2 3 3 3 2 4" xfId="1198" xr:uid="{00000000-0005-0000-0000-0000A1040000}"/>
    <cellStyle name="Moneda 2 3 3 3 3" xfId="1199" xr:uid="{00000000-0005-0000-0000-0000A2040000}"/>
    <cellStyle name="Moneda 2 3 3 3 3 2" xfId="1200" xr:uid="{00000000-0005-0000-0000-0000A3040000}"/>
    <cellStyle name="Moneda 2 3 3 3 3 2 2" xfId="1201" xr:uid="{00000000-0005-0000-0000-0000A4040000}"/>
    <cellStyle name="Moneda 2 3 3 3 3 3" xfId="1202" xr:uid="{00000000-0005-0000-0000-0000A5040000}"/>
    <cellStyle name="Moneda 2 3 3 3 4" xfId="1203" xr:uid="{00000000-0005-0000-0000-0000A6040000}"/>
    <cellStyle name="Moneda 2 3 3 3 4 2" xfId="1204" xr:uid="{00000000-0005-0000-0000-0000A7040000}"/>
    <cellStyle name="Moneda 2 3 3 3 4 3" xfId="1205" xr:uid="{00000000-0005-0000-0000-0000A8040000}"/>
    <cellStyle name="Moneda 2 3 3 3 5" xfId="1206" xr:uid="{00000000-0005-0000-0000-0000A9040000}"/>
    <cellStyle name="Moneda 2 3 3 3 6" xfId="1207" xr:uid="{00000000-0005-0000-0000-0000AA040000}"/>
    <cellStyle name="Moneda 2 3 3 4" xfId="1208" xr:uid="{00000000-0005-0000-0000-0000AB040000}"/>
    <cellStyle name="Moneda 2 3 3 4 2" xfId="1209" xr:uid="{00000000-0005-0000-0000-0000AC040000}"/>
    <cellStyle name="Moneda 2 3 3 4 2 2" xfId="1210" xr:uid="{00000000-0005-0000-0000-0000AD040000}"/>
    <cellStyle name="Moneda 2 3 3 4 2 2 2" xfId="1211" xr:uid="{00000000-0005-0000-0000-0000AE040000}"/>
    <cellStyle name="Moneda 2 3 3 4 2 3" xfId="1212" xr:uid="{00000000-0005-0000-0000-0000AF040000}"/>
    <cellStyle name="Moneda 2 3 3 4 2 4" xfId="1213" xr:uid="{00000000-0005-0000-0000-0000B0040000}"/>
    <cellStyle name="Moneda 2 3 3 4 3" xfId="1214" xr:uid="{00000000-0005-0000-0000-0000B1040000}"/>
    <cellStyle name="Moneda 2 3 3 4 3 2" xfId="1215" xr:uid="{00000000-0005-0000-0000-0000B2040000}"/>
    <cellStyle name="Moneda 2 3 3 4 4" xfId="1216" xr:uid="{00000000-0005-0000-0000-0000B3040000}"/>
    <cellStyle name="Moneda 2 3 3 4 5" xfId="1217" xr:uid="{00000000-0005-0000-0000-0000B4040000}"/>
    <cellStyle name="Moneda 2 3 3 5" xfId="1218" xr:uid="{00000000-0005-0000-0000-0000B5040000}"/>
    <cellStyle name="Moneda 2 3 3 5 2" xfId="1219" xr:uid="{00000000-0005-0000-0000-0000B6040000}"/>
    <cellStyle name="Moneda 2 3 3 5 2 2" xfId="1220" xr:uid="{00000000-0005-0000-0000-0000B7040000}"/>
    <cellStyle name="Moneda 2 3 3 5 2 3" xfId="1221" xr:uid="{00000000-0005-0000-0000-0000B8040000}"/>
    <cellStyle name="Moneda 2 3 3 5 3" xfId="1222" xr:uid="{00000000-0005-0000-0000-0000B9040000}"/>
    <cellStyle name="Moneda 2 3 3 5 4" xfId="1223" xr:uid="{00000000-0005-0000-0000-0000BA040000}"/>
    <cellStyle name="Moneda 2 3 3 6" xfId="1224" xr:uid="{00000000-0005-0000-0000-0000BB040000}"/>
    <cellStyle name="Moneda 2 3 3 6 2" xfId="1225" xr:uid="{00000000-0005-0000-0000-0000BC040000}"/>
    <cellStyle name="Moneda 2 3 3 6 2 2" xfId="1226" xr:uid="{00000000-0005-0000-0000-0000BD040000}"/>
    <cellStyle name="Moneda 2 3 3 6 3" xfId="1227" xr:uid="{00000000-0005-0000-0000-0000BE040000}"/>
    <cellStyle name="Moneda 2 3 3 7" xfId="1228" xr:uid="{00000000-0005-0000-0000-0000BF040000}"/>
    <cellStyle name="Moneda 2 3 3 7 2" xfId="1229" xr:uid="{00000000-0005-0000-0000-0000C0040000}"/>
    <cellStyle name="Moneda 2 3 3 8" xfId="1230" xr:uid="{00000000-0005-0000-0000-0000C1040000}"/>
    <cellStyle name="Moneda 2 3 4" xfId="1231" xr:uid="{00000000-0005-0000-0000-0000C2040000}"/>
    <cellStyle name="Moneda 2 3 4 2" xfId="1232" xr:uid="{00000000-0005-0000-0000-0000C3040000}"/>
    <cellStyle name="Moneda 2 3 4 2 2" xfId="1233" xr:uid="{00000000-0005-0000-0000-0000C4040000}"/>
    <cellStyle name="Moneda 2 3 4 2 2 2" xfId="1234" xr:uid="{00000000-0005-0000-0000-0000C5040000}"/>
    <cellStyle name="Moneda 2 3 4 2 2 2 2" xfId="1235" xr:uid="{00000000-0005-0000-0000-0000C6040000}"/>
    <cellStyle name="Moneda 2 3 4 2 2 2 2 2" xfId="1236" xr:uid="{00000000-0005-0000-0000-0000C7040000}"/>
    <cellStyle name="Moneda 2 3 4 2 2 2 3" xfId="1237" xr:uid="{00000000-0005-0000-0000-0000C8040000}"/>
    <cellStyle name="Moneda 2 3 4 2 2 3" xfId="1238" xr:uid="{00000000-0005-0000-0000-0000C9040000}"/>
    <cellStyle name="Moneda 2 3 4 2 2 3 2" xfId="1239" xr:uid="{00000000-0005-0000-0000-0000CA040000}"/>
    <cellStyle name="Moneda 2 3 4 2 2 3 3" xfId="1240" xr:uid="{00000000-0005-0000-0000-0000CB040000}"/>
    <cellStyle name="Moneda 2 3 4 2 2 4" xfId="1241" xr:uid="{00000000-0005-0000-0000-0000CC040000}"/>
    <cellStyle name="Moneda 2 3 4 2 2 4 2" xfId="1242" xr:uid="{00000000-0005-0000-0000-0000CD040000}"/>
    <cellStyle name="Moneda 2 3 4 2 2 5" xfId="1243" xr:uid="{00000000-0005-0000-0000-0000CE040000}"/>
    <cellStyle name="Moneda 2 3 4 2 2 6" xfId="1244" xr:uid="{00000000-0005-0000-0000-0000CF040000}"/>
    <cellStyle name="Moneda 2 3 4 2 3" xfId="1245" xr:uid="{00000000-0005-0000-0000-0000D0040000}"/>
    <cellStyle name="Moneda 2 3 4 2 3 2" xfId="1246" xr:uid="{00000000-0005-0000-0000-0000D1040000}"/>
    <cellStyle name="Moneda 2 3 4 2 3 2 2" xfId="1247" xr:uid="{00000000-0005-0000-0000-0000D2040000}"/>
    <cellStyle name="Moneda 2 3 4 2 3 3" xfId="1248" xr:uid="{00000000-0005-0000-0000-0000D3040000}"/>
    <cellStyle name="Moneda 2 3 4 2 4" xfId="1249" xr:uid="{00000000-0005-0000-0000-0000D4040000}"/>
    <cellStyle name="Moneda 2 3 4 2 4 2" xfId="1250" xr:uid="{00000000-0005-0000-0000-0000D5040000}"/>
    <cellStyle name="Moneda 2 3 4 2 4 3" xfId="1251" xr:uid="{00000000-0005-0000-0000-0000D6040000}"/>
    <cellStyle name="Moneda 2 3 4 2 5" xfId="1252" xr:uid="{00000000-0005-0000-0000-0000D7040000}"/>
    <cellStyle name="Moneda 2 3 4 2 5 2" xfId="1253" xr:uid="{00000000-0005-0000-0000-0000D8040000}"/>
    <cellStyle name="Moneda 2 3 4 2 6" xfId="1254" xr:uid="{00000000-0005-0000-0000-0000D9040000}"/>
    <cellStyle name="Moneda 2 3 4 2 7" xfId="1255" xr:uid="{00000000-0005-0000-0000-0000DA040000}"/>
    <cellStyle name="Moneda 2 3 4 3" xfId="1256" xr:uid="{00000000-0005-0000-0000-0000DB040000}"/>
    <cellStyle name="Moneda 2 3 4 3 2" xfId="1257" xr:uid="{00000000-0005-0000-0000-0000DC040000}"/>
    <cellStyle name="Moneda 2 3 4 3 2 2" xfId="1258" xr:uid="{00000000-0005-0000-0000-0000DD040000}"/>
    <cellStyle name="Moneda 2 3 4 3 2 2 2" xfId="1259" xr:uid="{00000000-0005-0000-0000-0000DE040000}"/>
    <cellStyle name="Moneda 2 3 4 3 2 2 3" xfId="1260" xr:uid="{00000000-0005-0000-0000-0000DF040000}"/>
    <cellStyle name="Moneda 2 3 4 3 2 3" xfId="1261" xr:uid="{00000000-0005-0000-0000-0000E0040000}"/>
    <cellStyle name="Moneda 2 3 4 3 2 4" xfId="1262" xr:uid="{00000000-0005-0000-0000-0000E1040000}"/>
    <cellStyle name="Moneda 2 3 4 3 3" xfId="1263" xr:uid="{00000000-0005-0000-0000-0000E2040000}"/>
    <cellStyle name="Moneda 2 3 4 3 3 2" xfId="1264" xr:uid="{00000000-0005-0000-0000-0000E3040000}"/>
    <cellStyle name="Moneda 2 3 4 3 3 2 2" xfId="1265" xr:uid="{00000000-0005-0000-0000-0000E4040000}"/>
    <cellStyle name="Moneda 2 3 4 3 3 3" xfId="1266" xr:uid="{00000000-0005-0000-0000-0000E5040000}"/>
    <cellStyle name="Moneda 2 3 4 3 4" xfId="1267" xr:uid="{00000000-0005-0000-0000-0000E6040000}"/>
    <cellStyle name="Moneda 2 3 4 3 4 2" xfId="1268" xr:uid="{00000000-0005-0000-0000-0000E7040000}"/>
    <cellStyle name="Moneda 2 3 4 3 4 3" xfId="1269" xr:uid="{00000000-0005-0000-0000-0000E8040000}"/>
    <cellStyle name="Moneda 2 3 4 3 5" xfId="1270" xr:uid="{00000000-0005-0000-0000-0000E9040000}"/>
    <cellStyle name="Moneda 2 3 4 3 6" xfId="1271" xr:uid="{00000000-0005-0000-0000-0000EA040000}"/>
    <cellStyle name="Moneda 2 3 4 4" xfId="1272" xr:uid="{00000000-0005-0000-0000-0000EB040000}"/>
    <cellStyle name="Moneda 2 3 4 4 2" xfId="1273" xr:uid="{00000000-0005-0000-0000-0000EC040000}"/>
    <cellStyle name="Moneda 2 3 4 4 2 2" xfId="1274" xr:uid="{00000000-0005-0000-0000-0000ED040000}"/>
    <cellStyle name="Moneda 2 3 4 4 2 2 2" xfId="1275" xr:uid="{00000000-0005-0000-0000-0000EE040000}"/>
    <cellStyle name="Moneda 2 3 4 4 2 3" xfId="1276" xr:uid="{00000000-0005-0000-0000-0000EF040000}"/>
    <cellStyle name="Moneda 2 3 4 4 2 4" xfId="1277" xr:uid="{00000000-0005-0000-0000-0000F0040000}"/>
    <cellStyle name="Moneda 2 3 4 4 3" xfId="1278" xr:uid="{00000000-0005-0000-0000-0000F1040000}"/>
    <cellStyle name="Moneda 2 3 4 4 3 2" xfId="1279" xr:uid="{00000000-0005-0000-0000-0000F2040000}"/>
    <cellStyle name="Moneda 2 3 4 4 4" xfId="1280" xr:uid="{00000000-0005-0000-0000-0000F3040000}"/>
    <cellStyle name="Moneda 2 3 4 4 5" xfId="1281" xr:uid="{00000000-0005-0000-0000-0000F4040000}"/>
    <cellStyle name="Moneda 2 3 4 5" xfId="1282" xr:uid="{00000000-0005-0000-0000-0000F5040000}"/>
    <cellStyle name="Moneda 2 3 4 5 2" xfId="1283" xr:uid="{00000000-0005-0000-0000-0000F6040000}"/>
    <cellStyle name="Moneda 2 3 4 5 2 2" xfId="1284" xr:uid="{00000000-0005-0000-0000-0000F7040000}"/>
    <cellStyle name="Moneda 2 3 4 5 2 3" xfId="1285" xr:uid="{00000000-0005-0000-0000-0000F8040000}"/>
    <cellStyle name="Moneda 2 3 4 5 3" xfId="1286" xr:uid="{00000000-0005-0000-0000-0000F9040000}"/>
    <cellStyle name="Moneda 2 3 4 5 4" xfId="1287" xr:uid="{00000000-0005-0000-0000-0000FA040000}"/>
    <cellStyle name="Moneda 2 3 4 6" xfId="1288" xr:uid="{00000000-0005-0000-0000-0000FB040000}"/>
    <cellStyle name="Moneda 2 3 4 6 2" xfId="1289" xr:uid="{00000000-0005-0000-0000-0000FC040000}"/>
    <cellStyle name="Moneda 2 3 4 6 2 2" xfId="1290" xr:uid="{00000000-0005-0000-0000-0000FD040000}"/>
    <cellStyle name="Moneda 2 3 4 6 3" xfId="1291" xr:uid="{00000000-0005-0000-0000-0000FE040000}"/>
    <cellStyle name="Moneda 2 3 4 7" xfId="1292" xr:uid="{00000000-0005-0000-0000-0000FF040000}"/>
    <cellStyle name="Moneda 2 3 4 7 2" xfId="1293" xr:uid="{00000000-0005-0000-0000-000000050000}"/>
    <cellStyle name="Moneda 2 3 4 8" xfId="1294" xr:uid="{00000000-0005-0000-0000-000001050000}"/>
    <cellStyle name="Moneda 2 3 5" xfId="1295" xr:uid="{00000000-0005-0000-0000-000002050000}"/>
    <cellStyle name="Moneda 2 3 5 2" xfId="1296" xr:uid="{00000000-0005-0000-0000-000003050000}"/>
    <cellStyle name="Moneda 2 3 5 2 2" xfId="1297" xr:uid="{00000000-0005-0000-0000-000004050000}"/>
    <cellStyle name="Moneda 2 3 5 2 2 2" xfId="1298" xr:uid="{00000000-0005-0000-0000-000005050000}"/>
    <cellStyle name="Moneda 2 3 5 2 2 2 2" xfId="1299" xr:uid="{00000000-0005-0000-0000-000006050000}"/>
    <cellStyle name="Moneda 2 3 5 2 2 2 3" xfId="1300" xr:uid="{00000000-0005-0000-0000-000007050000}"/>
    <cellStyle name="Moneda 2 3 5 2 2 3" xfId="1301" xr:uid="{00000000-0005-0000-0000-000008050000}"/>
    <cellStyle name="Moneda 2 3 5 2 2 3 2" xfId="1302" xr:uid="{00000000-0005-0000-0000-000009050000}"/>
    <cellStyle name="Moneda 2 3 5 2 2 4" xfId="1303" xr:uid="{00000000-0005-0000-0000-00000A050000}"/>
    <cellStyle name="Moneda 2 3 5 2 2 4 2" xfId="1304" xr:uid="{00000000-0005-0000-0000-00000B050000}"/>
    <cellStyle name="Moneda 2 3 5 2 2 5" xfId="1305" xr:uid="{00000000-0005-0000-0000-00000C050000}"/>
    <cellStyle name="Moneda 2 3 5 2 2 6" xfId="1306" xr:uid="{00000000-0005-0000-0000-00000D050000}"/>
    <cellStyle name="Moneda 2 3 5 2 3" xfId="1307" xr:uid="{00000000-0005-0000-0000-00000E050000}"/>
    <cellStyle name="Moneda 2 3 5 2 3 2" xfId="1308" xr:uid="{00000000-0005-0000-0000-00000F050000}"/>
    <cellStyle name="Moneda 2 3 5 2 3 3" xfId="1309" xr:uid="{00000000-0005-0000-0000-000010050000}"/>
    <cellStyle name="Moneda 2 3 5 2 4" xfId="1310" xr:uid="{00000000-0005-0000-0000-000011050000}"/>
    <cellStyle name="Moneda 2 3 5 2 4 2" xfId="1311" xr:uid="{00000000-0005-0000-0000-000012050000}"/>
    <cellStyle name="Moneda 2 3 5 2 5" xfId="1312" xr:uid="{00000000-0005-0000-0000-000013050000}"/>
    <cellStyle name="Moneda 2 3 5 2 5 2" xfId="1313" xr:uid="{00000000-0005-0000-0000-000014050000}"/>
    <cellStyle name="Moneda 2 3 5 2 6" xfId="1314" xr:uid="{00000000-0005-0000-0000-000015050000}"/>
    <cellStyle name="Moneda 2 3 5 2 7" xfId="1315" xr:uid="{00000000-0005-0000-0000-000016050000}"/>
    <cellStyle name="Moneda 2 3 5 3" xfId="1316" xr:uid="{00000000-0005-0000-0000-000017050000}"/>
    <cellStyle name="Moneda 2 3 5 3 2" xfId="1317" xr:uid="{00000000-0005-0000-0000-000018050000}"/>
    <cellStyle name="Moneda 2 3 5 3 2 2" xfId="1318" xr:uid="{00000000-0005-0000-0000-000019050000}"/>
    <cellStyle name="Moneda 2 3 5 3 2 3" xfId="1319" xr:uid="{00000000-0005-0000-0000-00001A050000}"/>
    <cellStyle name="Moneda 2 3 5 3 3" xfId="1320" xr:uid="{00000000-0005-0000-0000-00001B050000}"/>
    <cellStyle name="Moneda 2 3 5 3 3 2" xfId="1321" xr:uid="{00000000-0005-0000-0000-00001C050000}"/>
    <cellStyle name="Moneda 2 3 5 3 4" xfId="1322" xr:uid="{00000000-0005-0000-0000-00001D050000}"/>
    <cellStyle name="Moneda 2 3 5 3 4 2" xfId="1323" xr:uid="{00000000-0005-0000-0000-00001E050000}"/>
    <cellStyle name="Moneda 2 3 5 3 5" xfId="1324" xr:uid="{00000000-0005-0000-0000-00001F050000}"/>
    <cellStyle name="Moneda 2 3 5 3 6" xfId="1325" xr:uid="{00000000-0005-0000-0000-000020050000}"/>
    <cellStyle name="Moneda 2 3 5 4" xfId="1326" xr:uid="{00000000-0005-0000-0000-000021050000}"/>
    <cellStyle name="Moneda 2 3 5 4 2" xfId="1327" xr:uid="{00000000-0005-0000-0000-000022050000}"/>
    <cellStyle name="Moneda 2 3 5 4 3" xfId="1328" xr:uid="{00000000-0005-0000-0000-000023050000}"/>
    <cellStyle name="Moneda 2 3 5 5" xfId="1329" xr:uid="{00000000-0005-0000-0000-000024050000}"/>
    <cellStyle name="Moneda 2 3 5 5 2" xfId="1330" xr:uid="{00000000-0005-0000-0000-000025050000}"/>
    <cellStyle name="Moneda 2 3 5 6" xfId="1331" xr:uid="{00000000-0005-0000-0000-000026050000}"/>
    <cellStyle name="Moneda 2 3 5 6 2" xfId="1332" xr:uid="{00000000-0005-0000-0000-000027050000}"/>
    <cellStyle name="Moneda 2 3 5 7" xfId="1333" xr:uid="{00000000-0005-0000-0000-000028050000}"/>
    <cellStyle name="Moneda 2 3 5 8" xfId="1334" xr:uid="{00000000-0005-0000-0000-000029050000}"/>
    <cellStyle name="Moneda 2 3 6" xfId="1335" xr:uid="{00000000-0005-0000-0000-00002A050000}"/>
    <cellStyle name="Moneda 2 3 6 2" xfId="1336" xr:uid="{00000000-0005-0000-0000-00002B050000}"/>
    <cellStyle name="Moneda 2 3 6 2 2" xfId="1337" xr:uid="{00000000-0005-0000-0000-00002C050000}"/>
    <cellStyle name="Moneda 2 3 6 2 2 2" xfId="1338" xr:uid="{00000000-0005-0000-0000-00002D050000}"/>
    <cellStyle name="Moneda 2 3 6 2 2 2 2" xfId="1339" xr:uid="{00000000-0005-0000-0000-00002E050000}"/>
    <cellStyle name="Moneda 2 3 6 2 2 3" xfId="1340" xr:uid="{00000000-0005-0000-0000-00002F050000}"/>
    <cellStyle name="Moneda 2 3 6 2 3" xfId="1341" xr:uid="{00000000-0005-0000-0000-000030050000}"/>
    <cellStyle name="Moneda 2 3 6 2 3 2" xfId="1342" xr:uid="{00000000-0005-0000-0000-000031050000}"/>
    <cellStyle name="Moneda 2 3 6 2 3 3" xfId="1343" xr:uid="{00000000-0005-0000-0000-000032050000}"/>
    <cellStyle name="Moneda 2 3 6 2 4" xfId="1344" xr:uid="{00000000-0005-0000-0000-000033050000}"/>
    <cellStyle name="Moneda 2 3 6 2 4 2" xfId="1345" xr:uid="{00000000-0005-0000-0000-000034050000}"/>
    <cellStyle name="Moneda 2 3 6 2 5" xfId="1346" xr:uid="{00000000-0005-0000-0000-000035050000}"/>
    <cellStyle name="Moneda 2 3 6 2 6" xfId="1347" xr:uid="{00000000-0005-0000-0000-000036050000}"/>
    <cellStyle name="Moneda 2 3 6 3" xfId="1348" xr:uid="{00000000-0005-0000-0000-000037050000}"/>
    <cellStyle name="Moneda 2 3 6 3 2" xfId="1349" xr:uid="{00000000-0005-0000-0000-000038050000}"/>
    <cellStyle name="Moneda 2 3 6 3 2 2" xfId="1350" xr:uid="{00000000-0005-0000-0000-000039050000}"/>
    <cellStyle name="Moneda 2 3 6 3 3" xfId="1351" xr:uid="{00000000-0005-0000-0000-00003A050000}"/>
    <cellStyle name="Moneda 2 3 6 4" xfId="1352" xr:uid="{00000000-0005-0000-0000-00003B050000}"/>
    <cellStyle name="Moneda 2 3 6 4 2" xfId="1353" xr:uid="{00000000-0005-0000-0000-00003C050000}"/>
    <cellStyle name="Moneda 2 3 6 4 3" xfId="1354" xr:uid="{00000000-0005-0000-0000-00003D050000}"/>
    <cellStyle name="Moneda 2 3 6 5" xfId="1355" xr:uid="{00000000-0005-0000-0000-00003E050000}"/>
    <cellStyle name="Moneda 2 3 6 5 2" xfId="1356" xr:uid="{00000000-0005-0000-0000-00003F050000}"/>
    <cellStyle name="Moneda 2 3 6 6" xfId="1357" xr:uid="{00000000-0005-0000-0000-000040050000}"/>
    <cellStyle name="Moneda 2 3 6 7" xfId="1358" xr:uid="{00000000-0005-0000-0000-000041050000}"/>
    <cellStyle name="Moneda 2 3 7" xfId="1359" xr:uid="{00000000-0005-0000-0000-000042050000}"/>
    <cellStyle name="Moneda 2 3 7 2" xfId="1360" xr:uid="{00000000-0005-0000-0000-000043050000}"/>
    <cellStyle name="Moneda 2 3 7 2 2" xfId="1361" xr:uid="{00000000-0005-0000-0000-000044050000}"/>
    <cellStyle name="Moneda 2 3 7 2 2 2" xfId="1362" xr:uid="{00000000-0005-0000-0000-000045050000}"/>
    <cellStyle name="Moneda 2 3 7 2 2 3" xfId="1363" xr:uid="{00000000-0005-0000-0000-000046050000}"/>
    <cellStyle name="Moneda 2 3 7 2 3" xfId="1364" xr:uid="{00000000-0005-0000-0000-000047050000}"/>
    <cellStyle name="Moneda 2 3 7 2 4" xfId="1365" xr:uid="{00000000-0005-0000-0000-000048050000}"/>
    <cellStyle name="Moneda 2 3 7 3" xfId="1366" xr:uid="{00000000-0005-0000-0000-000049050000}"/>
    <cellStyle name="Moneda 2 3 7 3 2" xfId="1367" xr:uid="{00000000-0005-0000-0000-00004A050000}"/>
    <cellStyle name="Moneda 2 3 7 3 2 2" xfId="1368" xr:uid="{00000000-0005-0000-0000-00004B050000}"/>
    <cellStyle name="Moneda 2 3 7 3 3" xfId="1369" xr:uid="{00000000-0005-0000-0000-00004C050000}"/>
    <cellStyle name="Moneda 2 3 7 4" xfId="1370" xr:uid="{00000000-0005-0000-0000-00004D050000}"/>
    <cellStyle name="Moneda 2 3 7 4 2" xfId="1371" xr:uid="{00000000-0005-0000-0000-00004E050000}"/>
    <cellStyle name="Moneda 2 3 7 4 3" xfId="1372" xr:uid="{00000000-0005-0000-0000-00004F050000}"/>
    <cellStyle name="Moneda 2 3 7 5" xfId="1373" xr:uid="{00000000-0005-0000-0000-000050050000}"/>
    <cellStyle name="Moneda 2 3 7 6" xfId="1374" xr:uid="{00000000-0005-0000-0000-000051050000}"/>
    <cellStyle name="Moneda 2 3 8" xfId="1375" xr:uid="{00000000-0005-0000-0000-000052050000}"/>
    <cellStyle name="Moneda 2 3 8 2" xfId="1376" xr:uid="{00000000-0005-0000-0000-000053050000}"/>
    <cellStyle name="Moneda 2 3 8 2 2" xfId="1377" xr:uid="{00000000-0005-0000-0000-000054050000}"/>
    <cellStyle name="Moneda 2 3 8 2 3" xfId="1378" xr:uid="{00000000-0005-0000-0000-000055050000}"/>
    <cellStyle name="Moneda 2 3 8 3" xfId="1379" xr:uid="{00000000-0005-0000-0000-000056050000}"/>
    <cellStyle name="Moneda 2 3 8 4" xfId="1380" xr:uid="{00000000-0005-0000-0000-000057050000}"/>
    <cellStyle name="Moneda 2 3 9" xfId="1381" xr:uid="{00000000-0005-0000-0000-000058050000}"/>
    <cellStyle name="Moneda 2 3 9 2" xfId="1382" xr:uid="{00000000-0005-0000-0000-000059050000}"/>
    <cellStyle name="Moneda 2 3 9 2 2" xfId="1383" xr:uid="{00000000-0005-0000-0000-00005A050000}"/>
    <cellStyle name="Moneda 2 3 9 3" xfId="1384" xr:uid="{00000000-0005-0000-0000-00005B050000}"/>
    <cellStyle name="Moneda 2 4" xfId="1385" xr:uid="{00000000-0005-0000-0000-00005C050000}"/>
    <cellStyle name="Moneda 2 4 2" xfId="1386" xr:uid="{00000000-0005-0000-0000-00005D050000}"/>
    <cellStyle name="Moneda 2 5" xfId="1387" xr:uid="{00000000-0005-0000-0000-00005E050000}"/>
    <cellStyle name="Moneda 2 5 2" xfId="1388" xr:uid="{00000000-0005-0000-0000-00005F050000}"/>
    <cellStyle name="Moneda 2 5 2 2" xfId="1389" xr:uid="{00000000-0005-0000-0000-000060050000}"/>
    <cellStyle name="Moneda 2 5 3" xfId="1390" xr:uid="{00000000-0005-0000-0000-000061050000}"/>
    <cellStyle name="Moneda 2 5 3 2" xfId="1391" xr:uid="{00000000-0005-0000-0000-000062050000}"/>
    <cellStyle name="Moneda 2 5 4" xfId="1392" xr:uid="{00000000-0005-0000-0000-000063050000}"/>
    <cellStyle name="Moneda 2 5 4 2" xfId="1393" xr:uid="{00000000-0005-0000-0000-000064050000}"/>
    <cellStyle name="Moneda 2 5 5" xfId="1394" xr:uid="{00000000-0005-0000-0000-000065050000}"/>
    <cellStyle name="Moneda 2 6" xfId="1395" xr:uid="{00000000-0005-0000-0000-000066050000}"/>
    <cellStyle name="Moneda 20" xfId="1396" xr:uid="{00000000-0005-0000-0000-000067050000}"/>
    <cellStyle name="Moneda 20 2" xfId="1397" xr:uid="{00000000-0005-0000-0000-000068050000}"/>
    <cellStyle name="Moneda 20 2 2" xfId="1398" xr:uid="{00000000-0005-0000-0000-000069050000}"/>
    <cellStyle name="Moneda 20 2 2 2" xfId="1399" xr:uid="{00000000-0005-0000-0000-00006A050000}"/>
    <cellStyle name="Moneda 20 2 2 2 2" xfId="1400" xr:uid="{00000000-0005-0000-0000-00006B050000}"/>
    <cellStyle name="Moneda 20 2 2 3" xfId="1401" xr:uid="{00000000-0005-0000-0000-00006C050000}"/>
    <cellStyle name="Moneda 20 2 2 3 2" xfId="1402" xr:uid="{00000000-0005-0000-0000-00006D050000}"/>
    <cellStyle name="Moneda 20 2 2 4" xfId="1403" xr:uid="{00000000-0005-0000-0000-00006E050000}"/>
    <cellStyle name="Moneda 20 2 2 4 2" xfId="1404" xr:uid="{00000000-0005-0000-0000-00006F050000}"/>
    <cellStyle name="Moneda 20 2 2 5" xfId="1405" xr:uid="{00000000-0005-0000-0000-000070050000}"/>
    <cellStyle name="Moneda 20 2 3" xfId="1406" xr:uid="{00000000-0005-0000-0000-000071050000}"/>
    <cellStyle name="Moneda 20 2 3 2" xfId="1407" xr:uid="{00000000-0005-0000-0000-000072050000}"/>
    <cellStyle name="Moneda 20 2 4" xfId="1408" xr:uid="{00000000-0005-0000-0000-000073050000}"/>
    <cellStyle name="Moneda 20 2 4 2" xfId="1409" xr:uid="{00000000-0005-0000-0000-000074050000}"/>
    <cellStyle name="Moneda 20 2 5" xfId="1410" xr:uid="{00000000-0005-0000-0000-000075050000}"/>
    <cellStyle name="Moneda 20 2 5 2" xfId="1411" xr:uid="{00000000-0005-0000-0000-000076050000}"/>
    <cellStyle name="Moneda 20 2 6" xfId="1412" xr:uid="{00000000-0005-0000-0000-000077050000}"/>
    <cellStyle name="Moneda 20 2 7" xfId="1413" xr:uid="{00000000-0005-0000-0000-000078050000}"/>
    <cellStyle name="Moneda 20 3" xfId="1414" xr:uid="{00000000-0005-0000-0000-000079050000}"/>
    <cellStyle name="Moneda 20 3 2" xfId="1415" xr:uid="{00000000-0005-0000-0000-00007A050000}"/>
    <cellStyle name="Moneda 20 3 2 2" xfId="1416" xr:uid="{00000000-0005-0000-0000-00007B050000}"/>
    <cellStyle name="Moneda 20 3 3" xfId="1417" xr:uid="{00000000-0005-0000-0000-00007C050000}"/>
    <cellStyle name="Moneda 20 3 3 2" xfId="1418" xr:uid="{00000000-0005-0000-0000-00007D050000}"/>
    <cellStyle name="Moneda 20 3 4" xfId="1419" xr:uid="{00000000-0005-0000-0000-00007E050000}"/>
    <cellStyle name="Moneda 20 3 4 2" xfId="1420" xr:uid="{00000000-0005-0000-0000-00007F050000}"/>
    <cellStyle name="Moneda 20 3 5" xfId="1421" xr:uid="{00000000-0005-0000-0000-000080050000}"/>
    <cellStyle name="Moneda 20 4" xfId="1422" xr:uid="{00000000-0005-0000-0000-000081050000}"/>
    <cellStyle name="Moneda 20 4 2" xfId="1423" xr:uid="{00000000-0005-0000-0000-000082050000}"/>
    <cellStyle name="Moneda 20 5" xfId="1424" xr:uid="{00000000-0005-0000-0000-000083050000}"/>
    <cellStyle name="Moneda 20 5 2" xfId="1425" xr:uid="{00000000-0005-0000-0000-000084050000}"/>
    <cellStyle name="Moneda 20 6" xfId="1426" xr:uid="{00000000-0005-0000-0000-000085050000}"/>
    <cellStyle name="Moneda 20 6 2" xfId="1427" xr:uid="{00000000-0005-0000-0000-000086050000}"/>
    <cellStyle name="Moneda 20 7" xfId="1428" xr:uid="{00000000-0005-0000-0000-000087050000}"/>
    <cellStyle name="Moneda 20 8" xfId="1429" xr:uid="{00000000-0005-0000-0000-000088050000}"/>
    <cellStyle name="Moneda 21" xfId="1430" xr:uid="{00000000-0005-0000-0000-000089050000}"/>
    <cellStyle name="Moneda 21 2" xfId="1431" xr:uid="{00000000-0005-0000-0000-00008A050000}"/>
    <cellStyle name="Moneda 21 2 2" xfId="1432" xr:uid="{00000000-0005-0000-0000-00008B050000}"/>
    <cellStyle name="Moneda 21 2 2 2" xfId="1433" xr:uid="{00000000-0005-0000-0000-00008C050000}"/>
    <cellStyle name="Moneda 21 2 2 2 2" xfId="1434" xr:uid="{00000000-0005-0000-0000-00008D050000}"/>
    <cellStyle name="Moneda 21 2 2 3" xfId="1435" xr:uid="{00000000-0005-0000-0000-00008E050000}"/>
    <cellStyle name="Moneda 21 2 2 3 2" xfId="1436" xr:uid="{00000000-0005-0000-0000-00008F050000}"/>
    <cellStyle name="Moneda 21 2 2 4" xfId="1437" xr:uid="{00000000-0005-0000-0000-000090050000}"/>
    <cellStyle name="Moneda 21 2 2 4 2" xfId="1438" xr:uid="{00000000-0005-0000-0000-000091050000}"/>
    <cellStyle name="Moneda 21 2 2 5" xfId="1439" xr:uid="{00000000-0005-0000-0000-000092050000}"/>
    <cellStyle name="Moneda 21 2 3" xfId="1440" xr:uid="{00000000-0005-0000-0000-000093050000}"/>
    <cellStyle name="Moneda 21 2 3 2" xfId="1441" xr:uid="{00000000-0005-0000-0000-000094050000}"/>
    <cellStyle name="Moneda 21 2 4" xfId="1442" xr:uid="{00000000-0005-0000-0000-000095050000}"/>
    <cellStyle name="Moneda 21 2 4 2" xfId="1443" xr:uid="{00000000-0005-0000-0000-000096050000}"/>
    <cellStyle name="Moneda 21 2 5" xfId="1444" xr:uid="{00000000-0005-0000-0000-000097050000}"/>
    <cellStyle name="Moneda 21 2 5 2" xfId="1445" xr:uid="{00000000-0005-0000-0000-000098050000}"/>
    <cellStyle name="Moneda 21 2 6" xfId="1446" xr:uid="{00000000-0005-0000-0000-000099050000}"/>
    <cellStyle name="Moneda 21 2 7" xfId="1447" xr:uid="{00000000-0005-0000-0000-00009A050000}"/>
    <cellStyle name="Moneda 21 3" xfId="1448" xr:uid="{00000000-0005-0000-0000-00009B050000}"/>
    <cellStyle name="Moneda 21 3 2" xfId="1449" xr:uid="{00000000-0005-0000-0000-00009C050000}"/>
    <cellStyle name="Moneda 21 3 2 2" xfId="1450" xr:uid="{00000000-0005-0000-0000-00009D050000}"/>
    <cellStyle name="Moneda 21 3 3" xfId="1451" xr:uid="{00000000-0005-0000-0000-00009E050000}"/>
    <cellStyle name="Moneda 21 3 3 2" xfId="1452" xr:uid="{00000000-0005-0000-0000-00009F050000}"/>
    <cellStyle name="Moneda 21 3 4" xfId="1453" xr:uid="{00000000-0005-0000-0000-0000A0050000}"/>
    <cellStyle name="Moneda 21 3 4 2" xfId="1454" xr:uid="{00000000-0005-0000-0000-0000A1050000}"/>
    <cellStyle name="Moneda 21 3 5" xfId="1455" xr:uid="{00000000-0005-0000-0000-0000A2050000}"/>
    <cellStyle name="Moneda 21 4" xfId="1456" xr:uid="{00000000-0005-0000-0000-0000A3050000}"/>
    <cellStyle name="Moneda 21 4 2" xfId="1457" xr:uid="{00000000-0005-0000-0000-0000A4050000}"/>
    <cellStyle name="Moneda 21 5" xfId="1458" xr:uid="{00000000-0005-0000-0000-0000A5050000}"/>
    <cellStyle name="Moneda 21 5 2" xfId="1459" xr:uid="{00000000-0005-0000-0000-0000A6050000}"/>
    <cellStyle name="Moneda 21 6" xfId="1460" xr:uid="{00000000-0005-0000-0000-0000A7050000}"/>
    <cellStyle name="Moneda 21 6 2" xfId="1461" xr:uid="{00000000-0005-0000-0000-0000A8050000}"/>
    <cellStyle name="Moneda 21 7" xfId="1462" xr:uid="{00000000-0005-0000-0000-0000A9050000}"/>
    <cellStyle name="Moneda 21 8" xfId="1463" xr:uid="{00000000-0005-0000-0000-0000AA050000}"/>
    <cellStyle name="Moneda 22" xfId="1464" xr:uid="{00000000-0005-0000-0000-0000AB050000}"/>
    <cellStyle name="Moneda 22 2" xfId="1465" xr:uid="{00000000-0005-0000-0000-0000AC050000}"/>
    <cellStyle name="Moneda 22 2 2" xfId="1466" xr:uid="{00000000-0005-0000-0000-0000AD050000}"/>
    <cellStyle name="Moneda 22 2 2 2" xfId="1467" xr:uid="{00000000-0005-0000-0000-0000AE050000}"/>
    <cellStyle name="Moneda 22 2 2 2 2" xfId="1468" xr:uid="{00000000-0005-0000-0000-0000AF050000}"/>
    <cellStyle name="Moneda 22 2 2 3" xfId="1469" xr:uid="{00000000-0005-0000-0000-0000B0050000}"/>
    <cellStyle name="Moneda 22 2 2 3 2" xfId="1470" xr:uid="{00000000-0005-0000-0000-0000B1050000}"/>
    <cellStyle name="Moneda 22 2 2 4" xfId="1471" xr:uid="{00000000-0005-0000-0000-0000B2050000}"/>
    <cellStyle name="Moneda 22 2 2 4 2" xfId="1472" xr:uid="{00000000-0005-0000-0000-0000B3050000}"/>
    <cellStyle name="Moneda 22 2 2 5" xfId="1473" xr:uid="{00000000-0005-0000-0000-0000B4050000}"/>
    <cellStyle name="Moneda 22 2 3" xfId="1474" xr:uid="{00000000-0005-0000-0000-0000B5050000}"/>
    <cellStyle name="Moneda 22 2 3 2" xfId="1475" xr:uid="{00000000-0005-0000-0000-0000B6050000}"/>
    <cellStyle name="Moneda 22 2 4" xfId="1476" xr:uid="{00000000-0005-0000-0000-0000B7050000}"/>
    <cellStyle name="Moneda 22 2 4 2" xfId="1477" xr:uid="{00000000-0005-0000-0000-0000B8050000}"/>
    <cellStyle name="Moneda 22 2 5" xfId="1478" xr:uid="{00000000-0005-0000-0000-0000B9050000}"/>
    <cellStyle name="Moneda 22 2 5 2" xfId="1479" xr:uid="{00000000-0005-0000-0000-0000BA050000}"/>
    <cellStyle name="Moneda 22 2 6" xfId="1480" xr:uid="{00000000-0005-0000-0000-0000BB050000}"/>
    <cellStyle name="Moneda 22 3" xfId="1481" xr:uid="{00000000-0005-0000-0000-0000BC050000}"/>
    <cellStyle name="Moneda 22 3 2" xfId="1482" xr:uid="{00000000-0005-0000-0000-0000BD050000}"/>
    <cellStyle name="Moneda 22 3 2 2" xfId="1483" xr:uid="{00000000-0005-0000-0000-0000BE050000}"/>
    <cellStyle name="Moneda 22 3 3" xfId="1484" xr:uid="{00000000-0005-0000-0000-0000BF050000}"/>
    <cellStyle name="Moneda 22 3 3 2" xfId="1485" xr:uid="{00000000-0005-0000-0000-0000C0050000}"/>
    <cellStyle name="Moneda 22 3 4" xfId="1486" xr:uid="{00000000-0005-0000-0000-0000C1050000}"/>
    <cellStyle name="Moneda 22 3 4 2" xfId="1487" xr:uid="{00000000-0005-0000-0000-0000C2050000}"/>
    <cellStyle name="Moneda 22 3 5" xfId="1488" xr:uid="{00000000-0005-0000-0000-0000C3050000}"/>
    <cellStyle name="Moneda 22 4" xfId="1489" xr:uid="{00000000-0005-0000-0000-0000C4050000}"/>
    <cellStyle name="Moneda 22 4 2" xfId="1490" xr:uid="{00000000-0005-0000-0000-0000C5050000}"/>
    <cellStyle name="Moneda 22 5" xfId="1491" xr:uid="{00000000-0005-0000-0000-0000C6050000}"/>
    <cellStyle name="Moneda 22 5 2" xfId="1492" xr:uid="{00000000-0005-0000-0000-0000C7050000}"/>
    <cellStyle name="Moneda 22 6" xfId="1493" xr:uid="{00000000-0005-0000-0000-0000C8050000}"/>
    <cellStyle name="Moneda 22 6 2" xfId="1494" xr:uid="{00000000-0005-0000-0000-0000C9050000}"/>
    <cellStyle name="Moneda 22 7" xfId="1495" xr:uid="{00000000-0005-0000-0000-0000CA050000}"/>
    <cellStyle name="Moneda 22 8" xfId="1496" xr:uid="{00000000-0005-0000-0000-0000CB050000}"/>
    <cellStyle name="Moneda 23" xfId="1497" xr:uid="{00000000-0005-0000-0000-0000CC050000}"/>
    <cellStyle name="Moneda 23 2" xfId="1498" xr:uid="{00000000-0005-0000-0000-0000CD050000}"/>
    <cellStyle name="Moneda 23 2 2" xfId="1499" xr:uid="{00000000-0005-0000-0000-0000CE050000}"/>
    <cellStyle name="Moneda 23 2 2 2" xfId="1500" xr:uid="{00000000-0005-0000-0000-0000CF050000}"/>
    <cellStyle name="Moneda 23 2 3" xfId="1501" xr:uid="{00000000-0005-0000-0000-0000D0050000}"/>
    <cellStyle name="Moneda 23 2 3 2" xfId="1502" xr:uid="{00000000-0005-0000-0000-0000D1050000}"/>
    <cellStyle name="Moneda 23 2 4" xfId="1503" xr:uid="{00000000-0005-0000-0000-0000D2050000}"/>
    <cellStyle name="Moneda 23 2 4 2" xfId="1504" xr:uid="{00000000-0005-0000-0000-0000D3050000}"/>
    <cellStyle name="Moneda 23 2 5" xfId="1505" xr:uid="{00000000-0005-0000-0000-0000D4050000}"/>
    <cellStyle name="Moneda 23 3" xfId="1506" xr:uid="{00000000-0005-0000-0000-0000D5050000}"/>
    <cellStyle name="Moneda 23 3 2" xfId="1507" xr:uid="{00000000-0005-0000-0000-0000D6050000}"/>
    <cellStyle name="Moneda 23 4" xfId="1508" xr:uid="{00000000-0005-0000-0000-0000D7050000}"/>
    <cellStyle name="Moneda 23 4 2" xfId="1509" xr:uid="{00000000-0005-0000-0000-0000D8050000}"/>
    <cellStyle name="Moneda 23 5" xfId="1510" xr:uid="{00000000-0005-0000-0000-0000D9050000}"/>
    <cellStyle name="Moneda 23 5 2" xfId="1511" xr:uid="{00000000-0005-0000-0000-0000DA050000}"/>
    <cellStyle name="Moneda 23 6" xfId="1512" xr:uid="{00000000-0005-0000-0000-0000DB050000}"/>
    <cellStyle name="Moneda 23 7" xfId="1513" xr:uid="{00000000-0005-0000-0000-0000DC050000}"/>
    <cellStyle name="Moneda 24" xfId="1514" xr:uid="{00000000-0005-0000-0000-0000DD050000}"/>
    <cellStyle name="Moneda 24 2" xfId="1515" xr:uid="{00000000-0005-0000-0000-0000DE050000}"/>
    <cellStyle name="Moneda 24 2 2" xfId="1516" xr:uid="{00000000-0005-0000-0000-0000DF050000}"/>
    <cellStyle name="Moneda 24 2 2 2" xfId="1517" xr:uid="{00000000-0005-0000-0000-0000E0050000}"/>
    <cellStyle name="Moneda 24 2 3" xfId="1518" xr:uid="{00000000-0005-0000-0000-0000E1050000}"/>
    <cellStyle name="Moneda 24 2 3 2" xfId="1519" xr:uid="{00000000-0005-0000-0000-0000E2050000}"/>
    <cellStyle name="Moneda 24 2 4" xfId="1520" xr:uid="{00000000-0005-0000-0000-0000E3050000}"/>
    <cellStyle name="Moneda 24 2 4 2" xfId="1521" xr:uid="{00000000-0005-0000-0000-0000E4050000}"/>
    <cellStyle name="Moneda 24 2 5" xfId="1522" xr:uid="{00000000-0005-0000-0000-0000E5050000}"/>
    <cellStyle name="Moneda 24 3" xfId="1523" xr:uid="{00000000-0005-0000-0000-0000E6050000}"/>
    <cellStyle name="Moneda 24 3 2" xfId="1524" xr:uid="{00000000-0005-0000-0000-0000E7050000}"/>
    <cellStyle name="Moneda 24 4" xfId="1525" xr:uid="{00000000-0005-0000-0000-0000E8050000}"/>
    <cellStyle name="Moneda 24 4 2" xfId="1526" xr:uid="{00000000-0005-0000-0000-0000E9050000}"/>
    <cellStyle name="Moneda 24 5" xfId="1527" xr:uid="{00000000-0005-0000-0000-0000EA050000}"/>
    <cellStyle name="Moneda 24 5 2" xfId="1528" xr:uid="{00000000-0005-0000-0000-0000EB050000}"/>
    <cellStyle name="Moneda 24 6" xfId="1529" xr:uid="{00000000-0005-0000-0000-0000EC050000}"/>
    <cellStyle name="Moneda 24 7" xfId="1530" xr:uid="{00000000-0005-0000-0000-0000ED050000}"/>
    <cellStyle name="Moneda 25" xfId="1531" xr:uid="{00000000-0005-0000-0000-0000EE050000}"/>
    <cellStyle name="Moneda 25 2" xfId="1532" xr:uid="{00000000-0005-0000-0000-0000EF050000}"/>
    <cellStyle name="Moneda 25 2 2" xfId="1533" xr:uid="{00000000-0005-0000-0000-0000F0050000}"/>
    <cellStyle name="Moneda 25 3" xfId="1534" xr:uid="{00000000-0005-0000-0000-0000F1050000}"/>
    <cellStyle name="Moneda 25 3 2" xfId="1535" xr:uid="{00000000-0005-0000-0000-0000F2050000}"/>
    <cellStyle name="Moneda 25 4" xfId="1536" xr:uid="{00000000-0005-0000-0000-0000F3050000}"/>
    <cellStyle name="Moneda 25 4 2" xfId="1537" xr:uid="{00000000-0005-0000-0000-0000F4050000}"/>
    <cellStyle name="Moneda 25 5" xfId="1538" xr:uid="{00000000-0005-0000-0000-0000F5050000}"/>
    <cellStyle name="Moneda 26" xfId="1539" xr:uid="{00000000-0005-0000-0000-0000F6050000}"/>
    <cellStyle name="Moneda 26 2" xfId="1540" xr:uid="{00000000-0005-0000-0000-0000F7050000}"/>
    <cellStyle name="Moneda 26 2 2" xfId="1541" xr:uid="{00000000-0005-0000-0000-0000F8050000}"/>
    <cellStyle name="Moneda 26 3" xfId="1542" xr:uid="{00000000-0005-0000-0000-0000F9050000}"/>
    <cellStyle name="Moneda 26 3 2" xfId="1543" xr:uid="{00000000-0005-0000-0000-0000FA050000}"/>
    <cellStyle name="Moneda 26 4" xfId="1544" xr:uid="{00000000-0005-0000-0000-0000FB050000}"/>
    <cellStyle name="Moneda 26 4 2" xfId="1545" xr:uid="{00000000-0005-0000-0000-0000FC050000}"/>
    <cellStyle name="Moneda 26 5" xfId="1546" xr:uid="{00000000-0005-0000-0000-0000FD050000}"/>
    <cellStyle name="Moneda 27" xfId="1547" xr:uid="{00000000-0005-0000-0000-0000FE050000}"/>
    <cellStyle name="Moneda 27 2" xfId="1548" xr:uid="{00000000-0005-0000-0000-0000FF050000}"/>
    <cellStyle name="Moneda 27 2 2" xfId="1549" xr:uid="{00000000-0005-0000-0000-000000060000}"/>
    <cellStyle name="Moneda 27 3" xfId="1550" xr:uid="{00000000-0005-0000-0000-000001060000}"/>
    <cellStyle name="Moneda 27 3 2" xfId="1551" xr:uid="{00000000-0005-0000-0000-000002060000}"/>
    <cellStyle name="Moneda 27 4" xfId="1552" xr:uid="{00000000-0005-0000-0000-000003060000}"/>
    <cellStyle name="Moneda 27 4 2" xfId="1553" xr:uid="{00000000-0005-0000-0000-000004060000}"/>
    <cellStyle name="Moneda 27 5" xfId="1554" xr:uid="{00000000-0005-0000-0000-000005060000}"/>
    <cellStyle name="Moneda 28" xfId="1555" xr:uid="{00000000-0005-0000-0000-000006060000}"/>
    <cellStyle name="Moneda 28 2" xfId="1556" xr:uid="{00000000-0005-0000-0000-000007060000}"/>
    <cellStyle name="Moneda 28 2 2" xfId="1557" xr:uid="{00000000-0005-0000-0000-000008060000}"/>
    <cellStyle name="Moneda 28 3" xfId="1558" xr:uid="{00000000-0005-0000-0000-000009060000}"/>
    <cellStyle name="Moneda 28 3 2" xfId="1559" xr:uid="{00000000-0005-0000-0000-00000A060000}"/>
    <cellStyle name="Moneda 28 4" xfId="1560" xr:uid="{00000000-0005-0000-0000-00000B060000}"/>
    <cellStyle name="Moneda 28 4 2" xfId="1561" xr:uid="{00000000-0005-0000-0000-00000C060000}"/>
    <cellStyle name="Moneda 28 5" xfId="1562" xr:uid="{00000000-0005-0000-0000-00000D060000}"/>
    <cellStyle name="Moneda 29" xfId="1563" xr:uid="{00000000-0005-0000-0000-00000E060000}"/>
    <cellStyle name="Moneda 29 2" xfId="1564" xr:uid="{00000000-0005-0000-0000-00000F060000}"/>
    <cellStyle name="Moneda 29 2 2" xfId="1565" xr:uid="{00000000-0005-0000-0000-000010060000}"/>
    <cellStyle name="Moneda 29 3" xfId="1566" xr:uid="{00000000-0005-0000-0000-000011060000}"/>
    <cellStyle name="Moneda 29 3 2" xfId="1567" xr:uid="{00000000-0005-0000-0000-000012060000}"/>
    <cellStyle name="Moneda 29 4" xfId="1568" xr:uid="{00000000-0005-0000-0000-000013060000}"/>
    <cellStyle name="Moneda 29 4 2" xfId="1569" xr:uid="{00000000-0005-0000-0000-000014060000}"/>
    <cellStyle name="Moneda 29 5" xfId="1570" xr:uid="{00000000-0005-0000-0000-000015060000}"/>
    <cellStyle name="Moneda 3" xfId="14" xr:uid="{00000000-0005-0000-0000-000016060000}"/>
    <cellStyle name="Moneda 3 10" xfId="1571" xr:uid="{00000000-0005-0000-0000-000017060000}"/>
    <cellStyle name="Moneda 3 10 2" xfId="1572" xr:uid="{00000000-0005-0000-0000-000018060000}"/>
    <cellStyle name="Moneda 3 10 2 2" xfId="1573" xr:uid="{00000000-0005-0000-0000-000019060000}"/>
    <cellStyle name="Moneda 3 10 3" xfId="1574" xr:uid="{00000000-0005-0000-0000-00001A060000}"/>
    <cellStyle name="Moneda 3 10 3 2" xfId="1575" xr:uid="{00000000-0005-0000-0000-00001B060000}"/>
    <cellStyle name="Moneda 3 10 4" xfId="1576" xr:uid="{00000000-0005-0000-0000-00001C060000}"/>
    <cellStyle name="Moneda 3 10 4 2" xfId="1577" xr:uid="{00000000-0005-0000-0000-00001D060000}"/>
    <cellStyle name="Moneda 3 10 5" xfId="1578" xr:uid="{00000000-0005-0000-0000-00001E060000}"/>
    <cellStyle name="Moneda 3 11" xfId="1579" xr:uid="{00000000-0005-0000-0000-00001F060000}"/>
    <cellStyle name="Moneda 3 11 2" xfId="1580" xr:uid="{00000000-0005-0000-0000-000020060000}"/>
    <cellStyle name="Moneda 3 12" xfId="1581" xr:uid="{00000000-0005-0000-0000-000021060000}"/>
    <cellStyle name="Moneda 3 12 2" xfId="1582" xr:uid="{00000000-0005-0000-0000-000022060000}"/>
    <cellStyle name="Moneda 3 13" xfId="1583" xr:uid="{00000000-0005-0000-0000-000023060000}"/>
    <cellStyle name="Moneda 3 13 2" xfId="1584" xr:uid="{00000000-0005-0000-0000-000024060000}"/>
    <cellStyle name="Moneda 3 14" xfId="1585" xr:uid="{00000000-0005-0000-0000-000025060000}"/>
    <cellStyle name="Moneda 3 14 2" xfId="1586" xr:uid="{00000000-0005-0000-0000-000026060000}"/>
    <cellStyle name="Moneda 3 15" xfId="1587" xr:uid="{00000000-0005-0000-0000-000027060000}"/>
    <cellStyle name="Moneda 3 15 2" xfId="1588" xr:uid="{00000000-0005-0000-0000-000028060000}"/>
    <cellStyle name="Moneda 3 15 3" xfId="1589" xr:uid="{00000000-0005-0000-0000-000029060000}"/>
    <cellStyle name="Moneda 3 16" xfId="1590" xr:uid="{00000000-0005-0000-0000-00002A060000}"/>
    <cellStyle name="Moneda 3 2" xfId="1591" xr:uid="{00000000-0005-0000-0000-00002B060000}"/>
    <cellStyle name="Moneda 3 2 10" xfId="1592" xr:uid="{00000000-0005-0000-0000-00002C060000}"/>
    <cellStyle name="Moneda 3 2 10 2" xfId="1593" xr:uid="{00000000-0005-0000-0000-00002D060000}"/>
    <cellStyle name="Moneda 3 2 11" xfId="1594" xr:uid="{00000000-0005-0000-0000-00002E060000}"/>
    <cellStyle name="Moneda 3 2 2" xfId="1595" xr:uid="{00000000-0005-0000-0000-00002F060000}"/>
    <cellStyle name="Moneda 3 2 2 2" xfId="1596" xr:uid="{00000000-0005-0000-0000-000030060000}"/>
    <cellStyle name="Moneda 3 2 2 2 2" xfId="1597" xr:uid="{00000000-0005-0000-0000-000031060000}"/>
    <cellStyle name="Moneda 3 2 2 2 2 2" xfId="1598" xr:uid="{00000000-0005-0000-0000-000032060000}"/>
    <cellStyle name="Moneda 3 2 2 2 2 2 2" xfId="1599" xr:uid="{00000000-0005-0000-0000-000033060000}"/>
    <cellStyle name="Moneda 3 2 2 2 2 3" xfId="1600" xr:uid="{00000000-0005-0000-0000-000034060000}"/>
    <cellStyle name="Moneda 3 2 2 2 2 3 2" xfId="1601" xr:uid="{00000000-0005-0000-0000-000035060000}"/>
    <cellStyle name="Moneda 3 2 2 2 2 4" xfId="1602" xr:uid="{00000000-0005-0000-0000-000036060000}"/>
    <cellStyle name="Moneda 3 2 2 2 2 4 2" xfId="1603" xr:uid="{00000000-0005-0000-0000-000037060000}"/>
    <cellStyle name="Moneda 3 2 2 2 2 5" xfId="1604" xr:uid="{00000000-0005-0000-0000-000038060000}"/>
    <cellStyle name="Moneda 3 2 2 2 3" xfId="1605" xr:uid="{00000000-0005-0000-0000-000039060000}"/>
    <cellStyle name="Moneda 3 2 2 2 3 2" xfId="1606" xr:uid="{00000000-0005-0000-0000-00003A060000}"/>
    <cellStyle name="Moneda 3 2 2 2 4" xfId="1607" xr:uid="{00000000-0005-0000-0000-00003B060000}"/>
    <cellStyle name="Moneda 3 2 2 2 4 2" xfId="1608" xr:uid="{00000000-0005-0000-0000-00003C060000}"/>
    <cellStyle name="Moneda 3 2 2 2 5" xfId="1609" xr:uid="{00000000-0005-0000-0000-00003D060000}"/>
    <cellStyle name="Moneda 3 2 2 2 5 2" xfId="1610" xr:uid="{00000000-0005-0000-0000-00003E060000}"/>
    <cellStyle name="Moneda 3 2 2 2 6" xfId="1611" xr:uid="{00000000-0005-0000-0000-00003F060000}"/>
    <cellStyle name="Moneda 3 2 2 3" xfId="1612" xr:uid="{00000000-0005-0000-0000-000040060000}"/>
    <cellStyle name="Moneda 3 2 2 3 2" xfId="1613" xr:uid="{00000000-0005-0000-0000-000041060000}"/>
    <cellStyle name="Moneda 3 2 2 3 2 2" xfId="1614" xr:uid="{00000000-0005-0000-0000-000042060000}"/>
    <cellStyle name="Moneda 3 2 2 3 2 2 2" xfId="1615" xr:uid="{00000000-0005-0000-0000-000043060000}"/>
    <cellStyle name="Moneda 3 2 2 3 2 3" xfId="1616" xr:uid="{00000000-0005-0000-0000-000044060000}"/>
    <cellStyle name="Moneda 3 2 2 3 3" xfId="1617" xr:uid="{00000000-0005-0000-0000-000045060000}"/>
    <cellStyle name="Moneda 3 2 2 3 3 2" xfId="1618" xr:uid="{00000000-0005-0000-0000-000046060000}"/>
    <cellStyle name="Moneda 3 2 2 3 4" xfId="1619" xr:uid="{00000000-0005-0000-0000-000047060000}"/>
    <cellStyle name="Moneda 3 2 2 3 4 2" xfId="1620" xr:uid="{00000000-0005-0000-0000-000048060000}"/>
    <cellStyle name="Moneda 3 2 2 3 5" xfId="1621" xr:uid="{00000000-0005-0000-0000-000049060000}"/>
    <cellStyle name="Moneda 3 2 2 4" xfId="1622" xr:uid="{00000000-0005-0000-0000-00004A060000}"/>
    <cellStyle name="Moneda 3 2 2 4 2" xfId="1623" xr:uid="{00000000-0005-0000-0000-00004B060000}"/>
    <cellStyle name="Moneda 3 2 2 4 2 2" xfId="1624" xr:uid="{00000000-0005-0000-0000-00004C060000}"/>
    <cellStyle name="Moneda 3 2 2 4 2 2 2" xfId="1625" xr:uid="{00000000-0005-0000-0000-00004D060000}"/>
    <cellStyle name="Moneda 3 2 2 4 2 3" xfId="1626" xr:uid="{00000000-0005-0000-0000-00004E060000}"/>
    <cellStyle name="Moneda 3 2 2 4 3" xfId="1627" xr:uid="{00000000-0005-0000-0000-00004F060000}"/>
    <cellStyle name="Moneda 3 2 2 4 3 2" xfId="1628" xr:uid="{00000000-0005-0000-0000-000050060000}"/>
    <cellStyle name="Moneda 3 2 2 4 4" xfId="1629" xr:uid="{00000000-0005-0000-0000-000051060000}"/>
    <cellStyle name="Moneda 3 2 2 5" xfId="1630" xr:uid="{00000000-0005-0000-0000-000052060000}"/>
    <cellStyle name="Moneda 3 2 2 5 2" xfId="1631" xr:uid="{00000000-0005-0000-0000-000053060000}"/>
    <cellStyle name="Moneda 3 2 2 5 2 2" xfId="1632" xr:uid="{00000000-0005-0000-0000-000054060000}"/>
    <cellStyle name="Moneda 3 2 2 5 3" xfId="1633" xr:uid="{00000000-0005-0000-0000-000055060000}"/>
    <cellStyle name="Moneda 3 2 2 6" xfId="1634" xr:uid="{00000000-0005-0000-0000-000056060000}"/>
    <cellStyle name="Moneda 3 2 2 6 2" xfId="1635" xr:uid="{00000000-0005-0000-0000-000057060000}"/>
    <cellStyle name="Moneda 3 2 2 7" xfId="1636" xr:uid="{00000000-0005-0000-0000-000058060000}"/>
    <cellStyle name="Moneda 3 2 3" xfId="1637" xr:uid="{00000000-0005-0000-0000-000059060000}"/>
    <cellStyle name="Moneda 3 2 3 2" xfId="1638" xr:uid="{00000000-0005-0000-0000-00005A060000}"/>
    <cellStyle name="Moneda 3 2 3 2 2" xfId="1639" xr:uid="{00000000-0005-0000-0000-00005B060000}"/>
    <cellStyle name="Moneda 3 2 3 2 2 2" xfId="1640" xr:uid="{00000000-0005-0000-0000-00005C060000}"/>
    <cellStyle name="Moneda 3 2 3 2 2 2 2" xfId="1641" xr:uid="{00000000-0005-0000-0000-00005D060000}"/>
    <cellStyle name="Moneda 3 2 3 2 2 3" xfId="1642" xr:uid="{00000000-0005-0000-0000-00005E060000}"/>
    <cellStyle name="Moneda 3 2 3 2 2 3 2" xfId="1643" xr:uid="{00000000-0005-0000-0000-00005F060000}"/>
    <cellStyle name="Moneda 3 2 3 2 2 4" xfId="1644" xr:uid="{00000000-0005-0000-0000-000060060000}"/>
    <cellStyle name="Moneda 3 2 3 2 2 4 2" xfId="1645" xr:uid="{00000000-0005-0000-0000-000061060000}"/>
    <cellStyle name="Moneda 3 2 3 2 2 5" xfId="1646" xr:uid="{00000000-0005-0000-0000-000062060000}"/>
    <cellStyle name="Moneda 3 2 3 2 3" xfId="1647" xr:uid="{00000000-0005-0000-0000-000063060000}"/>
    <cellStyle name="Moneda 3 2 3 2 3 2" xfId="1648" xr:uid="{00000000-0005-0000-0000-000064060000}"/>
    <cellStyle name="Moneda 3 2 3 2 4" xfId="1649" xr:uid="{00000000-0005-0000-0000-000065060000}"/>
    <cellStyle name="Moneda 3 2 3 2 4 2" xfId="1650" xr:uid="{00000000-0005-0000-0000-000066060000}"/>
    <cellStyle name="Moneda 3 2 3 2 5" xfId="1651" xr:uid="{00000000-0005-0000-0000-000067060000}"/>
    <cellStyle name="Moneda 3 2 3 2 5 2" xfId="1652" xr:uid="{00000000-0005-0000-0000-000068060000}"/>
    <cellStyle name="Moneda 3 2 3 2 6" xfId="1653" xr:uid="{00000000-0005-0000-0000-000069060000}"/>
    <cellStyle name="Moneda 3 2 3 3" xfId="1654" xr:uid="{00000000-0005-0000-0000-00006A060000}"/>
    <cellStyle name="Moneda 3 2 3 3 2" xfId="1655" xr:uid="{00000000-0005-0000-0000-00006B060000}"/>
    <cellStyle name="Moneda 3 2 3 3 2 2" xfId="1656" xr:uid="{00000000-0005-0000-0000-00006C060000}"/>
    <cellStyle name="Moneda 3 2 3 3 3" xfId="1657" xr:uid="{00000000-0005-0000-0000-00006D060000}"/>
    <cellStyle name="Moneda 3 2 3 3 3 2" xfId="1658" xr:uid="{00000000-0005-0000-0000-00006E060000}"/>
    <cellStyle name="Moneda 3 2 3 3 4" xfId="1659" xr:uid="{00000000-0005-0000-0000-00006F060000}"/>
    <cellStyle name="Moneda 3 2 3 3 4 2" xfId="1660" xr:uid="{00000000-0005-0000-0000-000070060000}"/>
    <cellStyle name="Moneda 3 2 3 3 5" xfId="1661" xr:uid="{00000000-0005-0000-0000-000071060000}"/>
    <cellStyle name="Moneda 3 2 3 4" xfId="1662" xr:uid="{00000000-0005-0000-0000-000072060000}"/>
    <cellStyle name="Moneda 3 2 3 4 2" xfId="1663" xr:uid="{00000000-0005-0000-0000-000073060000}"/>
    <cellStyle name="Moneda 3 2 3 5" xfId="1664" xr:uid="{00000000-0005-0000-0000-000074060000}"/>
    <cellStyle name="Moneda 3 2 3 5 2" xfId="1665" xr:uid="{00000000-0005-0000-0000-000075060000}"/>
    <cellStyle name="Moneda 3 2 3 6" xfId="1666" xr:uid="{00000000-0005-0000-0000-000076060000}"/>
    <cellStyle name="Moneda 3 2 3 6 2" xfId="1667" xr:uid="{00000000-0005-0000-0000-000077060000}"/>
    <cellStyle name="Moneda 3 2 3 7" xfId="1668" xr:uid="{00000000-0005-0000-0000-000078060000}"/>
    <cellStyle name="Moneda 3 2 4" xfId="1669" xr:uid="{00000000-0005-0000-0000-000079060000}"/>
    <cellStyle name="Moneda 3 2 4 2" xfId="1670" xr:uid="{00000000-0005-0000-0000-00007A060000}"/>
    <cellStyle name="Moneda 3 2 4 2 2" xfId="1671" xr:uid="{00000000-0005-0000-0000-00007B060000}"/>
    <cellStyle name="Moneda 3 2 4 2 2 2" xfId="1672" xr:uid="{00000000-0005-0000-0000-00007C060000}"/>
    <cellStyle name="Moneda 3 2 4 2 2 2 2" xfId="1673" xr:uid="{00000000-0005-0000-0000-00007D060000}"/>
    <cellStyle name="Moneda 3 2 4 2 2 3" xfId="1674" xr:uid="{00000000-0005-0000-0000-00007E060000}"/>
    <cellStyle name="Moneda 3 2 4 2 2 3 2" xfId="1675" xr:uid="{00000000-0005-0000-0000-00007F060000}"/>
    <cellStyle name="Moneda 3 2 4 2 2 4" xfId="1676" xr:uid="{00000000-0005-0000-0000-000080060000}"/>
    <cellStyle name="Moneda 3 2 4 2 2 4 2" xfId="1677" xr:uid="{00000000-0005-0000-0000-000081060000}"/>
    <cellStyle name="Moneda 3 2 4 2 2 5" xfId="1678" xr:uid="{00000000-0005-0000-0000-000082060000}"/>
    <cellStyle name="Moneda 3 2 4 2 3" xfId="1679" xr:uid="{00000000-0005-0000-0000-000083060000}"/>
    <cellStyle name="Moneda 3 2 4 2 3 2" xfId="1680" xr:uid="{00000000-0005-0000-0000-000084060000}"/>
    <cellStyle name="Moneda 3 2 4 2 4" xfId="1681" xr:uid="{00000000-0005-0000-0000-000085060000}"/>
    <cellStyle name="Moneda 3 2 4 2 4 2" xfId="1682" xr:uid="{00000000-0005-0000-0000-000086060000}"/>
    <cellStyle name="Moneda 3 2 4 2 5" xfId="1683" xr:uid="{00000000-0005-0000-0000-000087060000}"/>
    <cellStyle name="Moneda 3 2 4 2 5 2" xfId="1684" xr:uid="{00000000-0005-0000-0000-000088060000}"/>
    <cellStyle name="Moneda 3 2 4 2 6" xfId="1685" xr:uid="{00000000-0005-0000-0000-000089060000}"/>
    <cellStyle name="Moneda 3 2 4 3" xfId="1686" xr:uid="{00000000-0005-0000-0000-00008A060000}"/>
    <cellStyle name="Moneda 3 2 4 3 2" xfId="1687" xr:uid="{00000000-0005-0000-0000-00008B060000}"/>
    <cellStyle name="Moneda 3 2 4 3 2 2" xfId="1688" xr:uid="{00000000-0005-0000-0000-00008C060000}"/>
    <cellStyle name="Moneda 3 2 4 3 3" xfId="1689" xr:uid="{00000000-0005-0000-0000-00008D060000}"/>
    <cellStyle name="Moneda 3 2 4 3 3 2" xfId="1690" xr:uid="{00000000-0005-0000-0000-00008E060000}"/>
    <cellStyle name="Moneda 3 2 4 3 4" xfId="1691" xr:uid="{00000000-0005-0000-0000-00008F060000}"/>
    <cellStyle name="Moneda 3 2 4 3 4 2" xfId="1692" xr:uid="{00000000-0005-0000-0000-000090060000}"/>
    <cellStyle name="Moneda 3 2 4 3 5" xfId="1693" xr:uid="{00000000-0005-0000-0000-000091060000}"/>
    <cellStyle name="Moneda 3 2 4 4" xfId="1694" xr:uid="{00000000-0005-0000-0000-000092060000}"/>
    <cellStyle name="Moneda 3 2 4 4 2" xfId="1695" xr:uid="{00000000-0005-0000-0000-000093060000}"/>
    <cellStyle name="Moneda 3 2 4 5" xfId="1696" xr:uid="{00000000-0005-0000-0000-000094060000}"/>
    <cellStyle name="Moneda 3 2 4 5 2" xfId="1697" xr:uid="{00000000-0005-0000-0000-000095060000}"/>
    <cellStyle name="Moneda 3 2 4 6" xfId="1698" xr:uid="{00000000-0005-0000-0000-000096060000}"/>
    <cellStyle name="Moneda 3 2 4 6 2" xfId="1699" xr:uid="{00000000-0005-0000-0000-000097060000}"/>
    <cellStyle name="Moneda 3 2 4 7" xfId="1700" xr:uid="{00000000-0005-0000-0000-000098060000}"/>
    <cellStyle name="Moneda 3 2 5" xfId="1701" xr:uid="{00000000-0005-0000-0000-000099060000}"/>
    <cellStyle name="Moneda 3 2 5 2" xfId="1702" xr:uid="{00000000-0005-0000-0000-00009A060000}"/>
    <cellStyle name="Moneda 3 2 5 2 2" xfId="1703" xr:uid="{00000000-0005-0000-0000-00009B060000}"/>
    <cellStyle name="Moneda 3 2 5 2 2 2" xfId="1704" xr:uid="{00000000-0005-0000-0000-00009C060000}"/>
    <cellStyle name="Moneda 3 2 5 2 3" xfId="1705" xr:uid="{00000000-0005-0000-0000-00009D060000}"/>
    <cellStyle name="Moneda 3 2 5 2 3 2" xfId="1706" xr:uid="{00000000-0005-0000-0000-00009E060000}"/>
    <cellStyle name="Moneda 3 2 5 2 4" xfId="1707" xr:uid="{00000000-0005-0000-0000-00009F060000}"/>
    <cellStyle name="Moneda 3 2 5 2 4 2" xfId="1708" xr:uid="{00000000-0005-0000-0000-0000A0060000}"/>
    <cellStyle name="Moneda 3 2 5 2 5" xfId="1709" xr:uid="{00000000-0005-0000-0000-0000A1060000}"/>
    <cellStyle name="Moneda 3 2 5 3" xfId="1710" xr:uid="{00000000-0005-0000-0000-0000A2060000}"/>
    <cellStyle name="Moneda 3 2 5 3 2" xfId="1711" xr:uid="{00000000-0005-0000-0000-0000A3060000}"/>
    <cellStyle name="Moneda 3 2 5 4" xfId="1712" xr:uid="{00000000-0005-0000-0000-0000A4060000}"/>
    <cellStyle name="Moneda 3 2 5 4 2" xfId="1713" xr:uid="{00000000-0005-0000-0000-0000A5060000}"/>
    <cellStyle name="Moneda 3 2 5 5" xfId="1714" xr:uid="{00000000-0005-0000-0000-0000A6060000}"/>
    <cellStyle name="Moneda 3 2 5 5 2" xfId="1715" xr:uid="{00000000-0005-0000-0000-0000A7060000}"/>
    <cellStyle name="Moneda 3 2 5 6" xfId="1716" xr:uid="{00000000-0005-0000-0000-0000A8060000}"/>
    <cellStyle name="Moneda 3 2 6" xfId="1717" xr:uid="{00000000-0005-0000-0000-0000A9060000}"/>
    <cellStyle name="Moneda 3 2 6 2" xfId="1718" xr:uid="{00000000-0005-0000-0000-0000AA060000}"/>
    <cellStyle name="Moneda 3 2 6 2 2" xfId="1719" xr:uid="{00000000-0005-0000-0000-0000AB060000}"/>
    <cellStyle name="Moneda 3 2 6 2 3" xfId="1720" xr:uid="{00000000-0005-0000-0000-0000AC060000}"/>
    <cellStyle name="Moneda 3 2 6 3" xfId="1721" xr:uid="{00000000-0005-0000-0000-0000AD060000}"/>
    <cellStyle name="Moneda 3 2 6 4" xfId="1722" xr:uid="{00000000-0005-0000-0000-0000AE060000}"/>
    <cellStyle name="Moneda 3 2 7" xfId="1723" xr:uid="{00000000-0005-0000-0000-0000AF060000}"/>
    <cellStyle name="Moneda 3 2 7 2" xfId="1724" xr:uid="{00000000-0005-0000-0000-0000B0060000}"/>
    <cellStyle name="Moneda 3 2 7 2 2" xfId="1725" xr:uid="{00000000-0005-0000-0000-0000B1060000}"/>
    <cellStyle name="Moneda 3 2 7 3" xfId="1726" xr:uid="{00000000-0005-0000-0000-0000B2060000}"/>
    <cellStyle name="Moneda 3 2 7 3 2" xfId="1727" xr:uid="{00000000-0005-0000-0000-0000B3060000}"/>
    <cellStyle name="Moneda 3 2 7 4" xfId="1728" xr:uid="{00000000-0005-0000-0000-0000B4060000}"/>
    <cellStyle name="Moneda 3 2 7 4 2" xfId="1729" xr:uid="{00000000-0005-0000-0000-0000B5060000}"/>
    <cellStyle name="Moneda 3 2 7 5" xfId="1730" xr:uid="{00000000-0005-0000-0000-0000B6060000}"/>
    <cellStyle name="Moneda 3 2 8" xfId="1731" xr:uid="{00000000-0005-0000-0000-0000B7060000}"/>
    <cellStyle name="Moneda 3 2 8 2" xfId="1732" xr:uid="{00000000-0005-0000-0000-0000B8060000}"/>
    <cellStyle name="Moneda 3 2 8 3" xfId="1733" xr:uid="{00000000-0005-0000-0000-0000B9060000}"/>
    <cellStyle name="Moneda 3 2 9" xfId="1734" xr:uid="{00000000-0005-0000-0000-0000BA060000}"/>
    <cellStyle name="Moneda 3 2 9 2" xfId="1735" xr:uid="{00000000-0005-0000-0000-0000BB060000}"/>
    <cellStyle name="Moneda 3 3" xfId="1736" xr:uid="{00000000-0005-0000-0000-0000BC060000}"/>
    <cellStyle name="Moneda 3 3 2" xfId="1737" xr:uid="{00000000-0005-0000-0000-0000BD060000}"/>
    <cellStyle name="Moneda 3 3 2 2" xfId="1738" xr:uid="{00000000-0005-0000-0000-0000BE060000}"/>
    <cellStyle name="Moneda 3 3 2 2 2" xfId="1739" xr:uid="{00000000-0005-0000-0000-0000BF060000}"/>
    <cellStyle name="Moneda 3 3 2 2 2 2" xfId="1740" xr:uid="{00000000-0005-0000-0000-0000C0060000}"/>
    <cellStyle name="Moneda 3 3 2 2 3" xfId="1741" xr:uid="{00000000-0005-0000-0000-0000C1060000}"/>
    <cellStyle name="Moneda 3 3 2 2 3 2" xfId="1742" xr:uid="{00000000-0005-0000-0000-0000C2060000}"/>
    <cellStyle name="Moneda 3 3 2 2 4" xfId="1743" xr:uid="{00000000-0005-0000-0000-0000C3060000}"/>
    <cellStyle name="Moneda 3 3 2 2 4 2" xfId="1744" xr:uid="{00000000-0005-0000-0000-0000C4060000}"/>
    <cellStyle name="Moneda 3 3 2 2 5" xfId="1745" xr:uid="{00000000-0005-0000-0000-0000C5060000}"/>
    <cellStyle name="Moneda 3 3 2 3" xfId="1746" xr:uid="{00000000-0005-0000-0000-0000C6060000}"/>
    <cellStyle name="Moneda 3 3 2 3 2" xfId="1747" xr:uid="{00000000-0005-0000-0000-0000C7060000}"/>
    <cellStyle name="Moneda 3 3 2 4" xfId="1748" xr:uid="{00000000-0005-0000-0000-0000C8060000}"/>
    <cellStyle name="Moneda 3 3 2 4 2" xfId="1749" xr:uid="{00000000-0005-0000-0000-0000C9060000}"/>
    <cellStyle name="Moneda 3 3 2 5" xfId="1750" xr:uid="{00000000-0005-0000-0000-0000CA060000}"/>
    <cellStyle name="Moneda 3 3 2 5 2" xfId="1751" xr:uid="{00000000-0005-0000-0000-0000CB060000}"/>
    <cellStyle name="Moneda 3 3 2 6" xfId="1752" xr:uid="{00000000-0005-0000-0000-0000CC060000}"/>
    <cellStyle name="Moneda 3 3 2 7" xfId="1753" xr:uid="{00000000-0005-0000-0000-0000CD060000}"/>
    <cellStyle name="Moneda 3 3 3" xfId="1754" xr:uid="{00000000-0005-0000-0000-0000CE060000}"/>
    <cellStyle name="Moneda 3 3 3 2" xfId="1755" xr:uid="{00000000-0005-0000-0000-0000CF060000}"/>
    <cellStyle name="Moneda 3 3 3 2 2" xfId="1756" xr:uid="{00000000-0005-0000-0000-0000D0060000}"/>
    <cellStyle name="Moneda 3 3 3 3" xfId="1757" xr:uid="{00000000-0005-0000-0000-0000D1060000}"/>
    <cellStyle name="Moneda 3 3 3 3 2" xfId="1758" xr:uid="{00000000-0005-0000-0000-0000D2060000}"/>
    <cellStyle name="Moneda 3 3 3 4" xfId="1759" xr:uid="{00000000-0005-0000-0000-0000D3060000}"/>
    <cellStyle name="Moneda 3 3 3 4 2" xfId="1760" xr:uid="{00000000-0005-0000-0000-0000D4060000}"/>
    <cellStyle name="Moneda 3 3 3 5" xfId="1761" xr:uid="{00000000-0005-0000-0000-0000D5060000}"/>
    <cellStyle name="Moneda 3 3 4" xfId="1762" xr:uid="{00000000-0005-0000-0000-0000D6060000}"/>
    <cellStyle name="Moneda 3 3 4 2" xfId="1763" xr:uid="{00000000-0005-0000-0000-0000D7060000}"/>
    <cellStyle name="Moneda 3 3 5" xfId="1764" xr:uid="{00000000-0005-0000-0000-0000D8060000}"/>
    <cellStyle name="Moneda 3 3 5 2" xfId="1765" xr:uid="{00000000-0005-0000-0000-0000D9060000}"/>
    <cellStyle name="Moneda 3 3 6" xfId="1766" xr:uid="{00000000-0005-0000-0000-0000DA060000}"/>
    <cellStyle name="Moneda 3 3 6 2" xfId="1767" xr:uid="{00000000-0005-0000-0000-0000DB060000}"/>
    <cellStyle name="Moneda 3 3 7" xfId="1768" xr:uid="{00000000-0005-0000-0000-0000DC060000}"/>
    <cellStyle name="Moneda 3 3 8" xfId="1769" xr:uid="{00000000-0005-0000-0000-0000DD060000}"/>
    <cellStyle name="Moneda 3 4" xfId="1770" xr:uid="{00000000-0005-0000-0000-0000DE060000}"/>
    <cellStyle name="Moneda 3 4 2" xfId="1771" xr:uid="{00000000-0005-0000-0000-0000DF060000}"/>
    <cellStyle name="Moneda 3 4 2 2" xfId="1772" xr:uid="{00000000-0005-0000-0000-0000E0060000}"/>
    <cellStyle name="Moneda 3 4 2 2 2" xfId="1773" xr:uid="{00000000-0005-0000-0000-0000E1060000}"/>
    <cellStyle name="Moneda 3 4 2 2 2 2" xfId="1774" xr:uid="{00000000-0005-0000-0000-0000E2060000}"/>
    <cellStyle name="Moneda 3 4 2 2 3" xfId="1775" xr:uid="{00000000-0005-0000-0000-0000E3060000}"/>
    <cellStyle name="Moneda 3 4 2 2 3 2" xfId="1776" xr:uid="{00000000-0005-0000-0000-0000E4060000}"/>
    <cellStyle name="Moneda 3 4 2 2 4" xfId="1777" xr:uid="{00000000-0005-0000-0000-0000E5060000}"/>
    <cellStyle name="Moneda 3 4 2 2 4 2" xfId="1778" xr:uid="{00000000-0005-0000-0000-0000E6060000}"/>
    <cellStyle name="Moneda 3 4 2 2 5" xfId="1779" xr:uid="{00000000-0005-0000-0000-0000E7060000}"/>
    <cellStyle name="Moneda 3 4 2 3" xfId="1780" xr:uid="{00000000-0005-0000-0000-0000E8060000}"/>
    <cellStyle name="Moneda 3 4 2 3 2" xfId="1781" xr:uid="{00000000-0005-0000-0000-0000E9060000}"/>
    <cellStyle name="Moneda 3 4 2 4" xfId="1782" xr:uid="{00000000-0005-0000-0000-0000EA060000}"/>
    <cellStyle name="Moneda 3 4 2 4 2" xfId="1783" xr:uid="{00000000-0005-0000-0000-0000EB060000}"/>
    <cellStyle name="Moneda 3 4 2 5" xfId="1784" xr:uid="{00000000-0005-0000-0000-0000EC060000}"/>
    <cellStyle name="Moneda 3 4 2 5 2" xfId="1785" xr:uid="{00000000-0005-0000-0000-0000ED060000}"/>
    <cellStyle name="Moneda 3 4 2 6" xfId="1786" xr:uid="{00000000-0005-0000-0000-0000EE060000}"/>
    <cellStyle name="Moneda 3 4 3" xfId="1787" xr:uid="{00000000-0005-0000-0000-0000EF060000}"/>
    <cellStyle name="Moneda 3 4 3 2" xfId="1788" xr:uid="{00000000-0005-0000-0000-0000F0060000}"/>
    <cellStyle name="Moneda 3 4 3 2 2" xfId="1789" xr:uid="{00000000-0005-0000-0000-0000F1060000}"/>
    <cellStyle name="Moneda 3 4 3 3" xfId="1790" xr:uid="{00000000-0005-0000-0000-0000F2060000}"/>
    <cellStyle name="Moneda 3 4 3 3 2" xfId="1791" xr:uid="{00000000-0005-0000-0000-0000F3060000}"/>
    <cellStyle name="Moneda 3 4 3 4" xfId="1792" xr:uid="{00000000-0005-0000-0000-0000F4060000}"/>
    <cellStyle name="Moneda 3 4 3 4 2" xfId="1793" xr:uid="{00000000-0005-0000-0000-0000F5060000}"/>
    <cellStyle name="Moneda 3 4 3 5" xfId="1794" xr:uid="{00000000-0005-0000-0000-0000F6060000}"/>
    <cellStyle name="Moneda 3 4 4" xfId="1795" xr:uid="{00000000-0005-0000-0000-0000F7060000}"/>
    <cellStyle name="Moneda 3 4 4 2" xfId="1796" xr:uid="{00000000-0005-0000-0000-0000F8060000}"/>
    <cellStyle name="Moneda 3 4 5" xfId="1797" xr:uid="{00000000-0005-0000-0000-0000F9060000}"/>
    <cellStyle name="Moneda 3 4 5 2" xfId="1798" xr:uid="{00000000-0005-0000-0000-0000FA060000}"/>
    <cellStyle name="Moneda 3 4 6" xfId="1799" xr:uid="{00000000-0005-0000-0000-0000FB060000}"/>
    <cellStyle name="Moneda 3 4 6 2" xfId="1800" xr:uid="{00000000-0005-0000-0000-0000FC060000}"/>
    <cellStyle name="Moneda 3 4 7" xfId="1801" xr:uid="{00000000-0005-0000-0000-0000FD060000}"/>
    <cellStyle name="Moneda 3 5" xfId="1802" xr:uid="{00000000-0005-0000-0000-0000FE060000}"/>
    <cellStyle name="Moneda 3 5 2" xfId="1803" xr:uid="{00000000-0005-0000-0000-0000FF060000}"/>
    <cellStyle name="Moneda 3 5 2 2" xfId="1804" xr:uid="{00000000-0005-0000-0000-000000070000}"/>
    <cellStyle name="Moneda 3 5 2 2 2" xfId="1805" xr:uid="{00000000-0005-0000-0000-000001070000}"/>
    <cellStyle name="Moneda 3 5 2 2 2 2" xfId="1806" xr:uid="{00000000-0005-0000-0000-000002070000}"/>
    <cellStyle name="Moneda 3 5 2 2 3" xfId="1807" xr:uid="{00000000-0005-0000-0000-000003070000}"/>
    <cellStyle name="Moneda 3 5 2 2 3 2" xfId="1808" xr:uid="{00000000-0005-0000-0000-000004070000}"/>
    <cellStyle name="Moneda 3 5 2 2 4" xfId="1809" xr:uid="{00000000-0005-0000-0000-000005070000}"/>
    <cellStyle name="Moneda 3 5 2 2 4 2" xfId="1810" xr:uid="{00000000-0005-0000-0000-000006070000}"/>
    <cellStyle name="Moneda 3 5 2 2 5" xfId="1811" xr:uid="{00000000-0005-0000-0000-000007070000}"/>
    <cellStyle name="Moneda 3 5 2 3" xfId="1812" xr:uid="{00000000-0005-0000-0000-000008070000}"/>
    <cellStyle name="Moneda 3 5 2 3 2" xfId="1813" xr:uid="{00000000-0005-0000-0000-000009070000}"/>
    <cellStyle name="Moneda 3 5 2 4" xfId="1814" xr:uid="{00000000-0005-0000-0000-00000A070000}"/>
    <cellStyle name="Moneda 3 5 2 4 2" xfId="1815" xr:uid="{00000000-0005-0000-0000-00000B070000}"/>
    <cellStyle name="Moneda 3 5 2 5" xfId="1816" xr:uid="{00000000-0005-0000-0000-00000C070000}"/>
    <cellStyle name="Moneda 3 5 2 5 2" xfId="1817" xr:uid="{00000000-0005-0000-0000-00000D070000}"/>
    <cellStyle name="Moneda 3 5 2 6" xfId="1818" xr:uid="{00000000-0005-0000-0000-00000E070000}"/>
    <cellStyle name="Moneda 3 5 3" xfId="1819" xr:uid="{00000000-0005-0000-0000-00000F070000}"/>
    <cellStyle name="Moneda 3 5 3 2" xfId="1820" xr:uid="{00000000-0005-0000-0000-000010070000}"/>
    <cellStyle name="Moneda 3 5 3 2 2" xfId="1821" xr:uid="{00000000-0005-0000-0000-000011070000}"/>
    <cellStyle name="Moneda 3 5 3 3" xfId="1822" xr:uid="{00000000-0005-0000-0000-000012070000}"/>
    <cellStyle name="Moneda 3 5 3 3 2" xfId="1823" xr:uid="{00000000-0005-0000-0000-000013070000}"/>
    <cellStyle name="Moneda 3 5 3 4" xfId="1824" xr:uid="{00000000-0005-0000-0000-000014070000}"/>
    <cellStyle name="Moneda 3 5 3 4 2" xfId="1825" xr:uid="{00000000-0005-0000-0000-000015070000}"/>
    <cellStyle name="Moneda 3 5 3 5" xfId="1826" xr:uid="{00000000-0005-0000-0000-000016070000}"/>
    <cellStyle name="Moneda 3 5 4" xfId="1827" xr:uid="{00000000-0005-0000-0000-000017070000}"/>
    <cellStyle name="Moneda 3 5 4 2" xfId="1828" xr:uid="{00000000-0005-0000-0000-000018070000}"/>
    <cellStyle name="Moneda 3 5 5" xfId="1829" xr:uid="{00000000-0005-0000-0000-000019070000}"/>
    <cellStyle name="Moneda 3 5 5 2" xfId="1830" xr:uid="{00000000-0005-0000-0000-00001A070000}"/>
    <cellStyle name="Moneda 3 5 6" xfId="1831" xr:uid="{00000000-0005-0000-0000-00001B070000}"/>
    <cellStyle name="Moneda 3 5 6 2" xfId="1832" xr:uid="{00000000-0005-0000-0000-00001C070000}"/>
    <cellStyle name="Moneda 3 5 7" xfId="1833" xr:uid="{00000000-0005-0000-0000-00001D070000}"/>
    <cellStyle name="Moneda 3 5 8" xfId="1834" xr:uid="{00000000-0005-0000-0000-00001E070000}"/>
    <cellStyle name="Moneda 3 6" xfId="1835" xr:uid="{00000000-0005-0000-0000-00001F070000}"/>
    <cellStyle name="Moneda 3 6 2" xfId="1836" xr:uid="{00000000-0005-0000-0000-000020070000}"/>
    <cellStyle name="Moneda 3 6 2 2" xfId="1837" xr:uid="{00000000-0005-0000-0000-000021070000}"/>
    <cellStyle name="Moneda 3 6 2 2 2" xfId="1838" xr:uid="{00000000-0005-0000-0000-000022070000}"/>
    <cellStyle name="Moneda 3 6 2 3" xfId="1839" xr:uid="{00000000-0005-0000-0000-000023070000}"/>
    <cellStyle name="Moneda 3 6 3" xfId="1840" xr:uid="{00000000-0005-0000-0000-000024070000}"/>
    <cellStyle name="Moneda 3 7" xfId="1841" xr:uid="{00000000-0005-0000-0000-000025070000}"/>
    <cellStyle name="Moneda 3 7 2" xfId="1842" xr:uid="{00000000-0005-0000-0000-000026070000}"/>
    <cellStyle name="Moneda 3 7 2 2" xfId="1843" xr:uid="{00000000-0005-0000-0000-000027070000}"/>
    <cellStyle name="Moneda 3 7 3" xfId="1844" xr:uid="{00000000-0005-0000-0000-000028070000}"/>
    <cellStyle name="Moneda 3 8" xfId="1845" xr:uid="{00000000-0005-0000-0000-000029070000}"/>
    <cellStyle name="Moneda 3 8 2" xfId="1846" xr:uid="{00000000-0005-0000-0000-00002A070000}"/>
    <cellStyle name="Moneda 3 8 2 2" xfId="1847" xr:uid="{00000000-0005-0000-0000-00002B070000}"/>
    <cellStyle name="Moneda 3 8 2 2 2" xfId="1848" xr:uid="{00000000-0005-0000-0000-00002C070000}"/>
    <cellStyle name="Moneda 3 8 2 3" xfId="1849" xr:uid="{00000000-0005-0000-0000-00002D070000}"/>
    <cellStyle name="Moneda 3 8 2 3 2" xfId="1850" xr:uid="{00000000-0005-0000-0000-00002E070000}"/>
    <cellStyle name="Moneda 3 8 2 4" xfId="1851" xr:uid="{00000000-0005-0000-0000-00002F070000}"/>
    <cellStyle name="Moneda 3 8 2 4 2" xfId="1852" xr:uid="{00000000-0005-0000-0000-000030070000}"/>
    <cellStyle name="Moneda 3 8 2 5" xfId="1853" xr:uid="{00000000-0005-0000-0000-000031070000}"/>
    <cellStyle name="Moneda 3 8 3" xfId="1854" xr:uid="{00000000-0005-0000-0000-000032070000}"/>
    <cellStyle name="Moneda 3 8 3 2" xfId="1855" xr:uid="{00000000-0005-0000-0000-000033070000}"/>
    <cellStyle name="Moneda 3 8 4" xfId="1856" xr:uid="{00000000-0005-0000-0000-000034070000}"/>
    <cellStyle name="Moneda 3 8 4 2" xfId="1857" xr:uid="{00000000-0005-0000-0000-000035070000}"/>
    <cellStyle name="Moneda 3 8 5" xfId="1858" xr:uid="{00000000-0005-0000-0000-000036070000}"/>
    <cellStyle name="Moneda 3 8 5 2" xfId="1859" xr:uid="{00000000-0005-0000-0000-000037070000}"/>
    <cellStyle name="Moneda 3 8 6" xfId="1860" xr:uid="{00000000-0005-0000-0000-000038070000}"/>
    <cellStyle name="Moneda 3 9" xfId="1861" xr:uid="{00000000-0005-0000-0000-000039070000}"/>
    <cellStyle name="Moneda 3 9 2" xfId="1862" xr:uid="{00000000-0005-0000-0000-00003A070000}"/>
    <cellStyle name="Moneda 30" xfId="1863" xr:uid="{00000000-0005-0000-0000-00003B070000}"/>
    <cellStyle name="Moneda 30 2" xfId="1864" xr:uid="{00000000-0005-0000-0000-00003C070000}"/>
    <cellStyle name="Moneda 30 2 2" xfId="1865" xr:uid="{00000000-0005-0000-0000-00003D070000}"/>
    <cellStyle name="Moneda 30 3" xfId="1866" xr:uid="{00000000-0005-0000-0000-00003E070000}"/>
    <cellStyle name="Moneda 30 3 2" xfId="1867" xr:uid="{00000000-0005-0000-0000-00003F070000}"/>
    <cellStyle name="Moneda 30 4" xfId="1868" xr:uid="{00000000-0005-0000-0000-000040070000}"/>
    <cellStyle name="Moneda 30 4 2" xfId="1869" xr:uid="{00000000-0005-0000-0000-000041070000}"/>
    <cellStyle name="Moneda 30 5" xfId="1870" xr:uid="{00000000-0005-0000-0000-000042070000}"/>
    <cellStyle name="Moneda 31" xfId="1871" xr:uid="{00000000-0005-0000-0000-000043070000}"/>
    <cellStyle name="Moneda 31 2" xfId="1872" xr:uid="{00000000-0005-0000-0000-000044070000}"/>
    <cellStyle name="Moneda 32" xfId="1873" xr:uid="{00000000-0005-0000-0000-000045070000}"/>
    <cellStyle name="Moneda 32 2" xfId="1874" xr:uid="{00000000-0005-0000-0000-000046070000}"/>
    <cellStyle name="Moneda 33" xfId="1875" xr:uid="{00000000-0005-0000-0000-000047070000}"/>
    <cellStyle name="Moneda 33 2" xfId="1876" xr:uid="{00000000-0005-0000-0000-000048070000}"/>
    <cellStyle name="Moneda 34" xfId="1877" xr:uid="{00000000-0005-0000-0000-000049070000}"/>
    <cellStyle name="Moneda 34 2" xfId="1878" xr:uid="{00000000-0005-0000-0000-00004A070000}"/>
    <cellStyle name="Moneda 35" xfId="1879" xr:uid="{00000000-0005-0000-0000-00004B070000}"/>
    <cellStyle name="Moneda 35 2" xfId="1880" xr:uid="{00000000-0005-0000-0000-00004C070000}"/>
    <cellStyle name="Moneda 36" xfId="1881" xr:uid="{00000000-0005-0000-0000-00004D070000}"/>
    <cellStyle name="Moneda 36 2" xfId="1882" xr:uid="{00000000-0005-0000-0000-00004E070000}"/>
    <cellStyle name="Moneda 37" xfId="1883" xr:uid="{00000000-0005-0000-0000-00004F070000}"/>
    <cellStyle name="Moneda 37 2" xfId="1884" xr:uid="{00000000-0005-0000-0000-000050070000}"/>
    <cellStyle name="Moneda 38" xfId="1885" xr:uid="{00000000-0005-0000-0000-000051070000}"/>
    <cellStyle name="Moneda 38 2" xfId="1886" xr:uid="{00000000-0005-0000-0000-000052070000}"/>
    <cellStyle name="Moneda 39" xfId="1887" xr:uid="{00000000-0005-0000-0000-000053070000}"/>
    <cellStyle name="Moneda 39 2" xfId="1888" xr:uid="{00000000-0005-0000-0000-000054070000}"/>
    <cellStyle name="Moneda 4" xfId="15" xr:uid="{00000000-0005-0000-0000-000055070000}"/>
    <cellStyle name="Moneda 4 2" xfId="1889" xr:uid="{00000000-0005-0000-0000-000056070000}"/>
    <cellStyle name="Moneda 4 3" xfId="1890" xr:uid="{00000000-0005-0000-0000-000057070000}"/>
    <cellStyle name="Moneda 4 4" xfId="1891" xr:uid="{00000000-0005-0000-0000-000058070000}"/>
    <cellStyle name="Moneda 40" xfId="1892" xr:uid="{00000000-0005-0000-0000-000059070000}"/>
    <cellStyle name="Moneda 40 2" xfId="1893" xr:uid="{00000000-0005-0000-0000-00005A070000}"/>
    <cellStyle name="Moneda 41" xfId="1894" xr:uid="{00000000-0005-0000-0000-00005B070000}"/>
    <cellStyle name="Moneda 41 2" xfId="1895" xr:uid="{00000000-0005-0000-0000-00005C070000}"/>
    <cellStyle name="Moneda 42" xfId="1896" xr:uid="{00000000-0005-0000-0000-00005D070000}"/>
    <cellStyle name="Moneda 42 2" xfId="1897" xr:uid="{00000000-0005-0000-0000-00005E070000}"/>
    <cellStyle name="Moneda 43" xfId="1898" xr:uid="{00000000-0005-0000-0000-00005F070000}"/>
    <cellStyle name="Moneda 43 2" xfId="1899" xr:uid="{00000000-0005-0000-0000-000060070000}"/>
    <cellStyle name="Moneda 44" xfId="1900" xr:uid="{00000000-0005-0000-0000-000061070000}"/>
    <cellStyle name="Moneda 44 2" xfId="1901" xr:uid="{00000000-0005-0000-0000-000062070000}"/>
    <cellStyle name="Moneda 45" xfId="1902" xr:uid="{00000000-0005-0000-0000-000063070000}"/>
    <cellStyle name="Moneda 45 2" xfId="1903" xr:uid="{00000000-0005-0000-0000-000064070000}"/>
    <cellStyle name="Moneda 46" xfId="1904" xr:uid="{00000000-0005-0000-0000-000065070000}"/>
    <cellStyle name="Moneda 46 2" xfId="1905" xr:uid="{00000000-0005-0000-0000-000066070000}"/>
    <cellStyle name="Moneda 47" xfId="1906" xr:uid="{00000000-0005-0000-0000-000067070000}"/>
    <cellStyle name="Moneda 47 2" xfId="1907" xr:uid="{00000000-0005-0000-0000-000068070000}"/>
    <cellStyle name="Moneda 48" xfId="1908" xr:uid="{00000000-0005-0000-0000-000069070000}"/>
    <cellStyle name="Moneda 48 2" xfId="1909" xr:uid="{00000000-0005-0000-0000-00006A070000}"/>
    <cellStyle name="Moneda 49" xfId="1910" xr:uid="{00000000-0005-0000-0000-00006B070000}"/>
    <cellStyle name="Moneda 5" xfId="1911" xr:uid="{00000000-0005-0000-0000-00006C070000}"/>
    <cellStyle name="Moneda 5 2" xfId="1912" xr:uid="{00000000-0005-0000-0000-00006D070000}"/>
    <cellStyle name="Moneda 5 3" xfId="1913" xr:uid="{00000000-0005-0000-0000-00006E070000}"/>
    <cellStyle name="Moneda 5 4" xfId="1914" xr:uid="{00000000-0005-0000-0000-00006F070000}"/>
    <cellStyle name="Moneda 5 5" xfId="1915" xr:uid="{00000000-0005-0000-0000-000070070000}"/>
    <cellStyle name="Moneda 50" xfId="1916" xr:uid="{00000000-0005-0000-0000-000071070000}"/>
    <cellStyle name="Moneda 51" xfId="1917" xr:uid="{00000000-0005-0000-0000-000072070000}"/>
    <cellStyle name="Moneda 52" xfId="1918" xr:uid="{00000000-0005-0000-0000-000073070000}"/>
    <cellStyle name="Moneda 6" xfId="1919" xr:uid="{00000000-0005-0000-0000-000074070000}"/>
    <cellStyle name="Moneda 6 10" xfId="1920" xr:uid="{00000000-0005-0000-0000-000075070000}"/>
    <cellStyle name="Moneda 6 10 2" xfId="1921" xr:uid="{00000000-0005-0000-0000-000076070000}"/>
    <cellStyle name="Moneda 6 11" xfId="1922" xr:uid="{00000000-0005-0000-0000-000077070000}"/>
    <cellStyle name="Moneda 6 11 2" xfId="1923" xr:uid="{00000000-0005-0000-0000-000078070000}"/>
    <cellStyle name="Moneda 6 12" xfId="1924" xr:uid="{00000000-0005-0000-0000-000079070000}"/>
    <cellStyle name="Moneda 6 2" xfId="1925" xr:uid="{00000000-0005-0000-0000-00007A070000}"/>
    <cellStyle name="Moneda 6 2 10" xfId="1926" xr:uid="{00000000-0005-0000-0000-00007B070000}"/>
    <cellStyle name="Moneda 6 2 11" xfId="1927" xr:uid="{00000000-0005-0000-0000-00007C070000}"/>
    <cellStyle name="Moneda 6 2 2" xfId="1928" xr:uid="{00000000-0005-0000-0000-00007D070000}"/>
    <cellStyle name="Moneda 6 2 2 2" xfId="1929" xr:uid="{00000000-0005-0000-0000-00007E070000}"/>
    <cellStyle name="Moneda 6 2 2 2 2" xfId="1930" xr:uid="{00000000-0005-0000-0000-00007F070000}"/>
    <cellStyle name="Moneda 6 2 2 2 2 2" xfId="1931" xr:uid="{00000000-0005-0000-0000-000080070000}"/>
    <cellStyle name="Moneda 6 2 2 2 2 2 2" xfId="1932" xr:uid="{00000000-0005-0000-0000-000081070000}"/>
    <cellStyle name="Moneda 6 2 2 2 2 3" xfId="1933" xr:uid="{00000000-0005-0000-0000-000082070000}"/>
    <cellStyle name="Moneda 6 2 2 2 2 3 2" xfId="1934" xr:uid="{00000000-0005-0000-0000-000083070000}"/>
    <cellStyle name="Moneda 6 2 2 2 2 4" xfId="1935" xr:uid="{00000000-0005-0000-0000-000084070000}"/>
    <cellStyle name="Moneda 6 2 2 2 2 4 2" xfId="1936" xr:uid="{00000000-0005-0000-0000-000085070000}"/>
    <cellStyle name="Moneda 6 2 2 2 2 5" xfId="1937" xr:uid="{00000000-0005-0000-0000-000086070000}"/>
    <cellStyle name="Moneda 6 2 2 2 3" xfId="1938" xr:uid="{00000000-0005-0000-0000-000087070000}"/>
    <cellStyle name="Moneda 6 2 2 2 3 2" xfId="1939" xr:uid="{00000000-0005-0000-0000-000088070000}"/>
    <cellStyle name="Moneda 6 2 2 2 4" xfId="1940" xr:uid="{00000000-0005-0000-0000-000089070000}"/>
    <cellStyle name="Moneda 6 2 2 2 4 2" xfId="1941" xr:uid="{00000000-0005-0000-0000-00008A070000}"/>
    <cellStyle name="Moneda 6 2 2 2 5" xfId="1942" xr:uid="{00000000-0005-0000-0000-00008B070000}"/>
    <cellStyle name="Moneda 6 2 2 2 5 2" xfId="1943" xr:uid="{00000000-0005-0000-0000-00008C070000}"/>
    <cellStyle name="Moneda 6 2 2 2 6" xfId="1944" xr:uid="{00000000-0005-0000-0000-00008D070000}"/>
    <cellStyle name="Moneda 6 2 2 3" xfId="1945" xr:uid="{00000000-0005-0000-0000-00008E070000}"/>
    <cellStyle name="Moneda 6 2 2 3 2" xfId="1946" xr:uid="{00000000-0005-0000-0000-00008F070000}"/>
    <cellStyle name="Moneda 6 2 2 3 2 2" xfId="1947" xr:uid="{00000000-0005-0000-0000-000090070000}"/>
    <cellStyle name="Moneda 6 2 2 3 3" xfId="1948" xr:uid="{00000000-0005-0000-0000-000091070000}"/>
    <cellStyle name="Moneda 6 2 2 3 3 2" xfId="1949" xr:uid="{00000000-0005-0000-0000-000092070000}"/>
    <cellStyle name="Moneda 6 2 2 3 4" xfId="1950" xr:uid="{00000000-0005-0000-0000-000093070000}"/>
    <cellStyle name="Moneda 6 2 2 3 4 2" xfId="1951" xr:uid="{00000000-0005-0000-0000-000094070000}"/>
    <cellStyle name="Moneda 6 2 2 3 5" xfId="1952" xr:uid="{00000000-0005-0000-0000-000095070000}"/>
    <cellStyle name="Moneda 6 2 2 4" xfId="1953" xr:uid="{00000000-0005-0000-0000-000096070000}"/>
    <cellStyle name="Moneda 6 2 2 4 2" xfId="1954" xr:uid="{00000000-0005-0000-0000-000097070000}"/>
    <cellStyle name="Moneda 6 2 2 5" xfId="1955" xr:uid="{00000000-0005-0000-0000-000098070000}"/>
    <cellStyle name="Moneda 6 2 2 5 2" xfId="1956" xr:uid="{00000000-0005-0000-0000-000099070000}"/>
    <cellStyle name="Moneda 6 2 2 6" xfId="1957" xr:uid="{00000000-0005-0000-0000-00009A070000}"/>
    <cellStyle name="Moneda 6 2 2 6 2" xfId="1958" xr:uid="{00000000-0005-0000-0000-00009B070000}"/>
    <cellStyle name="Moneda 6 2 2 7" xfId="1959" xr:uid="{00000000-0005-0000-0000-00009C070000}"/>
    <cellStyle name="Moneda 6 2 3" xfId="1960" xr:uid="{00000000-0005-0000-0000-00009D070000}"/>
    <cellStyle name="Moneda 6 2 3 2" xfId="1961" xr:uid="{00000000-0005-0000-0000-00009E070000}"/>
    <cellStyle name="Moneda 6 2 3 2 2" xfId="1962" xr:uid="{00000000-0005-0000-0000-00009F070000}"/>
    <cellStyle name="Moneda 6 2 3 2 2 2" xfId="1963" xr:uid="{00000000-0005-0000-0000-0000A0070000}"/>
    <cellStyle name="Moneda 6 2 3 2 2 2 2" xfId="1964" xr:uid="{00000000-0005-0000-0000-0000A1070000}"/>
    <cellStyle name="Moneda 6 2 3 2 2 3" xfId="1965" xr:uid="{00000000-0005-0000-0000-0000A2070000}"/>
    <cellStyle name="Moneda 6 2 3 2 2 3 2" xfId="1966" xr:uid="{00000000-0005-0000-0000-0000A3070000}"/>
    <cellStyle name="Moneda 6 2 3 2 2 4" xfId="1967" xr:uid="{00000000-0005-0000-0000-0000A4070000}"/>
    <cellStyle name="Moneda 6 2 3 2 2 4 2" xfId="1968" xr:uid="{00000000-0005-0000-0000-0000A5070000}"/>
    <cellStyle name="Moneda 6 2 3 2 2 5" xfId="1969" xr:uid="{00000000-0005-0000-0000-0000A6070000}"/>
    <cellStyle name="Moneda 6 2 3 2 3" xfId="1970" xr:uid="{00000000-0005-0000-0000-0000A7070000}"/>
    <cellStyle name="Moneda 6 2 3 2 3 2" xfId="1971" xr:uid="{00000000-0005-0000-0000-0000A8070000}"/>
    <cellStyle name="Moneda 6 2 3 2 4" xfId="1972" xr:uid="{00000000-0005-0000-0000-0000A9070000}"/>
    <cellStyle name="Moneda 6 2 3 2 4 2" xfId="1973" xr:uid="{00000000-0005-0000-0000-0000AA070000}"/>
    <cellStyle name="Moneda 6 2 3 2 5" xfId="1974" xr:uid="{00000000-0005-0000-0000-0000AB070000}"/>
    <cellStyle name="Moneda 6 2 3 2 5 2" xfId="1975" xr:uid="{00000000-0005-0000-0000-0000AC070000}"/>
    <cellStyle name="Moneda 6 2 3 2 6" xfId="1976" xr:uid="{00000000-0005-0000-0000-0000AD070000}"/>
    <cellStyle name="Moneda 6 2 3 3" xfId="1977" xr:uid="{00000000-0005-0000-0000-0000AE070000}"/>
    <cellStyle name="Moneda 6 2 3 3 2" xfId="1978" xr:uid="{00000000-0005-0000-0000-0000AF070000}"/>
    <cellStyle name="Moneda 6 2 3 3 2 2" xfId="1979" xr:uid="{00000000-0005-0000-0000-0000B0070000}"/>
    <cellStyle name="Moneda 6 2 3 3 3" xfId="1980" xr:uid="{00000000-0005-0000-0000-0000B1070000}"/>
    <cellStyle name="Moneda 6 2 3 3 3 2" xfId="1981" xr:uid="{00000000-0005-0000-0000-0000B2070000}"/>
    <cellStyle name="Moneda 6 2 3 3 4" xfId="1982" xr:uid="{00000000-0005-0000-0000-0000B3070000}"/>
    <cellStyle name="Moneda 6 2 3 3 4 2" xfId="1983" xr:uid="{00000000-0005-0000-0000-0000B4070000}"/>
    <cellStyle name="Moneda 6 2 3 3 5" xfId="1984" xr:uid="{00000000-0005-0000-0000-0000B5070000}"/>
    <cellStyle name="Moneda 6 2 3 4" xfId="1985" xr:uid="{00000000-0005-0000-0000-0000B6070000}"/>
    <cellStyle name="Moneda 6 2 3 4 2" xfId="1986" xr:uid="{00000000-0005-0000-0000-0000B7070000}"/>
    <cellStyle name="Moneda 6 2 3 5" xfId="1987" xr:uid="{00000000-0005-0000-0000-0000B8070000}"/>
    <cellStyle name="Moneda 6 2 3 5 2" xfId="1988" xr:uid="{00000000-0005-0000-0000-0000B9070000}"/>
    <cellStyle name="Moneda 6 2 3 6" xfId="1989" xr:uid="{00000000-0005-0000-0000-0000BA070000}"/>
    <cellStyle name="Moneda 6 2 3 6 2" xfId="1990" xr:uid="{00000000-0005-0000-0000-0000BB070000}"/>
    <cellStyle name="Moneda 6 2 3 7" xfId="1991" xr:uid="{00000000-0005-0000-0000-0000BC070000}"/>
    <cellStyle name="Moneda 6 2 4" xfId="1992" xr:uid="{00000000-0005-0000-0000-0000BD070000}"/>
    <cellStyle name="Moneda 6 2 4 2" xfId="1993" xr:uid="{00000000-0005-0000-0000-0000BE070000}"/>
    <cellStyle name="Moneda 6 2 4 2 2" xfId="1994" xr:uid="{00000000-0005-0000-0000-0000BF070000}"/>
    <cellStyle name="Moneda 6 2 4 2 2 2" xfId="1995" xr:uid="{00000000-0005-0000-0000-0000C0070000}"/>
    <cellStyle name="Moneda 6 2 4 2 2 2 2" xfId="1996" xr:uid="{00000000-0005-0000-0000-0000C1070000}"/>
    <cellStyle name="Moneda 6 2 4 2 2 3" xfId="1997" xr:uid="{00000000-0005-0000-0000-0000C2070000}"/>
    <cellStyle name="Moneda 6 2 4 2 2 3 2" xfId="1998" xr:uid="{00000000-0005-0000-0000-0000C3070000}"/>
    <cellStyle name="Moneda 6 2 4 2 2 4" xfId="1999" xr:uid="{00000000-0005-0000-0000-0000C4070000}"/>
    <cellStyle name="Moneda 6 2 4 2 2 4 2" xfId="2000" xr:uid="{00000000-0005-0000-0000-0000C5070000}"/>
    <cellStyle name="Moneda 6 2 4 2 2 5" xfId="2001" xr:uid="{00000000-0005-0000-0000-0000C6070000}"/>
    <cellStyle name="Moneda 6 2 4 2 3" xfId="2002" xr:uid="{00000000-0005-0000-0000-0000C7070000}"/>
    <cellStyle name="Moneda 6 2 4 2 3 2" xfId="2003" xr:uid="{00000000-0005-0000-0000-0000C8070000}"/>
    <cellStyle name="Moneda 6 2 4 2 4" xfId="2004" xr:uid="{00000000-0005-0000-0000-0000C9070000}"/>
    <cellStyle name="Moneda 6 2 4 2 4 2" xfId="2005" xr:uid="{00000000-0005-0000-0000-0000CA070000}"/>
    <cellStyle name="Moneda 6 2 4 2 5" xfId="2006" xr:uid="{00000000-0005-0000-0000-0000CB070000}"/>
    <cellStyle name="Moneda 6 2 4 2 5 2" xfId="2007" xr:uid="{00000000-0005-0000-0000-0000CC070000}"/>
    <cellStyle name="Moneda 6 2 4 2 6" xfId="2008" xr:uid="{00000000-0005-0000-0000-0000CD070000}"/>
    <cellStyle name="Moneda 6 2 4 3" xfId="2009" xr:uid="{00000000-0005-0000-0000-0000CE070000}"/>
    <cellStyle name="Moneda 6 2 4 3 2" xfId="2010" xr:uid="{00000000-0005-0000-0000-0000CF070000}"/>
    <cellStyle name="Moneda 6 2 4 3 2 2" xfId="2011" xr:uid="{00000000-0005-0000-0000-0000D0070000}"/>
    <cellStyle name="Moneda 6 2 4 3 3" xfId="2012" xr:uid="{00000000-0005-0000-0000-0000D1070000}"/>
    <cellStyle name="Moneda 6 2 4 3 3 2" xfId="2013" xr:uid="{00000000-0005-0000-0000-0000D2070000}"/>
    <cellStyle name="Moneda 6 2 4 3 4" xfId="2014" xr:uid="{00000000-0005-0000-0000-0000D3070000}"/>
    <cellStyle name="Moneda 6 2 4 3 4 2" xfId="2015" xr:uid="{00000000-0005-0000-0000-0000D4070000}"/>
    <cellStyle name="Moneda 6 2 4 3 5" xfId="2016" xr:uid="{00000000-0005-0000-0000-0000D5070000}"/>
    <cellStyle name="Moneda 6 2 4 4" xfId="2017" xr:uid="{00000000-0005-0000-0000-0000D6070000}"/>
    <cellStyle name="Moneda 6 2 4 4 2" xfId="2018" xr:uid="{00000000-0005-0000-0000-0000D7070000}"/>
    <cellStyle name="Moneda 6 2 4 5" xfId="2019" xr:uid="{00000000-0005-0000-0000-0000D8070000}"/>
    <cellStyle name="Moneda 6 2 4 5 2" xfId="2020" xr:uid="{00000000-0005-0000-0000-0000D9070000}"/>
    <cellStyle name="Moneda 6 2 4 6" xfId="2021" xr:uid="{00000000-0005-0000-0000-0000DA070000}"/>
    <cellStyle name="Moneda 6 2 4 6 2" xfId="2022" xr:uid="{00000000-0005-0000-0000-0000DB070000}"/>
    <cellStyle name="Moneda 6 2 4 7" xfId="2023" xr:uid="{00000000-0005-0000-0000-0000DC070000}"/>
    <cellStyle name="Moneda 6 2 5" xfId="2024" xr:uid="{00000000-0005-0000-0000-0000DD070000}"/>
    <cellStyle name="Moneda 6 2 5 2" xfId="2025" xr:uid="{00000000-0005-0000-0000-0000DE070000}"/>
    <cellStyle name="Moneda 6 2 5 2 2" xfId="2026" xr:uid="{00000000-0005-0000-0000-0000DF070000}"/>
    <cellStyle name="Moneda 6 2 5 2 2 2" xfId="2027" xr:uid="{00000000-0005-0000-0000-0000E0070000}"/>
    <cellStyle name="Moneda 6 2 5 2 3" xfId="2028" xr:uid="{00000000-0005-0000-0000-0000E1070000}"/>
    <cellStyle name="Moneda 6 2 5 2 3 2" xfId="2029" xr:uid="{00000000-0005-0000-0000-0000E2070000}"/>
    <cellStyle name="Moneda 6 2 5 2 4" xfId="2030" xr:uid="{00000000-0005-0000-0000-0000E3070000}"/>
    <cellStyle name="Moneda 6 2 5 2 4 2" xfId="2031" xr:uid="{00000000-0005-0000-0000-0000E4070000}"/>
    <cellStyle name="Moneda 6 2 5 2 5" xfId="2032" xr:uid="{00000000-0005-0000-0000-0000E5070000}"/>
    <cellStyle name="Moneda 6 2 5 3" xfId="2033" xr:uid="{00000000-0005-0000-0000-0000E6070000}"/>
    <cellStyle name="Moneda 6 2 5 3 2" xfId="2034" xr:uid="{00000000-0005-0000-0000-0000E7070000}"/>
    <cellStyle name="Moneda 6 2 5 4" xfId="2035" xr:uid="{00000000-0005-0000-0000-0000E8070000}"/>
    <cellStyle name="Moneda 6 2 5 4 2" xfId="2036" xr:uid="{00000000-0005-0000-0000-0000E9070000}"/>
    <cellStyle name="Moneda 6 2 5 5" xfId="2037" xr:uid="{00000000-0005-0000-0000-0000EA070000}"/>
    <cellStyle name="Moneda 6 2 5 5 2" xfId="2038" xr:uid="{00000000-0005-0000-0000-0000EB070000}"/>
    <cellStyle name="Moneda 6 2 5 6" xfId="2039" xr:uid="{00000000-0005-0000-0000-0000EC070000}"/>
    <cellStyle name="Moneda 6 2 6" xfId="2040" xr:uid="{00000000-0005-0000-0000-0000ED070000}"/>
    <cellStyle name="Moneda 6 2 6 2" xfId="2041" xr:uid="{00000000-0005-0000-0000-0000EE070000}"/>
    <cellStyle name="Moneda 6 2 6 2 2" xfId="2042" xr:uid="{00000000-0005-0000-0000-0000EF070000}"/>
    <cellStyle name="Moneda 6 2 6 3" xfId="2043" xr:uid="{00000000-0005-0000-0000-0000F0070000}"/>
    <cellStyle name="Moneda 6 2 6 3 2" xfId="2044" xr:uid="{00000000-0005-0000-0000-0000F1070000}"/>
    <cellStyle name="Moneda 6 2 6 4" xfId="2045" xr:uid="{00000000-0005-0000-0000-0000F2070000}"/>
    <cellStyle name="Moneda 6 2 6 4 2" xfId="2046" xr:uid="{00000000-0005-0000-0000-0000F3070000}"/>
    <cellStyle name="Moneda 6 2 6 5" xfId="2047" xr:uid="{00000000-0005-0000-0000-0000F4070000}"/>
    <cellStyle name="Moneda 6 2 7" xfId="2048" xr:uid="{00000000-0005-0000-0000-0000F5070000}"/>
    <cellStyle name="Moneda 6 2 7 2" xfId="2049" xr:uid="{00000000-0005-0000-0000-0000F6070000}"/>
    <cellStyle name="Moneda 6 2 8" xfId="2050" xr:uid="{00000000-0005-0000-0000-0000F7070000}"/>
    <cellStyle name="Moneda 6 2 8 2" xfId="2051" xr:uid="{00000000-0005-0000-0000-0000F8070000}"/>
    <cellStyle name="Moneda 6 2 9" xfId="2052" xr:uid="{00000000-0005-0000-0000-0000F9070000}"/>
    <cellStyle name="Moneda 6 2 9 2" xfId="2053" xr:uid="{00000000-0005-0000-0000-0000FA070000}"/>
    <cellStyle name="Moneda 6 3" xfId="2054" xr:uid="{00000000-0005-0000-0000-0000FB070000}"/>
    <cellStyle name="Moneda 6 3 2" xfId="2055" xr:uid="{00000000-0005-0000-0000-0000FC070000}"/>
    <cellStyle name="Moneda 6 3 2 2" xfId="2056" xr:uid="{00000000-0005-0000-0000-0000FD070000}"/>
    <cellStyle name="Moneda 6 3 2 2 2" xfId="2057" xr:uid="{00000000-0005-0000-0000-0000FE070000}"/>
    <cellStyle name="Moneda 6 3 2 2 2 2" xfId="2058" xr:uid="{00000000-0005-0000-0000-0000FF070000}"/>
    <cellStyle name="Moneda 6 3 2 2 3" xfId="2059" xr:uid="{00000000-0005-0000-0000-000000080000}"/>
    <cellStyle name="Moneda 6 3 2 2 3 2" xfId="2060" xr:uid="{00000000-0005-0000-0000-000001080000}"/>
    <cellStyle name="Moneda 6 3 2 2 4" xfId="2061" xr:uid="{00000000-0005-0000-0000-000002080000}"/>
    <cellStyle name="Moneda 6 3 2 2 4 2" xfId="2062" xr:uid="{00000000-0005-0000-0000-000003080000}"/>
    <cellStyle name="Moneda 6 3 2 2 5" xfId="2063" xr:uid="{00000000-0005-0000-0000-000004080000}"/>
    <cellStyle name="Moneda 6 3 2 3" xfId="2064" xr:uid="{00000000-0005-0000-0000-000005080000}"/>
    <cellStyle name="Moneda 6 3 2 3 2" xfId="2065" xr:uid="{00000000-0005-0000-0000-000006080000}"/>
    <cellStyle name="Moneda 6 3 2 4" xfId="2066" xr:uid="{00000000-0005-0000-0000-000007080000}"/>
    <cellStyle name="Moneda 6 3 2 4 2" xfId="2067" xr:uid="{00000000-0005-0000-0000-000008080000}"/>
    <cellStyle name="Moneda 6 3 2 5" xfId="2068" xr:uid="{00000000-0005-0000-0000-000009080000}"/>
    <cellStyle name="Moneda 6 3 2 5 2" xfId="2069" xr:uid="{00000000-0005-0000-0000-00000A080000}"/>
    <cellStyle name="Moneda 6 3 2 6" xfId="2070" xr:uid="{00000000-0005-0000-0000-00000B080000}"/>
    <cellStyle name="Moneda 6 3 3" xfId="2071" xr:uid="{00000000-0005-0000-0000-00000C080000}"/>
    <cellStyle name="Moneda 6 3 3 2" xfId="2072" xr:uid="{00000000-0005-0000-0000-00000D080000}"/>
    <cellStyle name="Moneda 6 3 3 2 2" xfId="2073" xr:uid="{00000000-0005-0000-0000-00000E080000}"/>
    <cellStyle name="Moneda 6 3 3 3" xfId="2074" xr:uid="{00000000-0005-0000-0000-00000F080000}"/>
    <cellStyle name="Moneda 6 3 3 3 2" xfId="2075" xr:uid="{00000000-0005-0000-0000-000010080000}"/>
    <cellStyle name="Moneda 6 3 3 4" xfId="2076" xr:uid="{00000000-0005-0000-0000-000011080000}"/>
    <cellStyle name="Moneda 6 3 3 4 2" xfId="2077" xr:uid="{00000000-0005-0000-0000-000012080000}"/>
    <cellStyle name="Moneda 6 3 3 5" xfId="2078" xr:uid="{00000000-0005-0000-0000-000013080000}"/>
    <cellStyle name="Moneda 6 3 4" xfId="2079" xr:uid="{00000000-0005-0000-0000-000014080000}"/>
    <cellStyle name="Moneda 6 3 4 2" xfId="2080" xr:uid="{00000000-0005-0000-0000-000015080000}"/>
    <cellStyle name="Moneda 6 3 5" xfId="2081" xr:uid="{00000000-0005-0000-0000-000016080000}"/>
    <cellStyle name="Moneda 6 3 5 2" xfId="2082" xr:uid="{00000000-0005-0000-0000-000017080000}"/>
    <cellStyle name="Moneda 6 3 6" xfId="2083" xr:uid="{00000000-0005-0000-0000-000018080000}"/>
    <cellStyle name="Moneda 6 3 6 2" xfId="2084" xr:uid="{00000000-0005-0000-0000-000019080000}"/>
    <cellStyle name="Moneda 6 3 7" xfId="2085" xr:uid="{00000000-0005-0000-0000-00001A080000}"/>
    <cellStyle name="Moneda 6 4" xfId="2086" xr:uid="{00000000-0005-0000-0000-00001B080000}"/>
    <cellStyle name="Moneda 6 4 2" xfId="2087" xr:uid="{00000000-0005-0000-0000-00001C080000}"/>
    <cellStyle name="Moneda 6 4 2 2" xfId="2088" xr:uid="{00000000-0005-0000-0000-00001D080000}"/>
    <cellStyle name="Moneda 6 4 2 2 2" xfId="2089" xr:uid="{00000000-0005-0000-0000-00001E080000}"/>
    <cellStyle name="Moneda 6 4 2 2 2 2" xfId="2090" xr:uid="{00000000-0005-0000-0000-00001F080000}"/>
    <cellStyle name="Moneda 6 4 2 2 3" xfId="2091" xr:uid="{00000000-0005-0000-0000-000020080000}"/>
    <cellStyle name="Moneda 6 4 2 2 3 2" xfId="2092" xr:uid="{00000000-0005-0000-0000-000021080000}"/>
    <cellStyle name="Moneda 6 4 2 2 4" xfId="2093" xr:uid="{00000000-0005-0000-0000-000022080000}"/>
    <cellStyle name="Moneda 6 4 2 2 4 2" xfId="2094" xr:uid="{00000000-0005-0000-0000-000023080000}"/>
    <cellStyle name="Moneda 6 4 2 2 5" xfId="2095" xr:uid="{00000000-0005-0000-0000-000024080000}"/>
    <cellStyle name="Moneda 6 4 2 3" xfId="2096" xr:uid="{00000000-0005-0000-0000-000025080000}"/>
    <cellStyle name="Moneda 6 4 2 3 2" xfId="2097" xr:uid="{00000000-0005-0000-0000-000026080000}"/>
    <cellStyle name="Moneda 6 4 2 4" xfId="2098" xr:uid="{00000000-0005-0000-0000-000027080000}"/>
    <cellStyle name="Moneda 6 4 2 4 2" xfId="2099" xr:uid="{00000000-0005-0000-0000-000028080000}"/>
    <cellStyle name="Moneda 6 4 2 5" xfId="2100" xr:uid="{00000000-0005-0000-0000-000029080000}"/>
    <cellStyle name="Moneda 6 4 2 5 2" xfId="2101" xr:uid="{00000000-0005-0000-0000-00002A080000}"/>
    <cellStyle name="Moneda 6 4 2 6" xfId="2102" xr:uid="{00000000-0005-0000-0000-00002B080000}"/>
    <cellStyle name="Moneda 6 4 3" xfId="2103" xr:uid="{00000000-0005-0000-0000-00002C080000}"/>
    <cellStyle name="Moneda 6 4 3 2" xfId="2104" xr:uid="{00000000-0005-0000-0000-00002D080000}"/>
    <cellStyle name="Moneda 6 4 3 2 2" xfId="2105" xr:uid="{00000000-0005-0000-0000-00002E080000}"/>
    <cellStyle name="Moneda 6 4 3 3" xfId="2106" xr:uid="{00000000-0005-0000-0000-00002F080000}"/>
    <cellStyle name="Moneda 6 4 3 3 2" xfId="2107" xr:uid="{00000000-0005-0000-0000-000030080000}"/>
    <cellStyle name="Moneda 6 4 3 4" xfId="2108" xr:uid="{00000000-0005-0000-0000-000031080000}"/>
    <cellStyle name="Moneda 6 4 3 4 2" xfId="2109" xr:uid="{00000000-0005-0000-0000-000032080000}"/>
    <cellStyle name="Moneda 6 4 3 5" xfId="2110" xr:uid="{00000000-0005-0000-0000-000033080000}"/>
    <cellStyle name="Moneda 6 4 4" xfId="2111" xr:uid="{00000000-0005-0000-0000-000034080000}"/>
    <cellStyle name="Moneda 6 4 4 2" xfId="2112" xr:uid="{00000000-0005-0000-0000-000035080000}"/>
    <cellStyle name="Moneda 6 4 5" xfId="2113" xr:uid="{00000000-0005-0000-0000-000036080000}"/>
    <cellStyle name="Moneda 6 4 5 2" xfId="2114" xr:uid="{00000000-0005-0000-0000-000037080000}"/>
    <cellStyle name="Moneda 6 4 6" xfId="2115" xr:uid="{00000000-0005-0000-0000-000038080000}"/>
    <cellStyle name="Moneda 6 4 6 2" xfId="2116" xr:uid="{00000000-0005-0000-0000-000039080000}"/>
    <cellStyle name="Moneda 6 4 7" xfId="2117" xr:uid="{00000000-0005-0000-0000-00003A080000}"/>
    <cellStyle name="Moneda 6 5" xfId="2118" xr:uid="{00000000-0005-0000-0000-00003B080000}"/>
    <cellStyle name="Moneda 6 5 2" xfId="2119" xr:uid="{00000000-0005-0000-0000-00003C080000}"/>
    <cellStyle name="Moneda 6 5 2 2" xfId="2120" xr:uid="{00000000-0005-0000-0000-00003D080000}"/>
    <cellStyle name="Moneda 6 5 2 2 2" xfId="2121" xr:uid="{00000000-0005-0000-0000-00003E080000}"/>
    <cellStyle name="Moneda 6 5 2 2 2 2" xfId="2122" xr:uid="{00000000-0005-0000-0000-00003F080000}"/>
    <cellStyle name="Moneda 6 5 2 2 3" xfId="2123" xr:uid="{00000000-0005-0000-0000-000040080000}"/>
    <cellStyle name="Moneda 6 5 2 2 3 2" xfId="2124" xr:uid="{00000000-0005-0000-0000-000041080000}"/>
    <cellStyle name="Moneda 6 5 2 2 4" xfId="2125" xr:uid="{00000000-0005-0000-0000-000042080000}"/>
    <cellStyle name="Moneda 6 5 2 2 4 2" xfId="2126" xr:uid="{00000000-0005-0000-0000-000043080000}"/>
    <cellStyle name="Moneda 6 5 2 2 5" xfId="2127" xr:uid="{00000000-0005-0000-0000-000044080000}"/>
    <cellStyle name="Moneda 6 5 2 3" xfId="2128" xr:uid="{00000000-0005-0000-0000-000045080000}"/>
    <cellStyle name="Moneda 6 5 2 3 2" xfId="2129" xr:uid="{00000000-0005-0000-0000-000046080000}"/>
    <cellStyle name="Moneda 6 5 2 4" xfId="2130" xr:uid="{00000000-0005-0000-0000-000047080000}"/>
    <cellStyle name="Moneda 6 5 2 4 2" xfId="2131" xr:uid="{00000000-0005-0000-0000-000048080000}"/>
    <cellStyle name="Moneda 6 5 2 5" xfId="2132" xr:uid="{00000000-0005-0000-0000-000049080000}"/>
    <cellStyle name="Moneda 6 5 2 5 2" xfId="2133" xr:uid="{00000000-0005-0000-0000-00004A080000}"/>
    <cellStyle name="Moneda 6 5 2 6" xfId="2134" xr:uid="{00000000-0005-0000-0000-00004B080000}"/>
    <cellStyle name="Moneda 6 5 3" xfId="2135" xr:uid="{00000000-0005-0000-0000-00004C080000}"/>
    <cellStyle name="Moneda 6 5 3 2" xfId="2136" xr:uid="{00000000-0005-0000-0000-00004D080000}"/>
    <cellStyle name="Moneda 6 5 3 2 2" xfId="2137" xr:uid="{00000000-0005-0000-0000-00004E080000}"/>
    <cellStyle name="Moneda 6 5 3 3" xfId="2138" xr:uid="{00000000-0005-0000-0000-00004F080000}"/>
    <cellStyle name="Moneda 6 5 3 3 2" xfId="2139" xr:uid="{00000000-0005-0000-0000-000050080000}"/>
    <cellStyle name="Moneda 6 5 3 4" xfId="2140" xr:uid="{00000000-0005-0000-0000-000051080000}"/>
    <cellStyle name="Moneda 6 5 3 4 2" xfId="2141" xr:uid="{00000000-0005-0000-0000-000052080000}"/>
    <cellStyle name="Moneda 6 5 3 5" xfId="2142" xr:uid="{00000000-0005-0000-0000-000053080000}"/>
    <cellStyle name="Moneda 6 5 4" xfId="2143" xr:uid="{00000000-0005-0000-0000-000054080000}"/>
    <cellStyle name="Moneda 6 5 4 2" xfId="2144" xr:uid="{00000000-0005-0000-0000-000055080000}"/>
    <cellStyle name="Moneda 6 5 5" xfId="2145" xr:uid="{00000000-0005-0000-0000-000056080000}"/>
    <cellStyle name="Moneda 6 5 5 2" xfId="2146" xr:uid="{00000000-0005-0000-0000-000057080000}"/>
    <cellStyle name="Moneda 6 5 6" xfId="2147" xr:uid="{00000000-0005-0000-0000-000058080000}"/>
    <cellStyle name="Moneda 6 5 6 2" xfId="2148" xr:uid="{00000000-0005-0000-0000-000059080000}"/>
    <cellStyle name="Moneda 6 5 7" xfId="2149" xr:uid="{00000000-0005-0000-0000-00005A080000}"/>
    <cellStyle name="Moneda 6 6" xfId="2150" xr:uid="{00000000-0005-0000-0000-00005B080000}"/>
    <cellStyle name="Moneda 6 6 2" xfId="2151" xr:uid="{00000000-0005-0000-0000-00005C080000}"/>
    <cellStyle name="Moneda 6 6 2 2" xfId="2152" xr:uid="{00000000-0005-0000-0000-00005D080000}"/>
    <cellStyle name="Moneda 6 6 2 2 2" xfId="2153" xr:uid="{00000000-0005-0000-0000-00005E080000}"/>
    <cellStyle name="Moneda 6 6 2 3" xfId="2154" xr:uid="{00000000-0005-0000-0000-00005F080000}"/>
    <cellStyle name="Moneda 6 6 2 3 2" xfId="2155" xr:uid="{00000000-0005-0000-0000-000060080000}"/>
    <cellStyle name="Moneda 6 6 2 4" xfId="2156" xr:uid="{00000000-0005-0000-0000-000061080000}"/>
    <cellStyle name="Moneda 6 6 2 4 2" xfId="2157" xr:uid="{00000000-0005-0000-0000-000062080000}"/>
    <cellStyle name="Moneda 6 6 2 5" xfId="2158" xr:uid="{00000000-0005-0000-0000-000063080000}"/>
    <cellStyle name="Moneda 6 6 3" xfId="2159" xr:uid="{00000000-0005-0000-0000-000064080000}"/>
    <cellStyle name="Moneda 6 6 3 2" xfId="2160" xr:uid="{00000000-0005-0000-0000-000065080000}"/>
    <cellStyle name="Moneda 6 6 4" xfId="2161" xr:uid="{00000000-0005-0000-0000-000066080000}"/>
    <cellStyle name="Moneda 6 6 4 2" xfId="2162" xr:uid="{00000000-0005-0000-0000-000067080000}"/>
    <cellStyle name="Moneda 6 6 5" xfId="2163" xr:uid="{00000000-0005-0000-0000-000068080000}"/>
    <cellStyle name="Moneda 6 6 5 2" xfId="2164" xr:uid="{00000000-0005-0000-0000-000069080000}"/>
    <cellStyle name="Moneda 6 6 6" xfId="2165" xr:uid="{00000000-0005-0000-0000-00006A080000}"/>
    <cellStyle name="Moneda 6 7" xfId="2166" xr:uid="{00000000-0005-0000-0000-00006B080000}"/>
    <cellStyle name="Moneda 6 7 2" xfId="2167" xr:uid="{00000000-0005-0000-0000-00006C080000}"/>
    <cellStyle name="Moneda 6 7 2 2" xfId="2168" xr:uid="{00000000-0005-0000-0000-00006D080000}"/>
    <cellStyle name="Moneda 6 7 3" xfId="2169" xr:uid="{00000000-0005-0000-0000-00006E080000}"/>
    <cellStyle name="Moneda 6 7 3 2" xfId="2170" xr:uid="{00000000-0005-0000-0000-00006F080000}"/>
    <cellStyle name="Moneda 6 7 4" xfId="2171" xr:uid="{00000000-0005-0000-0000-000070080000}"/>
    <cellStyle name="Moneda 6 7 4 2" xfId="2172" xr:uid="{00000000-0005-0000-0000-000071080000}"/>
    <cellStyle name="Moneda 6 7 5" xfId="2173" xr:uid="{00000000-0005-0000-0000-000072080000}"/>
    <cellStyle name="Moneda 6 8" xfId="2174" xr:uid="{00000000-0005-0000-0000-000073080000}"/>
    <cellStyle name="Moneda 6 8 2" xfId="2175" xr:uid="{00000000-0005-0000-0000-000074080000}"/>
    <cellStyle name="Moneda 6 9" xfId="2176" xr:uid="{00000000-0005-0000-0000-000075080000}"/>
    <cellStyle name="Moneda 6 9 2" xfId="2177" xr:uid="{00000000-0005-0000-0000-000076080000}"/>
    <cellStyle name="Moneda 7" xfId="2178" xr:uid="{00000000-0005-0000-0000-000077080000}"/>
    <cellStyle name="Moneda 7 10" xfId="2179" xr:uid="{00000000-0005-0000-0000-000078080000}"/>
    <cellStyle name="Moneda 7 10 2" xfId="2180" xr:uid="{00000000-0005-0000-0000-000079080000}"/>
    <cellStyle name="Moneda 7 11" xfId="2181" xr:uid="{00000000-0005-0000-0000-00007A080000}"/>
    <cellStyle name="Moneda 7 12" xfId="2182" xr:uid="{00000000-0005-0000-0000-00007B080000}"/>
    <cellStyle name="Moneda 7 2" xfId="2183" xr:uid="{00000000-0005-0000-0000-00007C080000}"/>
    <cellStyle name="Moneda 7 2 10" xfId="2184" xr:uid="{00000000-0005-0000-0000-00007D080000}"/>
    <cellStyle name="Moneda 7 2 11" xfId="2185" xr:uid="{00000000-0005-0000-0000-00007E080000}"/>
    <cellStyle name="Moneda 7 2 2" xfId="2186" xr:uid="{00000000-0005-0000-0000-00007F080000}"/>
    <cellStyle name="Moneda 7 2 2 2" xfId="2187" xr:uid="{00000000-0005-0000-0000-000080080000}"/>
    <cellStyle name="Moneda 7 2 2 2 2" xfId="2188" xr:uid="{00000000-0005-0000-0000-000081080000}"/>
    <cellStyle name="Moneda 7 2 2 2 2 2" xfId="2189" xr:uid="{00000000-0005-0000-0000-000082080000}"/>
    <cellStyle name="Moneda 7 2 2 2 2 2 2" xfId="2190" xr:uid="{00000000-0005-0000-0000-000083080000}"/>
    <cellStyle name="Moneda 7 2 2 2 2 3" xfId="2191" xr:uid="{00000000-0005-0000-0000-000084080000}"/>
    <cellStyle name="Moneda 7 2 2 2 2 3 2" xfId="2192" xr:uid="{00000000-0005-0000-0000-000085080000}"/>
    <cellStyle name="Moneda 7 2 2 2 2 4" xfId="2193" xr:uid="{00000000-0005-0000-0000-000086080000}"/>
    <cellStyle name="Moneda 7 2 2 2 2 4 2" xfId="2194" xr:uid="{00000000-0005-0000-0000-000087080000}"/>
    <cellStyle name="Moneda 7 2 2 2 2 5" xfId="2195" xr:uid="{00000000-0005-0000-0000-000088080000}"/>
    <cellStyle name="Moneda 7 2 2 2 3" xfId="2196" xr:uid="{00000000-0005-0000-0000-000089080000}"/>
    <cellStyle name="Moneda 7 2 2 2 3 2" xfId="2197" xr:uid="{00000000-0005-0000-0000-00008A080000}"/>
    <cellStyle name="Moneda 7 2 2 2 4" xfId="2198" xr:uid="{00000000-0005-0000-0000-00008B080000}"/>
    <cellStyle name="Moneda 7 2 2 2 4 2" xfId="2199" xr:uid="{00000000-0005-0000-0000-00008C080000}"/>
    <cellStyle name="Moneda 7 2 2 2 5" xfId="2200" xr:uid="{00000000-0005-0000-0000-00008D080000}"/>
    <cellStyle name="Moneda 7 2 2 2 5 2" xfId="2201" xr:uid="{00000000-0005-0000-0000-00008E080000}"/>
    <cellStyle name="Moneda 7 2 2 2 6" xfId="2202" xr:uid="{00000000-0005-0000-0000-00008F080000}"/>
    <cellStyle name="Moneda 7 2 2 3" xfId="2203" xr:uid="{00000000-0005-0000-0000-000090080000}"/>
    <cellStyle name="Moneda 7 2 2 3 2" xfId="2204" xr:uid="{00000000-0005-0000-0000-000091080000}"/>
    <cellStyle name="Moneda 7 2 2 3 2 2" xfId="2205" xr:uid="{00000000-0005-0000-0000-000092080000}"/>
    <cellStyle name="Moneda 7 2 2 3 3" xfId="2206" xr:uid="{00000000-0005-0000-0000-000093080000}"/>
    <cellStyle name="Moneda 7 2 2 3 3 2" xfId="2207" xr:uid="{00000000-0005-0000-0000-000094080000}"/>
    <cellStyle name="Moneda 7 2 2 3 4" xfId="2208" xr:uid="{00000000-0005-0000-0000-000095080000}"/>
    <cellStyle name="Moneda 7 2 2 3 4 2" xfId="2209" xr:uid="{00000000-0005-0000-0000-000096080000}"/>
    <cellStyle name="Moneda 7 2 2 3 5" xfId="2210" xr:uid="{00000000-0005-0000-0000-000097080000}"/>
    <cellStyle name="Moneda 7 2 2 4" xfId="2211" xr:uid="{00000000-0005-0000-0000-000098080000}"/>
    <cellStyle name="Moneda 7 2 2 4 2" xfId="2212" xr:uid="{00000000-0005-0000-0000-000099080000}"/>
    <cellStyle name="Moneda 7 2 2 5" xfId="2213" xr:uid="{00000000-0005-0000-0000-00009A080000}"/>
    <cellStyle name="Moneda 7 2 2 5 2" xfId="2214" xr:uid="{00000000-0005-0000-0000-00009B080000}"/>
    <cellStyle name="Moneda 7 2 2 6" xfId="2215" xr:uid="{00000000-0005-0000-0000-00009C080000}"/>
    <cellStyle name="Moneda 7 2 2 6 2" xfId="2216" xr:uid="{00000000-0005-0000-0000-00009D080000}"/>
    <cellStyle name="Moneda 7 2 2 7" xfId="2217" xr:uid="{00000000-0005-0000-0000-00009E080000}"/>
    <cellStyle name="Moneda 7 2 3" xfId="2218" xr:uid="{00000000-0005-0000-0000-00009F080000}"/>
    <cellStyle name="Moneda 7 2 3 2" xfId="2219" xr:uid="{00000000-0005-0000-0000-0000A0080000}"/>
    <cellStyle name="Moneda 7 2 3 2 2" xfId="2220" xr:uid="{00000000-0005-0000-0000-0000A1080000}"/>
    <cellStyle name="Moneda 7 2 3 2 2 2" xfId="2221" xr:uid="{00000000-0005-0000-0000-0000A2080000}"/>
    <cellStyle name="Moneda 7 2 3 2 2 2 2" xfId="2222" xr:uid="{00000000-0005-0000-0000-0000A3080000}"/>
    <cellStyle name="Moneda 7 2 3 2 2 3" xfId="2223" xr:uid="{00000000-0005-0000-0000-0000A4080000}"/>
    <cellStyle name="Moneda 7 2 3 2 2 3 2" xfId="2224" xr:uid="{00000000-0005-0000-0000-0000A5080000}"/>
    <cellStyle name="Moneda 7 2 3 2 2 4" xfId="2225" xr:uid="{00000000-0005-0000-0000-0000A6080000}"/>
    <cellStyle name="Moneda 7 2 3 2 2 4 2" xfId="2226" xr:uid="{00000000-0005-0000-0000-0000A7080000}"/>
    <cellStyle name="Moneda 7 2 3 2 2 5" xfId="2227" xr:uid="{00000000-0005-0000-0000-0000A8080000}"/>
    <cellStyle name="Moneda 7 2 3 2 3" xfId="2228" xr:uid="{00000000-0005-0000-0000-0000A9080000}"/>
    <cellStyle name="Moneda 7 2 3 2 3 2" xfId="2229" xr:uid="{00000000-0005-0000-0000-0000AA080000}"/>
    <cellStyle name="Moneda 7 2 3 2 4" xfId="2230" xr:uid="{00000000-0005-0000-0000-0000AB080000}"/>
    <cellStyle name="Moneda 7 2 3 2 4 2" xfId="2231" xr:uid="{00000000-0005-0000-0000-0000AC080000}"/>
    <cellStyle name="Moneda 7 2 3 2 5" xfId="2232" xr:uid="{00000000-0005-0000-0000-0000AD080000}"/>
    <cellStyle name="Moneda 7 2 3 2 5 2" xfId="2233" xr:uid="{00000000-0005-0000-0000-0000AE080000}"/>
    <cellStyle name="Moneda 7 2 3 2 6" xfId="2234" xr:uid="{00000000-0005-0000-0000-0000AF080000}"/>
    <cellStyle name="Moneda 7 2 3 3" xfId="2235" xr:uid="{00000000-0005-0000-0000-0000B0080000}"/>
    <cellStyle name="Moneda 7 2 3 3 2" xfId="2236" xr:uid="{00000000-0005-0000-0000-0000B1080000}"/>
    <cellStyle name="Moneda 7 2 3 3 2 2" xfId="2237" xr:uid="{00000000-0005-0000-0000-0000B2080000}"/>
    <cellStyle name="Moneda 7 2 3 3 3" xfId="2238" xr:uid="{00000000-0005-0000-0000-0000B3080000}"/>
    <cellStyle name="Moneda 7 2 3 3 3 2" xfId="2239" xr:uid="{00000000-0005-0000-0000-0000B4080000}"/>
    <cellStyle name="Moneda 7 2 3 3 4" xfId="2240" xr:uid="{00000000-0005-0000-0000-0000B5080000}"/>
    <cellStyle name="Moneda 7 2 3 3 4 2" xfId="2241" xr:uid="{00000000-0005-0000-0000-0000B6080000}"/>
    <cellStyle name="Moneda 7 2 3 3 5" xfId="2242" xr:uid="{00000000-0005-0000-0000-0000B7080000}"/>
    <cellStyle name="Moneda 7 2 3 4" xfId="2243" xr:uid="{00000000-0005-0000-0000-0000B8080000}"/>
    <cellStyle name="Moneda 7 2 3 4 2" xfId="2244" xr:uid="{00000000-0005-0000-0000-0000B9080000}"/>
    <cellStyle name="Moneda 7 2 3 5" xfId="2245" xr:uid="{00000000-0005-0000-0000-0000BA080000}"/>
    <cellStyle name="Moneda 7 2 3 5 2" xfId="2246" xr:uid="{00000000-0005-0000-0000-0000BB080000}"/>
    <cellStyle name="Moneda 7 2 3 6" xfId="2247" xr:uid="{00000000-0005-0000-0000-0000BC080000}"/>
    <cellStyle name="Moneda 7 2 3 6 2" xfId="2248" xr:uid="{00000000-0005-0000-0000-0000BD080000}"/>
    <cellStyle name="Moneda 7 2 3 7" xfId="2249" xr:uid="{00000000-0005-0000-0000-0000BE080000}"/>
    <cellStyle name="Moneda 7 2 4" xfId="2250" xr:uid="{00000000-0005-0000-0000-0000BF080000}"/>
    <cellStyle name="Moneda 7 2 4 2" xfId="2251" xr:uid="{00000000-0005-0000-0000-0000C0080000}"/>
    <cellStyle name="Moneda 7 2 4 2 2" xfId="2252" xr:uid="{00000000-0005-0000-0000-0000C1080000}"/>
    <cellStyle name="Moneda 7 2 4 2 2 2" xfId="2253" xr:uid="{00000000-0005-0000-0000-0000C2080000}"/>
    <cellStyle name="Moneda 7 2 4 2 2 2 2" xfId="2254" xr:uid="{00000000-0005-0000-0000-0000C3080000}"/>
    <cellStyle name="Moneda 7 2 4 2 2 3" xfId="2255" xr:uid="{00000000-0005-0000-0000-0000C4080000}"/>
    <cellStyle name="Moneda 7 2 4 2 2 3 2" xfId="2256" xr:uid="{00000000-0005-0000-0000-0000C5080000}"/>
    <cellStyle name="Moneda 7 2 4 2 2 4" xfId="2257" xr:uid="{00000000-0005-0000-0000-0000C6080000}"/>
    <cellStyle name="Moneda 7 2 4 2 2 4 2" xfId="2258" xr:uid="{00000000-0005-0000-0000-0000C7080000}"/>
    <cellStyle name="Moneda 7 2 4 2 2 5" xfId="2259" xr:uid="{00000000-0005-0000-0000-0000C8080000}"/>
    <cellStyle name="Moneda 7 2 4 2 3" xfId="2260" xr:uid="{00000000-0005-0000-0000-0000C9080000}"/>
    <cellStyle name="Moneda 7 2 4 2 3 2" xfId="2261" xr:uid="{00000000-0005-0000-0000-0000CA080000}"/>
    <cellStyle name="Moneda 7 2 4 2 4" xfId="2262" xr:uid="{00000000-0005-0000-0000-0000CB080000}"/>
    <cellStyle name="Moneda 7 2 4 2 4 2" xfId="2263" xr:uid="{00000000-0005-0000-0000-0000CC080000}"/>
    <cellStyle name="Moneda 7 2 4 2 5" xfId="2264" xr:uid="{00000000-0005-0000-0000-0000CD080000}"/>
    <cellStyle name="Moneda 7 2 4 2 5 2" xfId="2265" xr:uid="{00000000-0005-0000-0000-0000CE080000}"/>
    <cellStyle name="Moneda 7 2 4 2 6" xfId="2266" xr:uid="{00000000-0005-0000-0000-0000CF080000}"/>
    <cellStyle name="Moneda 7 2 4 3" xfId="2267" xr:uid="{00000000-0005-0000-0000-0000D0080000}"/>
    <cellStyle name="Moneda 7 2 4 3 2" xfId="2268" xr:uid="{00000000-0005-0000-0000-0000D1080000}"/>
    <cellStyle name="Moneda 7 2 4 3 2 2" xfId="2269" xr:uid="{00000000-0005-0000-0000-0000D2080000}"/>
    <cellStyle name="Moneda 7 2 4 3 3" xfId="2270" xr:uid="{00000000-0005-0000-0000-0000D3080000}"/>
    <cellStyle name="Moneda 7 2 4 3 3 2" xfId="2271" xr:uid="{00000000-0005-0000-0000-0000D4080000}"/>
    <cellStyle name="Moneda 7 2 4 3 4" xfId="2272" xr:uid="{00000000-0005-0000-0000-0000D5080000}"/>
    <cellStyle name="Moneda 7 2 4 3 4 2" xfId="2273" xr:uid="{00000000-0005-0000-0000-0000D6080000}"/>
    <cellStyle name="Moneda 7 2 4 3 5" xfId="2274" xr:uid="{00000000-0005-0000-0000-0000D7080000}"/>
    <cellStyle name="Moneda 7 2 4 4" xfId="2275" xr:uid="{00000000-0005-0000-0000-0000D8080000}"/>
    <cellStyle name="Moneda 7 2 4 4 2" xfId="2276" xr:uid="{00000000-0005-0000-0000-0000D9080000}"/>
    <cellStyle name="Moneda 7 2 4 5" xfId="2277" xr:uid="{00000000-0005-0000-0000-0000DA080000}"/>
    <cellStyle name="Moneda 7 2 4 5 2" xfId="2278" xr:uid="{00000000-0005-0000-0000-0000DB080000}"/>
    <cellStyle name="Moneda 7 2 4 6" xfId="2279" xr:uid="{00000000-0005-0000-0000-0000DC080000}"/>
    <cellStyle name="Moneda 7 2 4 6 2" xfId="2280" xr:uid="{00000000-0005-0000-0000-0000DD080000}"/>
    <cellStyle name="Moneda 7 2 4 7" xfId="2281" xr:uid="{00000000-0005-0000-0000-0000DE080000}"/>
    <cellStyle name="Moneda 7 2 5" xfId="2282" xr:uid="{00000000-0005-0000-0000-0000DF080000}"/>
    <cellStyle name="Moneda 7 2 5 2" xfId="2283" xr:uid="{00000000-0005-0000-0000-0000E0080000}"/>
    <cellStyle name="Moneda 7 2 5 2 2" xfId="2284" xr:uid="{00000000-0005-0000-0000-0000E1080000}"/>
    <cellStyle name="Moneda 7 2 5 2 2 2" xfId="2285" xr:uid="{00000000-0005-0000-0000-0000E2080000}"/>
    <cellStyle name="Moneda 7 2 5 2 3" xfId="2286" xr:uid="{00000000-0005-0000-0000-0000E3080000}"/>
    <cellStyle name="Moneda 7 2 5 2 3 2" xfId="2287" xr:uid="{00000000-0005-0000-0000-0000E4080000}"/>
    <cellStyle name="Moneda 7 2 5 2 4" xfId="2288" xr:uid="{00000000-0005-0000-0000-0000E5080000}"/>
    <cellStyle name="Moneda 7 2 5 2 4 2" xfId="2289" xr:uid="{00000000-0005-0000-0000-0000E6080000}"/>
    <cellStyle name="Moneda 7 2 5 2 5" xfId="2290" xr:uid="{00000000-0005-0000-0000-0000E7080000}"/>
    <cellStyle name="Moneda 7 2 5 3" xfId="2291" xr:uid="{00000000-0005-0000-0000-0000E8080000}"/>
    <cellStyle name="Moneda 7 2 5 3 2" xfId="2292" xr:uid="{00000000-0005-0000-0000-0000E9080000}"/>
    <cellStyle name="Moneda 7 2 5 4" xfId="2293" xr:uid="{00000000-0005-0000-0000-0000EA080000}"/>
    <cellStyle name="Moneda 7 2 5 4 2" xfId="2294" xr:uid="{00000000-0005-0000-0000-0000EB080000}"/>
    <cellStyle name="Moneda 7 2 5 5" xfId="2295" xr:uid="{00000000-0005-0000-0000-0000EC080000}"/>
    <cellStyle name="Moneda 7 2 5 5 2" xfId="2296" xr:uid="{00000000-0005-0000-0000-0000ED080000}"/>
    <cellStyle name="Moneda 7 2 5 6" xfId="2297" xr:uid="{00000000-0005-0000-0000-0000EE080000}"/>
    <cellStyle name="Moneda 7 2 6" xfId="2298" xr:uid="{00000000-0005-0000-0000-0000EF080000}"/>
    <cellStyle name="Moneda 7 2 6 2" xfId="2299" xr:uid="{00000000-0005-0000-0000-0000F0080000}"/>
    <cellStyle name="Moneda 7 2 6 2 2" xfId="2300" xr:uid="{00000000-0005-0000-0000-0000F1080000}"/>
    <cellStyle name="Moneda 7 2 6 3" xfId="2301" xr:uid="{00000000-0005-0000-0000-0000F2080000}"/>
    <cellStyle name="Moneda 7 2 6 3 2" xfId="2302" xr:uid="{00000000-0005-0000-0000-0000F3080000}"/>
    <cellStyle name="Moneda 7 2 6 4" xfId="2303" xr:uid="{00000000-0005-0000-0000-0000F4080000}"/>
    <cellStyle name="Moneda 7 2 6 4 2" xfId="2304" xr:uid="{00000000-0005-0000-0000-0000F5080000}"/>
    <cellStyle name="Moneda 7 2 6 5" xfId="2305" xr:uid="{00000000-0005-0000-0000-0000F6080000}"/>
    <cellStyle name="Moneda 7 2 7" xfId="2306" xr:uid="{00000000-0005-0000-0000-0000F7080000}"/>
    <cellStyle name="Moneda 7 2 7 2" xfId="2307" xr:uid="{00000000-0005-0000-0000-0000F8080000}"/>
    <cellStyle name="Moneda 7 2 8" xfId="2308" xr:uid="{00000000-0005-0000-0000-0000F9080000}"/>
    <cellStyle name="Moneda 7 2 8 2" xfId="2309" xr:uid="{00000000-0005-0000-0000-0000FA080000}"/>
    <cellStyle name="Moneda 7 2 9" xfId="2310" xr:uid="{00000000-0005-0000-0000-0000FB080000}"/>
    <cellStyle name="Moneda 7 2 9 2" xfId="2311" xr:uid="{00000000-0005-0000-0000-0000FC080000}"/>
    <cellStyle name="Moneda 7 3" xfId="2312" xr:uid="{00000000-0005-0000-0000-0000FD080000}"/>
    <cellStyle name="Moneda 7 3 2" xfId="2313" xr:uid="{00000000-0005-0000-0000-0000FE080000}"/>
    <cellStyle name="Moneda 7 3 2 2" xfId="2314" xr:uid="{00000000-0005-0000-0000-0000FF080000}"/>
    <cellStyle name="Moneda 7 3 2 2 2" xfId="2315" xr:uid="{00000000-0005-0000-0000-000000090000}"/>
    <cellStyle name="Moneda 7 3 2 2 2 2" xfId="2316" xr:uid="{00000000-0005-0000-0000-000001090000}"/>
    <cellStyle name="Moneda 7 3 2 2 3" xfId="2317" xr:uid="{00000000-0005-0000-0000-000002090000}"/>
    <cellStyle name="Moneda 7 3 2 2 3 2" xfId="2318" xr:uid="{00000000-0005-0000-0000-000003090000}"/>
    <cellStyle name="Moneda 7 3 2 2 4" xfId="2319" xr:uid="{00000000-0005-0000-0000-000004090000}"/>
    <cellStyle name="Moneda 7 3 2 2 4 2" xfId="2320" xr:uid="{00000000-0005-0000-0000-000005090000}"/>
    <cellStyle name="Moneda 7 3 2 2 5" xfId="2321" xr:uid="{00000000-0005-0000-0000-000006090000}"/>
    <cellStyle name="Moneda 7 3 2 3" xfId="2322" xr:uid="{00000000-0005-0000-0000-000007090000}"/>
    <cellStyle name="Moneda 7 3 2 3 2" xfId="2323" xr:uid="{00000000-0005-0000-0000-000008090000}"/>
    <cellStyle name="Moneda 7 3 2 4" xfId="2324" xr:uid="{00000000-0005-0000-0000-000009090000}"/>
    <cellStyle name="Moneda 7 3 2 4 2" xfId="2325" xr:uid="{00000000-0005-0000-0000-00000A090000}"/>
    <cellStyle name="Moneda 7 3 2 5" xfId="2326" xr:uid="{00000000-0005-0000-0000-00000B090000}"/>
    <cellStyle name="Moneda 7 3 2 5 2" xfId="2327" xr:uid="{00000000-0005-0000-0000-00000C090000}"/>
    <cellStyle name="Moneda 7 3 2 6" xfId="2328" xr:uid="{00000000-0005-0000-0000-00000D090000}"/>
    <cellStyle name="Moneda 7 3 3" xfId="2329" xr:uid="{00000000-0005-0000-0000-00000E090000}"/>
    <cellStyle name="Moneda 7 3 3 2" xfId="2330" xr:uid="{00000000-0005-0000-0000-00000F090000}"/>
    <cellStyle name="Moneda 7 3 3 2 2" xfId="2331" xr:uid="{00000000-0005-0000-0000-000010090000}"/>
    <cellStyle name="Moneda 7 3 3 3" xfId="2332" xr:uid="{00000000-0005-0000-0000-000011090000}"/>
    <cellStyle name="Moneda 7 3 3 3 2" xfId="2333" xr:uid="{00000000-0005-0000-0000-000012090000}"/>
    <cellStyle name="Moneda 7 3 3 4" xfId="2334" xr:uid="{00000000-0005-0000-0000-000013090000}"/>
    <cellStyle name="Moneda 7 3 3 4 2" xfId="2335" xr:uid="{00000000-0005-0000-0000-000014090000}"/>
    <cellStyle name="Moneda 7 3 3 5" xfId="2336" xr:uid="{00000000-0005-0000-0000-000015090000}"/>
    <cellStyle name="Moneda 7 3 4" xfId="2337" xr:uid="{00000000-0005-0000-0000-000016090000}"/>
    <cellStyle name="Moneda 7 3 4 2" xfId="2338" xr:uid="{00000000-0005-0000-0000-000017090000}"/>
    <cellStyle name="Moneda 7 3 5" xfId="2339" xr:uid="{00000000-0005-0000-0000-000018090000}"/>
    <cellStyle name="Moneda 7 3 5 2" xfId="2340" xr:uid="{00000000-0005-0000-0000-000019090000}"/>
    <cellStyle name="Moneda 7 3 6" xfId="2341" xr:uid="{00000000-0005-0000-0000-00001A090000}"/>
    <cellStyle name="Moneda 7 3 6 2" xfId="2342" xr:uid="{00000000-0005-0000-0000-00001B090000}"/>
    <cellStyle name="Moneda 7 3 7" xfId="2343" xr:uid="{00000000-0005-0000-0000-00001C090000}"/>
    <cellStyle name="Moneda 7 4" xfId="2344" xr:uid="{00000000-0005-0000-0000-00001D090000}"/>
    <cellStyle name="Moneda 7 4 2" xfId="2345" xr:uid="{00000000-0005-0000-0000-00001E090000}"/>
    <cellStyle name="Moneda 7 4 2 2" xfId="2346" xr:uid="{00000000-0005-0000-0000-00001F090000}"/>
    <cellStyle name="Moneda 7 4 2 2 2" xfId="2347" xr:uid="{00000000-0005-0000-0000-000020090000}"/>
    <cellStyle name="Moneda 7 4 2 2 2 2" xfId="2348" xr:uid="{00000000-0005-0000-0000-000021090000}"/>
    <cellStyle name="Moneda 7 4 2 2 3" xfId="2349" xr:uid="{00000000-0005-0000-0000-000022090000}"/>
    <cellStyle name="Moneda 7 4 2 2 3 2" xfId="2350" xr:uid="{00000000-0005-0000-0000-000023090000}"/>
    <cellStyle name="Moneda 7 4 2 2 4" xfId="2351" xr:uid="{00000000-0005-0000-0000-000024090000}"/>
    <cellStyle name="Moneda 7 4 2 2 4 2" xfId="2352" xr:uid="{00000000-0005-0000-0000-000025090000}"/>
    <cellStyle name="Moneda 7 4 2 2 5" xfId="2353" xr:uid="{00000000-0005-0000-0000-000026090000}"/>
    <cellStyle name="Moneda 7 4 2 3" xfId="2354" xr:uid="{00000000-0005-0000-0000-000027090000}"/>
    <cellStyle name="Moneda 7 4 2 3 2" xfId="2355" xr:uid="{00000000-0005-0000-0000-000028090000}"/>
    <cellStyle name="Moneda 7 4 2 4" xfId="2356" xr:uid="{00000000-0005-0000-0000-000029090000}"/>
    <cellStyle name="Moneda 7 4 2 4 2" xfId="2357" xr:uid="{00000000-0005-0000-0000-00002A090000}"/>
    <cellStyle name="Moneda 7 4 2 5" xfId="2358" xr:uid="{00000000-0005-0000-0000-00002B090000}"/>
    <cellStyle name="Moneda 7 4 2 5 2" xfId="2359" xr:uid="{00000000-0005-0000-0000-00002C090000}"/>
    <cellStyle name="Moneda 7 4 2 6" xfId="2360" xr:uid="{00000000-0005-0000-0000-00002D090000}"/>
    <cellStyle name="Moneda 7 4 3" xfId="2361" xr:uid="{00000000-0005-0000-0000-00002E090000}"/>
    <cellStyle name="Moneda 7 4 3 2" xfId="2362" xr:uid="{00000000-0005-0000-0000-00002F090000}"/>
    <cellStyle name="Moneda 7 4 3 2 2" xfId="2363" xr:uid="{00000000-0005-0000-0000-000030090000}"/>
    <cellStyle name="Moneda 7 4 3 3" xfId="2364" xr:uid="{00000000-0005-0000-0000-000031090000}"/>
    <cellStyle name="Moneda 7 4 3 3 2" xfId="2365" xr:uid="{00000000-0005-0000-0000-000032090000}"/>
    <cellStyle name="Moneda 7 4 3 4" xfId="2366" xr:uid="{00000000-0005-0000-0000-000033090000}"/>
    <cellStyle name="Moneda 7 4 3 4 2" xfId="2367" xr:uid="{00000000-0005-0000-0000-000034090000}"/>
    <cellStyle name="Moneda 7 4 3 5" xfId="2368" xr:uid="{00000000-0005-0000-0000-000035090000}"/>
    <cellStyle name="Moneda 7 4 4" xfId="2369" xr:uid="{00000000-0005-0000-0000-000036090000}"/>
    <cellStyle name="Moneda 7 4 4 2" xfId="2370" xr:uid="{00000000-0005-0000-0000-000037090000}"/>
    <cellStyle name="Moneda 7 4 5" xfId="2371" xr:uid="{00000000-0005-0000-0000-000038090000}"/>
    <cellStyle name="Moneda 7 4 5 2" xfId="2372" xr:uid="{00000000-0005-0000-0000-000039090000}"/>
    <cellStyle name="Moneda 7 4 6" xfId="2373" xr:uid="{00000000-0005-0000-0000-00003A090000}"/>
    <cellStyle name="Moneda 7 4 6 2" xfId="2374" xr:uid="{00000000-0005-0000-0000-00003B090000}"/>
    <cellStyle name="Moneda 7 4 7" xfId="2375" xr:uid="{00000000-0005-0000-0000-00003C090000}"/>
    <cellStyle name="Moneda 7 5" xfId="2376" xr:uid="{00000000-0005-0000-0000-00003D090000}"/>
    <cellStyle name="Moneda 7 5 2" xfId="2377" xr:uid="{00000000-0005-0000-0000-00003E090000}"/>
    <cellStyle name="Moneda 7 5 2 2" xfId="2378" xr:uid="{00000000-0005-0000-0000-00003F090000}"/>
    <cellStyle name="Moneda 7 5 2 2 2" xfId="2379" xr:uid="{00000000-0005-0000-0000-000040090000}"/>
    <cellStyle name="Moneda 7 5 2 2 2 2" xfId="2380" xr:uid="{00000000-0005-0000-0000-000041090000}"/>
    <cellStyle name="Moneda 7 5 2 2 3" xfId="2381" xr:uid="{00000000-0005-0000-0000-000042090000}"/>
    <cellStyle name="Moneda 7 5 2 2 3 2" xfId="2382" xr:uid="{00000000-0005-0000-0000-000043090000}"/>
    <cellStyle name="Moneda 7 5 2 2 4" xfId="2383" xr:uid="{00000000-0005-0000-0000-000044090000}"/>
    <cellStyle name="Moneda 7 5 2 2 4 2" xfId="2384" xr:uid="{00000000-0005-0000-0000-000045090000}"/>
    <cellStyle name="Moneda 7 5 2 2 5" xfId="2385" xr:uid="{00000000-0005-0000-0000-000046090000}"/>
    <cellStyle name="Moneda 7 5 2 3" xfId="2386" xr:uid="{00000000-0005-0000-0000-000047090000}"/>
    <cellStyle name="Moneda 7 5 2 3 2" xfId="2387" xr:uid="{00000000-0005-0000-0000-000048090000}"/>
    <cellStyle name="Moneda 7 5 2 4" xfId="2388" xr:uid="{00000000-0005-0000-0000-000049090000}"/>
    <cellStyle name="Moneda 7 5 2 4 2" xfId="2389" xr:uid="{00000000-0005-0000-0000-00004A090000}"/>
    <cellStyle name="Moneda 7 5 2 5" xfId="2390" xr:uid="{00000000-0005-0000-0000-00004B090000}"/>
    <cellStyle name="Moneda 7 5 2 5 2" xfId="2391" xr:uid="{00000000-0005-0000-0000-00004C090000}"/>
    <cellStyle name="Moneda 7 5 2 6" xfId="2392" xr:uid="{00000000-0005-0000-0000-00004D090000}"/>
    <cellStyle name="Moneda 7 5 3" xfId="2393" xr:uid="{00000000-0005-0000-0000-00004E090000}"/>
    <cellStyle name="Moneda 7 5 3 2" xfId="2394" xr:uid="{00000000-0005-0000-0000-00004F090000}"/>
    <cellStyle name="Moneda 7 5 3 2 2" xfId="2395" xr:uid="{00000000-0005-0000-0000-000050090000}"/>
    <cellStyle name="Moneda 7 5 3 3" xfId="2396" xr:uid="{00000000-0005-0000-0000-000051090000}"/>
    <cellStyle name="Moneda 7 5 3 3 2" xfId="2397" xr:uid="{00000000-0005-0000-0000-000052090000}"/>
    <cellStyle name="Moneda 7 5 3 4" xfId="2398" xr:uid="{00000000-0005-0000-0000-000053090000}"/>
    <cellStyle name="Moneda 7 5 3 4 2" xfId="2399" xr:uid="{00000000-0005-0000-0000-000054090000}"/>
    <cellStyle name="Moneda 7 5 3 5" xfId="2400" xr:uid="{00000000-0005-0000-0000-000055090000}"/>
    <cellStyle name="Moneda 7 5 4" xfId="2401" xr:uid="{00000000-0005-0000-0000-000056090000}"/>
    <cellStyle name="Moneda 7 5 4 2" xfId="2402" xr:uid="{00000000-0005-0000-0000-000057090000}"/>
    <cellStyle name="Moneda 7 5 5" xfId="2403" xr:uid="{00000000-0005-0000-0000-000058090000}"/>
    <cellStyle name="Moneda 7 5 5 2" xfId="2404" xr:uid="{00000000-0005-0000-0000-000059090000}"/>
    <cellStyle name="Moneda 7 5 6" xfId="2405" xr:uid="{00000000-0005-0000-0000-00005A090000}"/>
    <cellStyle name="Moneda 7 5 6 2" xfId="2406" xr:uid="{00000000-0005-0000-0000-00005B090000}"/>
    <cellStyle name="Moneda 7 5 7" xfId="2407" xr:uid="{00000000-0005-0000-0000-00005C090000}"/>
    <cellStyle name="Moneda 7 6" xfId="2408" xr:uid="{00000000-0005-0000-0000-00005D090000}"/>
    <cellStyle name="Moneda 7 6 2" xfId="2409" xr:uid="{00000000-0005-0000-0000-00005E090000}"/>
    <cellStyle name="Moneda 7 6 2 2" xfId="2410" xr:uid="{00000000-0005-0000-0000-00005F090000}"/>
    <cellStyle name="Moneda 7 6 2 2 2" xfId="2411" xr:uid="{00000000-0005-0000-0000-000060090000}"/>
    <cellStyle name="Moneda 7 6 2 3" xfId="2412" xr:uid="{00000000-0005-0000-0000-000061090000}"/>
    <cellStyle name="Moneda 7 6 2 3 2" xfId="2413" xr:uid="{00000000-0005-0000-0000-000062090000}"/>
    <cellStyle name="Moneda 7 6 2 4" xfId="2414" xr:uid="{00000000-0005-0000-0000-000063090000}"/>
    <cellStyle name="Moneda 7 6 2 4 2" xfId="2415" xr:uid="{00000000-0005-0000-0000-000064090000}"/>
    <cellStyle name="Moneda 7 6 2 5" xfId="2416" xr:uid="{00000000-0005-0000-0000-000065090000}"/>
    <cellStyle name="Moneda 7 6 3" xfId="2417" xr:uid="{00000000-0005-0000-0000-000066090000}"/>
    <cellStyle name="Moneda 7 6 3 2" xfId="2418" xr:uid="{00000000-0005-0000-0000-000067090000}"/>
    <cellStyle name="Moneda 7 6 4" xfId="2419" xr:uid="{00000000-0005-0000-0000-000068090000}"/>
    <cellStyle name="Moneda 7 6 4 2" xfId="2420" xr:uid="{00000000-0005-0000-0000-000069090000}"/>
    <cellStyle name="Moneda 7 6 5" xfId="2421" xr:uid="{00000000-0005-0000-0000-00006A090000}"/>
    <cellStyle name="Moneda 7 6 5 2" xfId="2422" xr:uid="{00000000-0005-0000-0000-00006B090000}"/>
    <cellStyle name="Moneda 7 6 6" xfId="2423" xr:uid="{00000000-0005-0000-0000-00006C090000}"/>
    <cellStyle name="Moneda 7 7" xfId="2424" xr:uid="{00000000-0005-0000-0000-00006D090000}"/>
    <cellStyle name="Moneda 7 7 2" xfId="2425" xr:uid="{00000000-0005-0000-0000-00006E090000}"/>
    <cellStyle name="Moneda 7 7 2 2" xfId="2426" xr:uid="{00000000-0005-0000-0000-00006F090000}"/>
    <cellStyle name="Moneda 7 7 3" xfId="2427" xr:uid="{00000000-0005-0000-0000-000070090000}"/>
    <cellStyle name="Moneda 7 7 3 2" xfId="2428" xr:uid="{00000000-0005-0000-0000-000071090000}"/>
    <cellStyle name="Moneda 7 7 4" xfId="2429" xr:uid="{00000000-0005-0000-0000-000072090000}"/>
    <cellStyle name="Moneda 7 7 4 2" xfId="2430" xr:uid="{00000000-0005-0000-0000-000073090000}"/>
    <cellStyle name="Moneda 7 7 5" xfId="2431" xr:uid="{00000000-0005-0000-0000-000074090000}"/>
    <cellStyle name="Moneda 7 8" xfId="2432" xr:uid="{00000000-0005-0000-0000-000075090000}"/>
    <cellStyle name="Moneda 7 8 2" xfId="2433" xr:uid="{00000000-0005-0000-0000-000076090000}"/>
    <cellStyle name="Moneda 7 9" xfId="2434" xr:uid="{00000000-0005-0000-0000-000077090000}"/>
    <cellStyle name="Moneda 7 9 2" xfId="2435" xr:uid="{00000000-0005-0000-0000-000078090000}"/>
    <cellStyle name="Moneda 8" xfId="2436" xr:uid="{00000000-0005-0000-0000-000079090000}"/>
    <cellStyle name="Moneda 8 10" xfId="2437" xr:uid="{00000000-0005-0000-0000-00007A090000}"/>
    <cellStyle name="Moneda 8 10 2" xfId="2438" xr:uid="{00000000-0005-0000-0000-00007B090000}"/>
    <cellStyle name="Moneda 8 11" xfId="2439" xr:uid="{00000000-0005-0000-0000-00007C090000}"/>
    <cellStyle name="Moneda 8 11 2" xfId="2440" xr:uid="{00000000-0005-0000-0000-00007D090000}"/>
    <cellStyle name="Moneda 8 12" xfId="2441" xr:uid="{00000000-0005-0000-0000-00007E090000}"/>
    <cellStyle name="Moneda 8 13" xfId="2442" xr:uid="{00000000-0005-0000-0000-00007F090000}"/>
    <cellStyle name="Moneda 8 2" xfId="2443" xr:uid="{00000000-0005-0000-0000-000080090000}"/>
    <cellStyle name="Moneda 8 2 10" xfId="2444" xr:uid="{00000000-0005-0000-0000-000081090000}"/>
    <cellStyle name="Moneda 8 2 11" xfId="2445" xr:uid="{00000000-0005-0000-0000-000082090000}"/>
    <cellStyle name="Moneda 8 2 2" xfId="2446" xr:uid="{00000000-0005-0000-0000-000083090000}"/>
    <cellStyle name="Moneda 8 2 2 2" xfId="2447" xr:uid="{00000000-0005-0000-0000-000084090000}"/>
    <cellStyle name="Moneda 8 2 2 2 2" xfId="2448" xr:uid="{00000000-0005-0000-0000-000085090000}"/>
    <cellStyle name="Moneda 8 2 2 2 2 2" xfId="2449" xr:uid="{00000000-0005-0000-0000-000086090000}"/>
    <cellStyle name="Moneda 8 2 2 2 2 2 2" xfId="2450" xr:uid="{00000000-0005-0000-0000-000087090000}"/>
    <cellStyle name="Moneda 8 2 2 2 2 3" xfId="2451" xr:uid="{00000000-0005-0000-0000-000088090000}"/>
    <cellStyle name="Moneda 8 2 2 2 2 3 2" xfId="2452" xr:uid="{00000000-0005-0000-0000-000089090000}"/>
    <cellStyle name="Moneda 8 2 2 2 2 4" xfId="2453" xr:uid="{00000000-0005-0000-0000-00008A090000}"/>
    <cellStyle name="Moneda 8 2 2 2 2 4 2" xfId="2454" xr:uid="{00000000-0005-0000-0000-00008B090000}"/>
    <cellStyle name="Moneda 8 2 2 2 2 5" xfId="2455" xr:uid="{00000000-0005-0000-0000-00008C090000}"/>
    <cellStyle name="Moneda 8 2 2 2 3" xfId="2456" xr:uid="{00000000-0005-0000-0000-00008D090000}"/>
    <cellStyle name="Moneda 8 2 2 2 3 2" xfId="2457" xr:uid="{00000000-0005-0000-0000-00008E090000}"/>
    <cellStyle name="Moneda 8 2 2 2 4" xfId="2458" xr:uid="{00000000-0005-0000-0000-00008F090000}"/>
    <cellStyle name="Moneda 8 2 2 2 4 2" xfId="2459" xr:uid="{00000000-0005-0000-0000-000090090000}"/>
    <cellStyle name="Moneda 8 2 2 2 5" xfId="2460" xr:uid="{00000000-0005-0000-0000-000091090000}"/>
    <cellStyle name="Moneda 8 2 2 2 5 2" xfId="2461" xr:uid="{00000000-0005-0000-0000-000092090000}"/>
    <cellStyle name="Moneda 8 2 2 2 6" xfId="2462" xr:uid="{00000000-0005-0000-0000-000093090000}"/>
    <cellStyle name="Moneda 8 2 2 3" xfId="2463" xr:uid="{00000000-0005-0000-0000-000094090000}"/>
    <cellStyle name="Moneda 8 2 2 3 2" xfId="2464" xr:uid="{00000000-0005-0000-0000-000095090000}"/>
    <cellStyle name="Moneda 8 2 2 3 2 2" xfId="2465" xr:uid="{00000000-0005-0000-0000-000096090000}"/>
    <cellStyle name="Moneda 8 2 2 3 3" xfId="2466" xr:uid="{00000000-0005-0000-0000-000097090000}"/>
    <cellStyle name="Moneda 8 2 2 3 3 2" xfId="2467" xr:uid="{00000000-0005-0000-0000-000098090000}"/>
    <cellStyle name="Moneda 8 2 2 3 4" xfId="2468" xr:uid="{00000000-0005-0000-0000-000099090000}"/>
    <cellStyle name="Moneda 8 2 2 3 4 2" xfId="2469" xr:uid="{00000000-0005-0000-0000-00009A090000}"/>
    <cellStyle name="Moneda 8 2 2 3 5" xfId="2470" xr:uid="{00000000-0005-0000-0000-00009B090000}"/>
    <cellStyle name="Moneda 8 2 2 4" xfId="2471" xr:uid="{00000000-0005-0000-0000-00009C090000}"/>
    <cellStyle name="Moneda 8 2 2 4 2" xfId="2472" xr:uid="{00000000-0005-0000-0000-00009D090000}"/>
    <cellStyle name="Moneda 8 2 2 5" xfId="2473" xr:uid="{00000000-0005-0000-0000-00009E090000}"/>
    <cellStyle name="Moneda 8 2 2 5 2" xfId="2474" xr:uid="{00000000-0005-0000-0000-00009F090000}"/>
    <cellStyle name="Moneda 8 2 2 6" xfId="2475" xr:uid="{00000000-0005-0000-0000-0000A0090000}"/>
    <cellStyle name="Moneda 8 2 2 6 2" xfId="2476" xr:uid="{00000000-0005-0000-0000-0000A1090000}"/>
    <cellStyle name="Moneda 8 2 2 7" xfId="2477" xr:uid="{00000000-0005-0000-0000-0000A2090000}"/>
    <cellStyle name="Moneda 8 2 3" xfId="2478" xr:uid="{00000000-0005-0000-0000-0000A3090000}"/>
    <cellStyle name="Moneda 8 2 3 2" xfId="2479" xr:uid="{00000000-0005-0000-0000-0000A4090000}"/>
    <cellStyle name="Moneda 8 2 3 2 2" xfId="2480" xr:uid="{00000000-0005-0000-0000-0000A5090000}"/>
    <cellStyle name="Moneda 8 2 3 2 2 2" xfId="2481" xr:uid="{00000000-0005-0000-0000-0000A6090000}"/>
    <cellStyle name="Moneda 8 2 3 2 2 2 2" xfId="2482" xr:uid="{00000000-0005-0000-0000-0000A7090000}"/>
    <cellStyle name="Moneda 8 2 3 2 2 3" xfId="2483" xr:uid="{00000000-0005-0000-0000-0000A8090000}"/>
    <cellStyle name="Moneda 8 2 3 2 2 3 2" xfId="2484" xr:uid="{00000000-0005-0000-0000-0000A9090000}"/>
    <cellStyle name="Moneda 8 2 3 2 2 4" xfId="2485" xr:uid="{00000000-0005-0000-0000-0000AA090000}"/>
    <cellStyle name="Moneda 8 2 3 2 2 4 2" xfId="2486" xr:uid="{00000000-0005-0000-0000-0000AB090000}"/>
    <cellStyle name="Moneda 8 2 3 2 2 5" xfId="2487" xr:uid="{00000000-0005-0000-0000-0000AC090000}"/>
    <cellStyle name="Moneda 8 2 3 2 3" xfId="2488" xr:uid="{00000000-0005-0000-0000-0000AD090000}"/>
    <cellStyle name="Moneda 8 2 3 2 3 2" xfId="2489" xr:uid="{00000000-0005-0000-0000-0000AE090000}"/>
    <cellStyle name="Moneda 8 2 3 2 4" xfId="2490" xr:uid="{00000000-0005-0000-0000-0000AF090000}"/>
    <cellStyle name="Moneda 8 2 3 2 4 2" xfId="2491" xr:uid="{00000000-0005-0000-0000-0000B0090000}"/>
    <cellStyle name="Moneda 8 2 3 2 5" xfId="2492" xr:uid="{00000000-0005-0000-0000-0000B1090000}"/>
    <cellStyle name="Moneda 8 2 3 2 5 2" xfId="2493" xr:uid="{00000000-0005-0000-0000-0000B2090000}"/>
    <cellStyle name="Moneda 8 2 3 2 6" xfId="2494" xr:uid="{00000000-0005-0000-0000-0000B3090000}"/>
    <cellStyle name="Moneda 8 2 3 3" xfId="2495" xr:uid="{00000000-0005-0000-0000-0000B4090000}"/>
    <cellStyle name="Moneda 8 2 3 3 2" xfId="2496" xr:uid="{00000000-0005-0000-0000-0000B5090000}"/>
    <cellStyle name="Moneda 8 2 3 3 2 2" xfId="2497" xr:uid="{00000000-0005-0000-0000-0000B6090000}"/>
    <cellStyle name="Moneda 8 2 3 3 3" xfId="2498" xr:uid="{00000000-0005-0000-0000-0000B7090000}"/>
    <cellStyle name="Moneda 8 2 3 3 3 2" xfId="2499" xr:uid="{00000000-0005-0000-0000-0000B8090000}"/>
    <cellStyle name="Moneda 8 2 3 3 4" xfId="2500" xr:uid="{00000000-0005-0000-0000-0000B9090000}"/>
    <cellStyle name="Moneda 8 2 3 3 4 2" xfId="2501" xr:uid="{00000000-0005-0000-0000-0000BA090000}"/>
    <cellStyle name="Moneda 8 2 3 3 5" xfId="2502" xr:uid="{00000000-0005-0000-0000-0000BB090000}"/>
    <cellStyle name="Moneda 8 2 3 4" xfId="2503" xr:uid="{00000000-0005-0000-0000-0000BC090000}"/>
    <cellStyle name="Moneda 8 2 3 4 2" xfId="2504" xr:uid="{00000000-0005-0000-0000-0000BD090000}"/>
    <cellStyle name="Moneda 8 2 3 5" xfId="2505" xr:uid="{00000000-0005-0000-0000-0000BE090000}"/>
    <cellStyle name="Moneda 8 2 3 5 2" xfId="2506" xr:uid="{00000000-0005-0000-0000-0000BF090000}"/>
    <cellStyle name="Moneda 8 2 3 6" xfId="2507" xr:uid="{00000000-0005-0000-0000-0000C0090000}"/>
    <cellStyle name="Moneda 8 2 3 6 2" xfId="2508" xr:uid="{00000000-0005-0000-0000-0000C1090000}"/>
    <cellStyle name="Moneda 8 2 3 7" xfId="2509" xr:uid="{00000000-0005-0000-0000-0000C2090000}"/>
    <cellStyle name="Moneda 8 2 4" xfId="2510" xr:uid="{00000000-0005-0000-0000-0000C3090000}"/>
    <cellStyle name="Moneda 8 2 4 2" xfId="2511" xr:uid="{00000000-0005-0000-0000-0000C4090000}"/>
    <cellStyle name="Moneda 8 2 4 2 2" xfId="2512" xr:uid="{00000000-0005-0000-0000-0000C5090000}"/>
    <cellStyle name="Moneda 8 2 4 2 2 2" xfId="2513" xr:uid="{00000000-0005-0000-0000-0000C6090000}"/>
    <cellStyle name="Moneda 8 2 4 2 2 2 2" xfId="2514" xr:uid="{00000000-0005-0000-0000-0000C7090000}"/>
    <cellStyle name="Moneda 8 2 4 2 2 3" xfId="2515" xr:uid="{00000000-0005-0000-0000-0000C8090000}"/>
    <cellStyle name="Moneda 8 2 4 2 2 3 2" xfId="2516" xr:uid="{00000000-0005-0000-0000-0000C9090000}"/>
    <cellStyle name="Moneda 8 2 4 2 2 4" xfId="2517" xr:uid="{00000000-0005-0000-0000-0000CA090000}"/>
    <cellStyle name="Moneda 8 2 4 2 2 4 2" xfId="2518" xr:uid="{00000000-0005-0000-0000-0000CB090000}"/>
    <cellStyle name="Moneda 8 2 4 2 2 5" xfId="2519" xr:uid="{00000000-0005-0000-0000-0000CC090000}"/>
    <cellStyle name="Moneda 8 2 4 2 3" xfId="2520" xr:uid="{00000000-0005-0000-0000-0000CD090000}"/>
    <cellStyle name="Moneda 8 2 4 2 3 2" xfId="2521" xr:uid="{00000000-0005-0000-0000-0000CE090000}"/>
    <cellStyle name="Moneda 8 2 4 2 4" xfId="2522" xr:uid="{00000000-0005-0000-0000-0000CF090000}"/>
    <cellStyle name="Moneda 8 2 4 2 4 2" xfId="2523" xr:uid="{00000000-0005-0000-0000-0000D0090000}"/>
    <cellStyle name="Moneda 8 2 4 2 5" xfId="2524" xr:uid="{00000000-0005-0000-0000-0000D1090000}"/>
    <cellStyle name="Moneda 8 2 4 2 5 2" xfId="2525" xr:uid="{00000000-0005-0000-0000-0000D2090000}"/>
    <cellStyle name="Moneda 8 2 4 2 6" xfId="2526" xr:uid="{00000000-0005-0000-0000-0000D3090000}"/>
    <cellStyle name="Moneda 8 2 4 3" xfId="2527" xr:uid="{00000000-0005-0000-0000-0000D4090000}"/>
    <cellStyle name="Moneda 8 2 4 3 2" xfId="2528" xr:uid="{00000000-0005-0000-0000-0000D5090000}"/>
    <cellStyle name="Moneda 8 2 4 3 2 2" xfId="2529" xr:uid="{00000000-0005-0000-0000-0000D6090000}"/>
    <cellStyle name="Moneda 8 2 4 3 3" xfId="2530" xr:uid="{00000000-0005-0000-0000-0000D7090000}"/>
    <cellStyle name="Moneda 8 2 4 3 3 2" xfId="2531" xr:uid="{00000000-0005-0000-0000-0000D8090000}"/>
    <cellStyle name="Moneda 8 2 4 3 4" xfId="2532" xr:uid="{00000000-0005-0000-0000-0000D9090000}"/>
    <cellStyle name="Moneda 8 2 4 3 4 2" xfId="2533" xr:uid="{00000000-0005-0000-0000-0000DA090000}"/>
    <cellStyle name="Moneda 8 2 4 3 5" xfId="2534" xr:uid="{00000000-0005-0000-0000-0000DB090000}"/>
    <cellStyle name="Moneda 8 2 4 4" xfId="2535" xr:uid="{00000000-0005-0000-0000-0000DC090000}"/>
    <cellStyle name="Moneda 8 2 4 4 2" xfId="2536" xr:uid="{00000000-0005-0000-0000-0000DD090000}"/>
    <cellStyle name="Moneda 8 2 4 5" xfId="2537" xr:uid="{00000000-0005-0000-0000-0000DE090000}"/>
    <cellStyle name="Moneda 8 2 4 5 2" xfId="2538" xr:uid="{00000000-0005-0000-0000-0000DF090000}"/>
    <cellStyle name="Moneda 8 2 4 6" xfId="2539" xr:uid="{00000000-0005-0000-0000-0000E0090000}"/>
    <cellStyle name="Moneda 8 2 4 6 2" xfId="2540" xr:uid="{00000000-0005-0000-0000-0000E1090000}"/>
    <cellStyle name="Moneda 8 2 4 7" xfId="2541" xr:uid="{00000000-0005-0000-0000-0000E2090000}"/>
    <cellStyle name="Moneda 8 2 5" xfId="2542" xr:uid="{00000000-0005-0000-0000-0000E3090000}"/>
    <cellStyle name="Moneda 8 2 5 2" xfId="2543" xr:uid="{00000000-0005-0000-0000-0000E4090000}"/>
    <cellStyle name="Moneda 8 2 5 2 2" xfId="2544" xr:uid="{00000000-0005-0000-0000-0000E5090000}"/>
    <cellStyle name="Moneda 8 2 5 2 2 2" xfId="2545" xr:uid="{00000000-0005-0000-0000-0000E6090000}"/>
    <cellStyle name="Moneda 8 2 5 2 3" xfId="2546" xr:uid="{00000000-0005-0000-0000-0000E7090000}"/>
    <cellStyle name="Moneda 8 2 5 2 3 2" xfId="2547" xr:uid="{00000000-0005-0000-0000-0000E8090000}"/>
    <cellStyle name="Moneda 8 2 5 2 4" xfId="2548" xr:uid="{00000000-0005-0000-0000-0000E9090000}"/>
    <cellStyle name="Moneda 8 2 5 2 4 2" xfId="2549" xr:uid="{00000000-0005-0000-0000-0000EA090000}"/>
    <cellStyle name="Moneda 8 2 5 2 5" xfId="2550" xr:uid="{00000000-0005-0000-0000-0000EB090000}"/>
    <cellStyle name="Moneda 8 2 5 3" xfId="2551" xr:uid="{00000000-0005-0000-0000-0000EC090000}"/>
    <cellStyle name="Moneda 8 2 5 3 2" xfId="2552" xr:uid="{00000000-0005-0000-0000-0000ED090000}"/>
    <cellStyle name="Moneda 8 2 5 4" xfId="2553" xr:uid="{00000000-0005-0000-0000-0000EE090000}"/>
    <cellStyle name="Moneda 8 2 5 4 2" xfId="2554" xr:uid="{00000000-0005-0000-0000-0000EF090000}"/>
    <cellStyle name="Moneda 8 2 5 5" xfId="2555" xr:uid="{00000000-0005-0000-0000-0000F0090000}"/>
    <cellStyle name="Moneda 8 2 5 5 2" xfId="2556" xr:uid="{00000000-0005-0000-0000-0000F1090000}"/>
    <cellStyle name="Moneda 8 2 5 6" xfId="2557" xr:uid="{00000000-0005-0000-0000-0000F2090000}"/>
    <cellStyle name="Moneda 8 2 6" xfId="2558" xr:uid="{00000000-0005-0000-0000-0000F3090000}"/>
    <cellStyle name="Moneda 8 2 6 2" xfId="2559" xr:uid="{00000000-0005-0000-0000-0000F4090000}"/>
    <cellStyle name="Moneda 8 2 6 2 2" xfId="2560" xr:uid="{00000000-0005-0000-0000-0000F5090000}"/>
    <cellStyle name="Moneda 8 2 6 3" xfId="2561" xr:uid="{00000000-0005-0000-0000-0000F6090000}"/>
    <cellStyle name="Moneda 8 2 6 3 2" xfId="2562" xr:uid="{00000000-0005-0000-0000-0000F7090000}"/>
    <cellStyle name="Moneda 8 2 6 4" xfId="2563" xr:uid="{00000000-0005-0000-0000-0000F8090000}"/>
    <cellStyle name="Moneda 8 2 6 4 2" xfId="2564" xr:uid="{00000000-0005-0000-0000-0000F9090000}"/>
    <cellStyle name="Moneda 8 2 6 5" xfId="2565" xr:uid="{00000000-0005-0000-0000-0000FA090000}"/>
    <cellStyle name="Moneda 8 2 7" xfId="2566" xr:uid="{00000000-0005-0000-0000-0000FB090000}"/>
    <cellStyle name="Moneda 8 2 7 2" xfId="2567" xr:uid="{00000000-0005-0000-0000-0000FC090000}"/>
    <cellStyle name="Moneda 8 2 8" xfId="2568" xr:uid="{00000000-0005-0000-0000-0000FD090000}"/>
    <cellStyle name="Moneda 8 2 8 2" xfId="2569" xr:uid="{00000000-0005-0000-0000-0000FE090000}"/>
    <cellStyle name="Moneda 8 2 9" xfId="2570" xr:uid="{00000000-0005-0000-0000-0000FF090000}"/>
    <cellStyle name="Moneda 8 2 9 2" xfId="2571" xr:uid="{00000000-0005-0000-0000-0000000A0000}"/>
    <cellStyle name="Moneda 8 3" xfId="2572" xr:uid="{00000000-0005-0000-0000-0000010A0000}"/>
    <cellStyle name="Moneda 8 3 2" xfId="2573" xr:uid="{00000000-0005-0000-0000-0000020A0000}"/>
    <cellStyle name="Moneda 8 3 2 2" xfId="2574" xr:uid="{00000000-0005-0000-0000-0000030A0000}"/>
    <cellStyle name="Moneda 8 3 2 2 2" xfId="2575" xr:uid="{00000000-0005-0000-0000-0000040A0000}"/>
    <cellStyle name="Moneda 8 3 2 2 2 2" xfId="2576" xr:uid="{00000000-0005-0000-0000-0000050A0000}"/>
    <cellStyle name="Moneda 8 3 2 2 3" xfId="2577" xr:uid="{00000000-0005-0000-0000-0000060A0000}"/>
    <cellStyle name="Moneda 8 3 2 2 3 2" xfId="2578" xr:uid="{00000000-0005-0000-0000-0000070A0000}"/>
    <cellStyle name="Moneda 8 3 2 2 4" xfId="2579" xr:uid="{00000000-0005-0000-0000-0000080A0000}"/>
    <cellStyle name="Moneda 8 3 2 2 4 2" xfId="2580" xr:uid="{00000000-0005-0000-0000-0000090A0000}"/>
    <cellStyle name="Moneda 8 3 2 2 5" xfId="2581" xr:uid="{00000000-0005-0000-0000-00000A0A0000}"/>
    <cellStyle name="Moneda 8 3 2 3" xfId="2582" xr:uid="{00000000-0005-0000-0000-00000B0A0000}"/>
    <cellStyle name="Moneda 8 3 2 3 2" xfId="2583" xr:uid="{00000000-0005-0000-0000-00000C0A0000}"/>
    <cellStyle name="Moneda 8 3 2 4" xfId="2584" xr:uid="{00000000-0005-0000-0000-00000D0A0000}"/>
    <cellStyle name="Moneda 8 3 2 4 2" xfId="2585" xr:uid="{00000000-0005-0000-0000-00000E0A0000}"/>
    <cellStyle name="Moneda 8 3 2 5" xfId="2586" xr:uid="{00000000-0005-0000-0000-00000F0A0000}"/>
    <cellStyle name="Moneda 8 3 2 5 2" xfId="2587" xr:uid="{00000000-0005-0000-0000-0000100A0000}"/>
    <cellStyle name="Moneda 8 3 2 6" xfId="2588" xr:uid="{00000000-0005-0000-0000-0000110A0000}"/>
    <cellStyle name="Moneda 8 3 3" xfId="2589" xr:uid="{00000000-0005-0000-0000-0000120A0000}"/>
    <cellStyle name="Moneda 8 3 3 2" xfId="2590" xr:uid="{00000000-0005-0000-0000-0000130A0000}"/>
    <cellStyle name="Moneda 8 3 3 2 2" xfId="2591" xr:uid="{00000000-0005-0000-0000-0000140A0000}"/>
    <cellStyle name="Moneda 8 3 3 3" xfId="2592" xr:uid="{00000000-0005-0000-0000-0000150A0000}"/>
    <cellStyle name="Moneda 8 3 3 3 2" xfId="2593" xr:uid="{00000000-0005-0000-0000-0000160A0000}"/>
    <cellStyle name="Moneda 8 3 3 4" xfId="2594" xr:uid="{00000000-0005-0000-0000-0000170A0000}"/>
    <cellStyle name="Moneda 8 3 3 4 2" xfId="2595" xr:uid="{00000000-0005-0000-0000-0000180A0000}"/>
    <cellStyle name="Moneda 8 3 3 5" xfId="2596" xr:uid="{00000000-0005-0000-0000-0000190A0000}"/>
    <cellStyle name="Moneda 8 3 4" xfId="2597" xr:uid="{00000000-0005-0000-0000-00001A0A0000}"/>
    <cellStyle name="Moneda 8 3 4 2" xfId="2598" xr:uid="{00000000-0005-0000-0000-00001B0A0000}"/>
    <cellStyle name="Moneda 8 3 5" xfId="2599" xr:uid="{00000000-0005-0000-0000-00001C0A0000}"/>
    <cellStyle name="Moneda 8 3 5 2" xfId="2600" xr:uid="{00000000-0005-0000-0000-00001D0A0000}"/>
    <cellStyle name="Moneda 8 3 6" xfId="2601" xr:uid="{00000000-0005-0000-0000-00001E0A0000}"/>
    <cellStyle name="Moneda 8 3 6 2" xfId="2602" xr:uid="{00000000-0005-0000-0000-00001F0A0000}"/>
    <cellStyle name="Moneda 8 3 7" xfId="2603" xr:uid="{00000000-0005-0000-0000-0000200A0000}"/>
    <cellStyle name="Moneda 8 4" xfId="2604" xr:uid="{00000000-0005-0000-0000-0000210A0000}"/>
    <cellStyle name="Moneda 8 4 2" xfId="2605" xr:uid="{00000000-0005-0000-0000-0000220A0000}"/>
    <cellStyle name="Moneda 8 4 2 2" xfId="2606" xr:uid="{00000000-0005-0000-0000-0000230A0000}"/>
    <cellStyle name="Moneda 8 4 2 2 2" xfId="2607" xr:uid="{00000000-0005-0000-0000-0000240A0000}"/>
    <cellStyle name="Moneda 8 4 2 2 2 2" xfId="2608" xr:uid="{00000000-0005-0000-0000-0000250A0000}"/>
    <cellStyle name="Moneda 8 4 2 2 3" xfId="2609" xr:uid="{00000000-0005-0000-0000-0000260A0000}"/>
    <cellStyle name="Moneda 8 4 2 2 3 2" xfId="2610" xr:uid="{00000000-0005-0000-0000-0000270A0000}"/>
    <cellStyle name="Moneda 8 4 2 2 4" xfId="2611" xr:uid="{00000000-0005-0000-0000-0000280A0000}"/>
    <cellStyle name="Moneda 8 4 2 2 4 2" xfId="2612" xr:uid="{00000000-0005-0000-0000-0000290A0000}"/>
    <cellStyle name="Moneda 8 4 2 2 5" xfId="2613" xr:uid="{00000000-0005-0000-0000-00002A0A0000}"/>
    <cellStyle name="Moneda 8 4 2 3" xfId="2614" xr:uid="{00000000-0005-0000-0000-00002B0A0000}"/>
    <cellStyle name="Moneda 8 4 2 3 2" xfId="2615" xr:uid="{00000000-0005-0000-0000-00002C0A0000}"/>
    <cellStyle name="Moneda 8 4 2 4" xfId="2616" xr:uid="{00000000-0005-0000-0000-00002D0A0000}"/>
    <cellStyle name="Moneda 8 4 2 4 2" xfId="2617" xr:uid="{00000000-0005-0000-0000-00002E0A0000}"/>
    <cellStyle name="Moneda 8 4 2 5" xfId="2618" xr:uid="{00000000-0005-0000-0000-00002F0A0000}"/>
    <cellStyle name="Moneda 8 4 2 5 2" xfId="2619" xr:uid="{00000000-0005-0000-0000-0000300A0000}"/>
    <cellStyle name="Moneda 8 4 2 6" xfId="2620" xr:uid="{00000000-0005-0000-0000-0000310A0000}"/>
    <cellStyle name="Moneda 8 4 3" xfId="2621" xr:uid="{00000000-0005-0000-0000-0000320A0000}"/>
    <cellStyle name="Moneda 8 4 3 2" xfId="2622" xr:uid="{00000000-0005-0000-0000-0000330A0000}"/>
    <cellStyle name="Moneda 8 4 3 2 2" xfId="2623" xr:uid="{00000000-0005-0000-0000-0000340A0000}"/>
    <cellStyle name="Moneda 8 4 3 3" xfId="2624" xr:uid="{00000000-0005-0000-0000-0000350A0000}"/>
    <cellStyle name="Moneda 8 4 3 3 2" xfId="2625" xr:uid="{00000000-0005-0000-0000-0000360A0000}"/>
    <cellStyle name="Moneda 8 4 3 4" xfId="2626" xr:uid="{00000000-0005-0000-0000-0000370A0000}"/>
    <cellStyle name="Moneda 8 4 3 4 2" xfId="2627" xr:uid="{00000000-0005-0000-0000-0000380A0000}"/>
    <cellStyle name="Moneda 8 4 3 5" xfId="2628" xr:uid="{00000000-0005-0000-0000-0000390A0000}"/>
    <cellStyle name="Moneda 8 4 4" xfId="2629" xr:uid="{00000000-0005-0000-0000-00003A0A0000}"/>
    <cellStyle name="Moneda 8 4 4 2" xfId="2630" xr:uid="{00000000-0005-0000-0000-00003B0A0000}"/>
    <cellStyle name="Moneda 8 4 5" xfId="2631" xr:uid="{00000000-0005-0000-0000-00003C0A0000}"/>
    <cellStyle name="Moneda 8 4 5 2" xfId="2632" xr:uid="{00000000-0005-0000-0000-00003D0A0000}"/>
    <cellStyle name="Moneda 8 4 6" xfId="2633" xr:uid="{00000000-0005-0000-0000-00003E0A0000}"/>
    <cellStyle name="Moneda 8 4 6 2" xfId="2634" xr:uid="{00000000-0005-0000-0000-00003F0A0000}"/>
    <cellStyle name="Moneda 8 4 7" xfId="2635" xr:uid="{00000000-0005-0000-0000-0000400A0000}"/>
    <cellStyle name="Moneda 8 5" xfId="2636" xr:uid="{00000000-0005-0000-0000-0000410A0000}"/>
    <cellStyle name="Moneda 8 5 2" xfId="2637" xr:uid="{00000000-0005-0000-0000-0000420A0000}"/>
    <cellStyle name="Moneda 8 5 2 2" xfId="2638" xr:uid="{00000000-0005-0000-0000-0000430A0000}"/>
    <cellStyle name="Moneda 8 5 2 2 2" xfId="2639" xr:uid="{00000000-0005-0000-0000-0000440A0000}"/>
    <cellStyle name="Moneda 8 5 2 2 2 2" xfId="2640" xr:uid="{00000000-0005-0000-0000-0000450A0000}"/>
    <cellStyle name="Moneda 8 5 2 2 3" xfId="2641" xr:uid="{00000000-0005-0000-0000-0000460A0000}"/>
    <cellStyle name="Moneda 8 5 2 2 3 2" xfId="2642" xr:uid="{00000000-0005-0000-0000-0000470A0000}"/>
    <cellStyle name="Moneda 8 5 2 2 4" xfId="2643" xr:uid="{00000000-0005-0000-0000-0000480A0000}"/>
    <cellStyle name="Moneda 8 5 2 2 4 2" xfId="2644" xr:uid="{00000000-0005-0000-0000-0000490A0000}"/>
    <cellStyle name="Moneda 8 5 2 2 5" xfId="2645" xr:uid="{00000000-0005-0000-0000-00004A0A0000}"/>
    <cellStyle name="Moneda 8 5 2 3" xfId="2646" xr:uid="{00000000-0005-0000-0000-00004B0A0000}"/>
    <cellStyle name="Moneda 8 5 2 3 2" xfId="2647" xr:uid="{00000000-0005-0000-0000-00004C0A0000}"/>
    <cellStyle name="Moneda 8 5 2 4" xfId="2648" xr:uid="{00000000-0005-0000-0000-00004D0A0000}"/>
    <cellStyle name="Moneda 8 5 2 4 2" xfId="2649" xr:uid="{00000000-0005-0000-0000-00004E0A0000}"/>
    <cellStyle name="Moneda 8 5 2 5" xfId="2650" xr:uid="{00000000-0005-0000-0000-00004F0A0000}"/>
    <cellStyle name="Moneda 8 5 2 5 2" xfId="2651" xr:uid="{00000000-0005-0000-0000-0000500A0000}"/>
    <cellStyle name="Moneda 8 5 2 6" xfId="2652" xr:uid="{00000000-0005-0000-0000-0000510A0000}"/>
    <cellStyle name="Moneda 8 5 3" xfId="2653" xr:uid="{00000000-0005-0000-0000-0000520A0000}"/>
    <cellStyle name="Moneda 8 5 3 2" xfId="2654" xr:uid="{00000000-0005-0000-0000-0000530A0000}"/>
    <cellStyle name="Moneda 8 5 3 2 2" xfId="2655" xr:uid="{00000000-0005-0000-0000-0000540A0000}"/>
    <cellStyle name="Moneda 8 5 3 3" xfId="2656" xr:uid="{00000000-0005-0000-0000-0000550A0000}"/>
    <cellStyle name="Moneda 8 5 3 3 2" xfId="2657" xr:uid="{00000000-0005-0000-0000-0000560A0000}"/>
    <cellStyle name="Moneda 8 5 3 4" xfId="2658" xr:uid="{00000000-0005-0000-0000-0000570A0000}"/>
    <cellStyle name="Moneda 8 5 3 4 2" xfId="2659" xr:uid="{00000000-0005-0000-0000-0000580A0000}"/>
    <cellStyle name="Moneda 8 5 3 5" xfId="2660" xr:uid="{00000000-0005-0000-0000-0000590A0000}"/>
    <cellStyle name="Moneda 8 5 4" xfId="2661" xr:uid="{00000000-0005-0000-0000-00005A0A0000}"/>
    <cellStyle name="Moneda 8 5 4 2" xfId="2662" xr:uid="{00000000-0005-0000-0000-00005B0A0000}"/>
    <cellStyle name="Moneda 8 5 5" xfId="2663" xr:uid="{00000000-0005-0000-0000-00005C0A0000}"/>
    <cellStyle name="Moneda 8 5 5 2" xfId="2664" xr:uid="{00000000-0005-0000-0000-00005D0A0000}"/>
    <cellStyle name="Moneda 8 5 6" xfId="2665" xr:uid="{00000000-0005-0000-0000-00005E0A0000}"/>
    <cellStyle name="Moneda 8 5 6 2" xfId="2666" xr:uid="{00000000-0005-0000-0000-00005F0A0000}"/>
    <cellStyle name="Moneda 8 5 7" xfId="2667" xr:uid="{00000000-0005-0000-0000-0000600A0000}"/>
    <cellStyle name="Moneda 8 6" xfId="2668" xr:uid="{00000000-0005-0000-0000-0000610A0000}"/>
    <cellStyle name="Moneda 8 6 2" xfId="2669" xr:uid="{00000000-0005-0000-0000-0000620A0000}"/>
    <cellStyle name="Moneda 8 6 2 2" xfId="2670" xr:uid="{00000000-0005-0000-0000-0000630A0000}"/>
    <cellStyle name="Moneda 8 6 2 2 2" xfId="2671" xr:uid="{00000000-0005-0000-0000-0000640A0000}"/>
    <cellStyle name="Moneda 8 6 2 3" xfId="2672" xr:uid="{00000000-0005-0000-0000-0000650A0000}"/>
    <cellStyle name="Moneda 8 6 2 3 2" xfId="2673" xr:uid="{00000000-0005-0000-0000-0000660A0000}"/>
    <cellStyle name="Moneda 8 6 2 4" xfId="2674" xr:uid="{00000000-0005-0000-0000-0000670A0000}"/>
    <cellStyle name="Moneda 8 6 2 4 2" xfId="2675" xr:uid="{00000000-0005-0000-0000-0000680A0000}"/>
    <cellStyle name="Moneda 8 6 2 5" xfId="2676" xr:uid="{00000000-0005-0000-0000-0000690A0000}"/>
    <cellStyle name="Moneda 8 6 3" xfId="2677" xr:uid="{00000000-0005-0000-0000-00006A0A0000}"/>
    <cellStyle name="Moneda 8 6 3 2" xfId="2678" xr:uid="{00000000-0005-0000-0000-00006B0A0000}"/>
    <cellStyle name="Moneda 8 6 4" xfId="2679" xr:uid="{00000000-0005-0000-0000-00006C0A0000}"/>
    <cellStyle name="Moneda 8 6 4 2" xfId="2680" xr:uid="{00000000-0005-0000-0000-00006D0A0000}"/>
    <cellStyle name="Moneda 8 6 5" xfId="2681" xr:uid="{00000000-0005-0000-0000-00006E0A0000}"/>
    <cellStyle name="Moneda 8 6 5 2" xfId="2682" xr:uid="{00000000-0005-0000-0000-00006F0A0000}"/>
    <cellStyle name="Moneda 8 6 6" xfId="2683" xr:uid="{00000000-0005-0000-0000-0000700A0000}"/>
    <cellStyle name="Moneda 8 7" xfId="2684" xr:uid="{00000000-0005-0000-0000-0000710A0000}"/>
    <cellStyle name="Moneda 8 7 2" xfId="2685" xr:uid="{00000000-0005-0000-0000-0000720A0000}"/>
    <cellStyle name="Moneda 8 7 2 2" xfId="2686" xr:uid="{00000000-0005-0000-0000-0000730A0000}"/>
    <cellStyle name="Moneda 8 7 3" xfId="2687" xr:uid="{00000000-0005-0000-0000-0000740A0000}"/>
    <cellStyle name="Moneda 8 7 3 2" xfId="2688" xr:uid="{00000000-0005-0000-0000-0000750A0000}"/>
    <cellStyle name="Moneda 8 7 4" xfId="2689" xr:uid="{00000000-0005-0000-0000-0000760A0000}"/>
    <cellStyle name="Moneda 8 7 4 2" xfId="2690" xr:uid="{00000000-0005-0000-0000-0000770A0000}"/>
    <cellStyle name="Moneda 8 7 5" xfId="2691" xr:uid="{00000000-0005-0000-0000-0000780A0000}"/>
    <cellStyle name="Moneda 8 8" xfId="2692" xr:uid="{00000000-0005-0000-0000-0000790A0000}"/>
    <cellStyle name="Moneda 8 8 2" xfId="2693" xr:uid="{00000000-0005-0000-0000-00007A0A0000}"/>
    <cellStyle name="Moneda 8 8 2 2" xfId="2694" xr:uid="{00000000-0005-0000-0000-00007B0A0000}"/>
    <cellStyle name="Moneda 8 8 3" xfId="2695" xr:uid="{00000000-0005-0000-0000-00007C0A0000}"/>
    <cellStyle name="Moneda 8 8 3 2" xfId="2696" xr:uid="{00000000-0005-0000-0000-00007D0A0000}"/>
    <cellStyle name="Moneda 8 8 4" xfId="2697" xr:uid="{00000000-0005-0000-0000-00007E0A0000}"/>
    <cellStyle name="Moneda 8 8 4 2" xfId="2698" xr:uid="{00000000-0005-0000-0000-00007F0A0000}"/>
    <cellStyle name="Moneda 8 8 5" xfId="2699" xr:uid="{00000000-0005-0000-0000-0000800A0000}"/>
    <cellStyle name="Moneda 8 9" xfId="2700" xr:uid="{00000000-0005-0000-0000-0000810A0000}"/>
    <cellStyle name="Moneda 8 9 2" xfId="2701" xr:uid="{00000000-0005-0000-0000-0000820A0000}"/>
    <cellStyle name="Moneda 9" xfId="2702" xr:uid="{00000000-0005-0000-0000-0000830A0000}"/>
    <cellStyle name="Moneda 9 10" xfId="2703" xr:uid="{00000000-0005-0000-0000-0000840A0000}"/>
    <cellStyle name="Moneda 9 11" xfId="2704" xr:uid="{00000000-0005-0000-0000-0000850A0000}"/>
    <cellStyle name="Moneda 9 2" xfId="2705" xr:uid="{00000000-0005-0000-0000-0000860A0000}"/>
    <cellStyle name="Moneda 9 2 2" xfId="2706" xr:uid="{00000000-0005-0000-0000-0000870A0000}"/>
    <cellStyle name="Moneda 9 2 2 2" xfId="2707" xr:uid="{00000000-0005-0000-0000-0000880A0000}"/>
    <cellStyle name="Moneda 9 2 2 2 2" xfId="2708" xr:uid="{00000000-0005-0000-0000-0000890A0000}"/>
    <cellStyle name="Moneda 9 2 2 2 2 2" xfId="2709" xr:uid="{00000000-0005-0000-0000-00008A0A0000}"/>
    <cellStyle name="Moneda 9 2 2 2 3" xfId="2710" xr:uid="{00000000-0005-0000-0000-00008B0A0000}"/>
    <cellStyle name="Moneda 9 2 2 2 3 2" xfId="2711" xr:uid="{00000000-0005-0000-0000-00008C0A0000}"/>
    <cellStyle name="Moneda 9 2 2 2 4" xfId="2712" xr:uid="{00000000-0005-0000-0000-00008D0A0000}"/>
    <cellStyle name="Moneda 9 2 2 2 4 2" xfId="2713" xr:uid="{00000000-0005-0000-0000-00008E0A0000}"/>
    <cellStyle name="Moneda 9 2 2 2 5" xfId="2714" xr:uid="{00000000-0005-0000-0000-00008F0A0000}"/>
    <cellStyle name="Moneda 9 2 2 3" xfId="2715" xr:uid="{00000000-0005-0000-0000-0000900A0000}"/>
    <cellStyle name="Moneda 9 2 2 3 2" xfId="2716" xr:uid="{00000000-0005-0000-0000-0000910A0000}"/>
    <cellStyle name="Moneda 9 2 2 4" xfId="2717" xr:uid="{00000000-0005-0000-0000-0000920A0000}"/>
    <cellStyle name="Moneda 9 2 2 4 2" xfId="2718" xr:uid="{00000000-0005-0000-0000-0000930A0000}"/>
    <cellStyle name="Moneda 9 2 2 5" xfId="2719" xr:uid="{00000000-0005-0000-0000-0000940A0000}"/>
    <cellStyle name="Moneda 9 2 2 5 2" xfId="2720" xr:uid="{00000000-0005-0000-0000-0000950A0000}"/>
    <cellStyle name="Moneda 9 2 2 6" xfId="2721" xr:uid="{00000000-0005-0000-0000-0000960A0000}"/>
    <cellStyle name="Moneda 9 2 3" xfId="2722" xr:uid="{00000000-0005-0000-0000-0000970A0000}"/>
    <cellStyle name="Moneda 9 2 3 2" xfId="2723" xr:uid="{00000000-0005-0000-0000-0000980A0000}"/>
    <cellStyle name="Moneda 9 2 3 2 2" xfId="2724" xr:uid="{00000000-0005-0000-0000-0000990A0000}"/>
    <cellStyle name="Moneda 9 2 3 3" xfId="2725" xr:uid="{00000000-0005-0000-0000-00009A0A0000}"/>
    <cellStyle name="Moneda 9 2 3 3 2" xfId="2726" xr:uid="{00000000-0005-0000-0000-00009B0A0000}"/>
    <cellStyle name="Moneda 9 2 3 4" xfId="2727" xr:uid="{00000000-0005-0000-0000-00009C0A0000}"/>
    <cellStyle name="Moneda 9 2 3 4 2" xfId="2728" xr:uid="{00000000-0005-0000-0000-00009D0A0000}"/>
    <cellStyle name="Moneda 9 2 3 5" xfId="2729" xr:uid="{00000000-0005-0000-0000-00009E0A0000}"/>
    <cellStyle name="Moneda 9 2 4" xfId="2730" xr:uid="{00000000-0005-0000-0000-00009F0A0000}"/>
    <cellStyle name="Moneda 9 2 4 2" xfId="2731" xr:uid="{00000000-0005-0000-0000-0000A00A0000}"/>
    <cellStyle name="Moneda 9 2 5" xfId="2732" xr:uid="{00000000-0005-0000-0000-0000A10A0000}"/>
    <cellStyle name="Moneda 9 2 5 2" xfId="2733" xr:uid="{00000000-0005-0000-0000-0000A20A0000}"/>
    <cellStyle name="Moneda 9 2 6" xfId="2734" xr:uid="{00000000-0005-0000-0000-0000A30A0000}"/>
    <cellStyle name="Moneda 9 2 6 2" xfId="2735" xr:uid="{00000000-0005-0000-0000-0000A40A0000}"/>
    <cellStyle name="Moneda 9 2 7" xfId="2736" xr:uid="{00000000-0005-0000-0000-0000A50A0000}"/>
    <cellStyle name="Moneda 9 2 8" xfId="2737" xr:uid="{00000000-0005-0000-0000-0000A60A0000}"/>
    <cellStyle name="Moneda 9 3" xfId="2738" xr:uid="{00000000-0005-0000-0000-0000A70A0000}"/>
    <cellStyle name="Moneda 9 3 2" xfId="2739" xr:uid="{00000000-0005-0000-0000-0000A80A0000}"/>
    <cellStyle name="Moneda 9 3 2 2" xfId="2740" xr:uid="{00000000-0005-0000-0000-0000A90A0000}"/>
    <cellStyle name="Moneda 9 3 2 2 2" xfId="2741" xr:uid="{00000000-0005-0000-0000-0000AA0A0000}"/>
    <cellStyle name="Moneda 9 3 2 2 2 2" xfId="2742" xr:uid="{00000000-0005-0000-0000-0000AB0A0000}"/>
    <cellStyle name="Moneda 9 3 2 2 3" xfId="2743" xr:uid="{00000000-0005-0000-0000-0000AC0A0000}"/>
    <cellStyle name="Moneda 9 3 2 2 3 2" xfId="2744" xr:uid="{00000000-0005-0000-0000-0000AD0A0000}"/>
    <cellStyle name="Moneda 9 3 2 2 4" xfId="2745" xr:uid="{00000000-0005-0000-0000-0000AE0A0000}"/>
    <cellStyle name="Moneda 9 3 2 2 4 2" xfId="2746" xr:uid="{00000000-0005-0000-0000-0000AF0A0000}"/>
    <cellStyle name="Moneda 9 3 2 2 5" xfId="2747" xr:uid="{00000000-0005-0000-0000-0000B00A0000}"/>
    <cellStyle name="Moneda 9 3 2 3" xfId="2748" xr:uid="{00000000-0005-0000-0000-0000B10A0000}"/>
    <cellStyle name="Moneda 9 3 2 3 2" xfId="2749" xr:uid="{00000000-0005-0000-0000-0000B20A0000}"/>
    <cellStyle name="Moneda 9 3 2 4" xfId="2750" xr:uid="{00000000-0005-0000-0000-0000B30A0000}"/>
    <cellStyle name="Moneda 9 3 2 4 2" xfId="2751" xr:uid="{00000000-0005-0000-0000-0000B40A0000}"/>
    <cellStyle name="Moneda 9 3 2 5" xfId="2752" xr:uid="{00000000-0005-0000-0000-0000B50A0000}"/>
    <cellStyle name="Moneda 9 3 2 5 2" xfId="2753" xr:uid="{00000000-0005-0000-0000-0000B60A0000}"/>
    <cellStyle name="Moneda 9 3 2 6" xfId="2754" xr:uid="{00000000-0005-0000-0000-0000B70A0000}"/>
    <cellStyle name="Moneda 9 3 3" xfId="2755" xr:uid="{00000000-0005-0000-0000-0000B80A0000}"/>
    <cellStyle name="Moneda 9 3 3 2" xfId="2756" xr:uid="{00000000-0005-0000-0000-0000B90A0000}"/>
    <cellStyle name="Moneda 9 3 3 2 2" xfId="2757" xr:uid="{00000000-0005-0000-0000-0000BA0A0000}"/>
    <cellStyle name="Moneda 9 3 3 3" xfId="2758" xr:uid="{00000000-0005-0000-0000-0000BB0A0000}"/>
    <cellStyle name="Moneda 9 3 3 3 2" xfId="2759" xr:uid="{00000000-0005-0000-0000-0000BC0A0000}"/>
    <cellStyle name="Moneda 9 3 3 4" xfId="2760" xr:uid="{00000000-0005-0000-0000-0000BD0A0000}"/>
    <cellStyle name="Moneda 9 3 3 4 2" xfId="2761" xr:uid="{00000000-0005-0000-0000-0000BE0A0000}"/>
    <cellStyle name="Moneda 9 3 3 5" xfId="2762" xr:uid="{00000000-0005-0000-0000-0000BF0A0000}"/>
    <cellStyle name="Moneda 9 3 4" xfId="2763" xr:uid="{00000000-0005-0000-0000-0000C00A0000}"/>
    <cellStyle name="Moneda 9 3 4 2" xfId="2764" xr:uid="{00000000-0005-0000-0000-0000C10A0000}"/>
    <cellStyle name="Moneda 9 3 5" xfId="2765" xr:uid="{00000000-0005-0000-0000-0000C20A0000}"/>
    <cellStyle name="Moneda 9 3 5 2" xfId="2766" xr:uid="{00000000-0005-0000-0000-0000C30A0000}"/>
    <cellStyle name="Moneda 9 3 6" xfId="2767" xr:uid="{00000000-0005-0000-0000-0000C40A0000}"/>
    <cellStyle name="Moneda 9 3 6 2" xfId="2768" xr:uid="{00000000-0005-0000-0000-0000C50A0000}"/>
    <cellStyle name="Moneda 9 3 7" xfId="2769" xr:uid="{00000000-0005-0000-0000-0000C60A0000}"/>
    <cellStyle name="Moneda 9 4" xfId="2770" xr:uid="{00000000-0005-0000-0000-0000C70A0000}"/>
    <cellStyle name="Moneda 9 4 2" xfId="2771" xr:uid="{00000000-0005-0000-0000-0000C80A0000}"/>
    <cellStyle name="Moneda 9 4 2 2" xfId="2772" xr:uid="{00000000-0005-0000-0000-0000C90A0000}"/>
    <cellStyle name="Moneda 9 4 2 2 2" xfId="2773" xr:uid="{00000000-0005-0000-0000-0000CA0A0000}"/>
    <cellStyle name="Moneda 9 4 2 2 2 2" xfId="2774" xr:uid="{00000000-0005-0000-0000-0000CB0A0000}"/>
    <cellStyle name="Moneda 9 4 2 2 3" xfId="2775" xr:uid="{00000000-0005-0000-0000-0000CC0A0000}"/>
    <cellStyle name="Moneda 9 4 2 2 3 2" xfId="2776" xr:uid="{00000000-0005-0000-0000-0000CD0A0000}"/>
    <cellStyle name="Moneda 9 4 2 2 4" xfId="2777" xr:uid="{00000000-0005-0000-0000-0000CE0A0000}"/>
    <cellStyle name="Moneda 9 4 2 2 4 2" xfId="2778" xr:uid="{00000000-0005-0000-0000-0000CF0A0000}"/>
    <cellStyle name="Moneda 9 4 2 2 5" xfId="2779" xr:uid="{00000000-0005-0000-0000-0000D00A0000}"/>
    <cellStyle name="Moneda 9 4 2 3" xfId="2780" xr:uid="{00000000-0005-0000-0000-0000D10A0000}"/>
    <cellStyle name="Moneda 9 4 2 3 2" xfId="2781" xr:uid="{00000000-0005-0000-0000-0000D20A0000}"/>
    <cellStyle name="Moneda 9 4 2 4" xfId="2782" xr:uid="{00000000-0005-0000-0000-0000D30A0000}"/>
    <cellStyle name="Moneda 9 4 2 4 2" xfId="2783" xr:uid="{00000000-0005-0000-0000-0000D40A0000}"/>
    <cellStyle name="Moneda 9 4 2 5" xfId="2784" xr:uid="{00000000-0005-0000-0000-0000D50A0000}"/>
    <cellStyle name="Moneda 9 4 2 5 2" xfId="2785" xr:uid="{00000000-0005-0000-0000-0000D60A0000}"/>
    <cellStyle name="Moneda 9 4 2 6" xfId="2786" xr:uid="{00000000-0005-0000-0000-0000D70A0000}"/>
    <cellStyle name="Moneda 9 4 3" xfId="2787" xr:uid="{00000000-0005-0000-0000-0000D80A0000}"/>
    <cellStyle name="Moneda 9 4 3 2" xfId="2788" xr:uid="{00000000-0005-0000-0000-0000D90A0000}"/>
    <cellStyle name="Moneda 9 4 3 2 2" xfId="2789" xr:uid="{00000000-0005-0000-0000-0000DA0A0000}"/>
    <cellStyle name="Moneda 9 4 3 3" xfId="2790" xr:uid="{00000000-0005-0000-0000-0000DB0A0000}"/>
    <cellStyle name="Moneda 9 4 3 3 2" xfId="2791" xr:uid="{00000000-0005-0000-0000-0000DC0A0000}"/>
    <cellStyle name="Moneda 9 4 3 4" xfId="2792" xr:uid="{00000000-0005-0000-0000-0000DD0A0000}"/>
    <cellStyle name="Moneda 9 4 3 4 2" xfId="2793" xr:uid="{00000000-0005-0000-0000-0000DE0A0000}"/>
    <cellStyle name="Moneda 9 4 3 5" xfId="2794" xr:uid="{00000000-0005-0000-0000-0000DF0A0000}"/>
    <cellStyle name="Moneda 9 4 4" xfId="2795" xr:uid="{00000000-0005-0000-0000-0000E00A0000}"/>
    <cellStyle name="Moneda 9 4 4 2" xfId="2796" xr:uid="{00000000-0005-0000-0000-0000E10A0000}"/>
    <cellStyle name="Moneda 9 4 5" xfId="2797" xr:uid="{00000000-0005-0000-0000-0000E20A0000}"/>
    <cellStyle name="Moneda 9 4 5 2" xfId="2798" xr:uid="{00000000-0005-0000-0000-0000E30A0000}"/>
    <cellStyle name="Moneda 9 4 6" xfId="2799" xr:uid="{00000000-0005-0000-0000-0000E40A0000}"/>
    <cellStyle name="Moneda 9 4 6 2" xfId="2800" xr:uid="{00000000-0005-0000-0000-0000E50A0000}"/>
    <cellStyle name="Moneda 9 4 7" xfId="2801" xr:uid="{00000000-0005-0000-0000-0000E60A0000}"/>
    <cellStyle name="Moneda 9 5" xfId="2802" xr:uid="{00000000-0005-0000-0000-0000E70A0000}"/>
    <cellStyle name="Moneda 9 5 2" xfId="2803" xr:uid="{00000000-0005-0000-0000-0000E80A0000}"/>
    <cellStyle name="Moneda 9 5 2 2" xfId="2804" xr:uid="{00000000-0005-0000-0000-0000E90A0000}"/>
    <cellStyle name="Moneda 9 5 2 2 2" xfId="2805" xr:uid="{00000000-0005-0000-0000-0000EA0A0000}"/>
    <cellStyle name="Moneda 9 5 2 3" xfId="2806" xr:uid="{00000000-0005-0000-0000-0000EB0A0000}"/>
    <cellStyle name="Moneda 9 5 2 3 2" xfId="2807" xr:uid="{00000000-0005-0000-0000-0000EC0A0000}"/>
    <cellStyle name="Moneda 9 5 2 4" xfId="2808" xr:uid="{00000000-0005-0000-0000-0000ED0A0000}"/>
    <cellStyle name="Moneda 9 5 2 4 2" xfId="2809" xr:uid="{00000000-0005-0000-0000-0000EE0A0000}"/>
    <cellStyle name="Moneda 9 5 2 5" xfId="2810" xr:uid="{00000000-0005-0000-0000-0000EF0A0000}"/>
    <cellStyle name="Moneda 9 5 3" xfId="2811" xr:uid="{00000000-0005-0000-0000-0000F00A0000}"/>
    <cellStyle name="Moneda 9 5 3 2" xfId="2812" xr:uid="{00000000-0005-0000-0000-0000F10A0000}"/>
    <cellStyle name="Moneda 9 5 4" xfId="2813" xr:uid="{00000000-0005-0000-0000-0000F20A0000}"/>
    <cellStyle name="Moneda 9 5 4 2" xfId="2814" xr:uid="{00000000-0005-0000-0000-0000F30A0000}"/>
    <cellStyle name="Moneda 9 5 5" xfId="2815" xr:uid="{00000000-0005-0000-0000-0000F40A0000}"/>
    <cellStyle name="Moneda 9 5 5 2" xfId="2816" xr:uid="{00000000-0005-0000-0000-0000F50A0000}"/>
    <cellStyle name="Moneda 9 5 6" xfId="2817" xr:uid="{00000000-0005-0000-0000-0000F60A0000}"/>
    <cellStyle name="Moneda 9 6" xfId="2818" xr:uid="{00000000-0005-0000-0000-0000F70A0000}"/>
    <cellStyle name="Moneda 9 6 2" xfId="2819" xr:uid="{00000000-0005-0000-0000-0000F80A0000}"/>
    <cellStyle name="Moneda 9 6 2 2" xfId="2820" xr:uid="{00000000-0005-0000-0000-0000F90A0000}"/>
    <cellStyle name="Moneda 9 6 3" xfId="2821" xr:uid="{00000000-0005-0000-0000-0000FA0A0000}"/>
    <cellStyle name="Moneda 9 6 3 2" xfId="2822" xr:uid="{00000000-0005-0000-0000-0000FB0A0000}"/>
    <cellStyle name="Moneda 9 6 4" xfId="2823" xr:uid="{00000000-0005-0000-0000-0000FC0A0000}"/>
    <cellStyle name="Moneda 9 6 4 2" xfId="2824" xr:uid="{00000000-0005-0000-0000-0000FD0A0000}"/>
    <cellStyle name="Moneda 9 6 5" xfId="2825" xr:uid="{00000000-0005-0000-0000-0000FE0A0000}"/>
    <cellStyle name="Moneda 9 7" xfId="2826" xr:uid="{00000000-0005-0000-0000-0000FF0A0000}"/>
    <cellStyle name="Moneda 9 7 2" xfId="2827" xr:uid="{00000000-0005-0000-0000-0000000B0000}"/>
    <cellStyle name="Moneda 9 8" xfId="2828" xr:uid="{00000000-0005-0000-0000-0000010B0000}"/>
    <cellStyle name="Moneda 9 8 2" xfId="2829" xr:uid="{00000000-0005-0000-0000-0000020B0000}"/>
    <cellStyle name="Moneda 9 9" xfId="2830" xr:uid="{00000000-0005-0000-0000-0000030B0000}"/>
    <cellStyle name="Moneda 9 9 2" xfId="2831" xr:uid="{00000000-0005-0000-0000-0000040B0000}"/>
    <cellStyle name="Neutral 2" xfId="2832" xr:uid="{00000000-0005-0000-0000-0000060B0000}"/>
    <cellStyle name="Normal" xfId="0" builtinId="0"/>
    <cellStyle name="Normal 2" xfId="16" xr:uid="{00000000-0005-0000-0000-0000080B0000}"/>
    <cellStyle name="Normal 2 10" xfId="17" xr:uid="{00000000-0005-0000-0000-0000090B0000}"/>
    <cellStyle name="Normal 2 2" xfId="2833" xr:uid="{00000000-0005-0000-0000-00000A0B0000}"/>
    <cellStyle name="Normal 2 2 2" xfId="2834" xr:uid="{00000000-0005-0000-0000-00000B0B0000}"/>
    <cellStyle name="Normal 2 3" xfId="2835" xr:uid="{00000000-0005-0000-0000-00000C0B0000}"/>
    <cellStyle name="Normal 2 3 2" xfId="2836" xr:uid="{00000000-0005-0000-0000-00000D0B0000}"/>
    <cellStyle name="Normal 2 4" xfId="2837" xr:uid="{00000000-0005-0000-0000-00000E0B0000}"/>
    <cellStyle name="Normal 3" xfId="18" xr:uid="{00000000-0005-0000-0000-00000F0B0000}"/>
    <cellStyle name="Normal 3 2" xfId="19" xr:uid="{00000000-0005-0000-0000-0000100B0000}"/>
    <cellStyle name="Normal 3 2 2" xfId="2838" xr:uid="{00000000-0005-0000-0000-0000110B0000}"/>
    <cellStyle name="Normal 3 2 2 2" xfId="2839" xr:uid="{00000000-0005-0000-0000-0000120B0000}"/>
    <cellStyle name="Normal 3 2 3" xfId="2840" xr:uid="{00000000-0005-0000-0000-0000130B0000}"/>
    <cellStyle name="Normal 3 3" xfId="2841" xr:uid="{00000000-0005-0000-0000-0000140B0000}"/>
    <cellStyle name="Normal 3 4" xfId="2842" xr:uid="{00000000-0005-0000-0000-0000150B0000}"/>
    <cellStyle name="Normal 3 5" xfId="2843" xr:uid="{00000000-0005-0000-0000-0000160B0000}"/>
    <cellStyle name="Normal 3_CADENA DE VALOR" xfId="27" xr:uid="{00000000-0005-0000-0000-0000170B0000}"/>
    <cellStyle name="Normal 4" xfId="2844" xr:uid="{00000000-0005-0000-0000-0000180B0000}"/>
    <cellStyle name="Normal 4 2" xfId="20" xr:uid="{00000000-0005-0000-0000-0000190B0000}"/>
    <cellStyle name="Normal 5" xfId="2845" xr:uid="{00000000-0005-0000-0000-00001A0B0000}"/>
    <cellStyle name="Normal 6 2" xfId="2846" xr:uid="{00000000-0005-0000-0000-00001B0B0000}"/>
    <cellStyle name="Normal_CADENA DE VALOR" xfId="2866" xr:uid="{00000000-0005-0000-0000-00001C0B0000}"/>
    <cellStyle name="Numeric" xfId="2847" xr:uid="{00000000-0005-0000-0000-00001D0B0000}"/>
    <cellStyle name="NumericWithBorder" xfId="2848" xr:uid="{00000000-0005-0000-0000-00001E0B0000}"/>
    <cellStyle name="NumericWithBorder 2" xfId="2849" xr:uid="{00000000-0005-0000-0000-00001F0B0000}"/>
    <cellStyle name="NumericWithBorder 2 2" xfId="2850" xr:uid="{00000000-0005-0000-0000-0000200B0000}"/>
    <cellStyle name="NumericWithBorder 2 3" xfId="2851" xr:uid="{00000000-0005-0000-0000-0000210B0000}"/>
    <cellStyle name="NumericWithBorder 2 4" xfId="2852" xr:uid="{00000000-0005-0000-0000-0000220B0000}"/>
    <cellStyle name="NumericWithBorder 3" xfId="2853" xr:uid="{00000000-0005-0000-0000-0000230B0000}"/>
    <cellStyle name="NumericWithBorder 4" xfId="2854" xr:uid="{00000000-0005-0000-0000-0000240B0000}"/>
    <cellStyle name="NumericWithBorder 5" xfId="2855" xr:uid="{00000000-0005-0000-0000-0000250B0000}"/>
    <cellStyle name="Percent" xfId="2856" xr:uid="{00000000-0005-0000-0000-0000260B0000}"/>
    <cellStyle name="Percent 2" xfId="2857" xr:uid="{00000000-0005-0000-0000-0000270B0000}"/>
    <cellStyle name="Percent 2 2" xfId="2858" xr:uid="{00000000-0005-0000-0000-0000280B0000}"/>
    <cellStyle name="Porcentaje" xfId="21" builtinId="5"/>
    <cellStyle name="Porcentaje 2" xfId="24" xr:uid="{00000000-0005-0000-0000-00002A0B0000}"/>
    <cellStyle name="Porcentaje 2 2" xfId="2859" xr:uid="{00000000-0005-0000-0000-00002B0B0000}"/>
    <cellStyle name="Porcentaje 3" xfId="25" xr:uid="{00000000-0005-0000-0000-00002C0B0000}"/>
    <cellStyle name="Porcentaje 3 2" xfId="2860" xr:uid="{00000000-0005-0000-0000-00002D0B0000}"/>
    <cellStyle name="Porcentaje 4" xfId="26" xr:uid="{00000000-0005-0000-0000-00002E0B0000}"/>
    <cellStyle name="Porcentual 2" xfId="22" xr:uid="{00000000-0005-0000-0000-00002F0B0000}"/>
    <cellStyle name="Porcentual 2 2" xfId="23" xr:uid="{00000000-0005-0000-0000-0000300B0000}"/>
    <cellStyle name="Porcentual 2 2 2" xfId="2861" xr:uid="{00000000-0005-0000-0000-0000310B0000}"/>
    <cellStyle name="Porcentual 2 3" xfId="2862" xr:uid="{00000000-0005-0000-0000-0000320B0000}"/>
    <cellStyle name="Porcentual 2 3 2" xfId="2863" xr:uid="{00000000-0005-0000-0000-0000330B0000}"/>
    <cellStyle name="Porcentual 3" xfId="2864" xr:uid="{00000000-0005-0000-0000-0000340B0000}"/>
  </cellStyles>
  <dxfs count="0"/>
  <tableStyles count="0" defaultTableStyle="TableStyleMedium9" defaultPivotStyle="PivotStyleLight16"/>
  <colors>
    <mruColors>
      <color rgb="FF00FF00"/>
      <color rgb="FF75DBFF"/>
      <color rgb="FF0096FF"/>
      <color rgb="FFFF2600"/>
      <color rgb="FF0066FF"/>
      <color rgb="FF0099FF"/>
      <color rgb="FF7BB800"/>
      <color rgb="FF669900"/>
      <color rgb="FF00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242161</xdr:colOff>
      <xdr:row>0</xdr:row>
      <xdr:rowOff>80721</xdr:rowOff>
    </xdr:from>
    <xdr:to>
      <xdr:col>3</xdr:col>
      <xdr:colOff>1376503</xdr:colOff>
      <xdr:row>2</xdr:row>
      <xdr:rowOff>243545</xdr:rowOff>
    </xdr:to>
    <xdr:pic>
      <xdr:nvPicPr>
        <xdr:cNvPr id="2" name="Imagen 1">
          <a:extLst>
            <a:ext uri="{FF2B5EF4-FFF2-40B4-BE49-F238E27FC236}">
              <a16:creationId xmlns:a16="http://schemas.microsoft.com/office/drawing/2014/main" id="{89A78FEA-51EA-4C19-948C-38D7512F686F}"/>
            </a:ext>
          </a:extLst>
        </xdr:cNvPr>
        <xdr:cNvPicPr>
          <a:picLocks noChangeAspect="1"/>
        </xdr:cNvPicPr>
      </xdr:nvPicPr>
      <xdr:blipFill>
        <a:blip xmlns:r="http://schemas.openxmlformats.org/officeDocument/2006/relationships" r:embed="rId1"/>
        <a:stretch>
          <a:fillRect/>
        </a:stretch>
      </xdr:blipFill>
      <xdr:spPr>
        <a:xfrm>
          <a:off x="242161" y="80721"/>
          <a:ext cx="2926334" cy="106689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163711</xdr:colOff>
      <xdr:row>2</xdr:row>
      <xdr:rowOff>282774</xdr:rowOff>
    </xdr:to>
    <xdr:pic>
      <xdr:nvPicPr>
        <xdr:cNvPr id="2" name="Imagen 1">
          <a:extLst>
            <a:ext uri="{FF2B5EF4-FFF2-40B4-BE49-F238E27FC236}">
              <a16:creationId xmlns:a16="http://schemas.microsoft.com/office/drawing/2014/main" id="{31A50642-E9FF-449E-A093-A9BC647EFA65}"/>
            </a:ext>
          </a:extLst>
        </xdr:cNvPr>
        <xdr:cNvPicPr>
          <a:picLocks noChangeAspect="1"/>
        </xdr:cNvPicPr>
      </xdr:nvPicPr>
      <xdr:blipFill>
        <a:blip xmlns:r="http://schemas.openxmlformats.org/officeDocument/2006/relationships" r:embed="rId1"/>
        <a:stretch>
          <a:fillRect/>
        </a:stretch>
      </xdr:blipFill>
      <xdr:spPr>
        <a:xfrm>
          <a:off x="0" y="0"/>
          <a:ext cx="2917031" cy="105668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800966</xdr:colOff>
      <xdr:row>0</xdr:row>
      <xdr:rowOff>308947</xdr:rowOff>
    </xdr:from>
    <xdr:to>
      <xdr:col>2</xdr:col>
      <xdr:colOff>2446193</xdr:colOff>
      <xdr:row>2</xdr:row>
      <xdr:rowOff>313018</xdr:rowOff>
    </xdr:to>
    <xdr:pic>
      <xdr:nvPicPr>
        <xdr:cNvPr id="2" name="Imagen 1">
          <a:extLst>
            <a:ext uri="{FF2B5EF4-FFF2-40B4-BE49-F238E27FC236}">
              <a16:creationId xmlns:a16="http://schemas.microsoft.com/office/drawing/2014/main" id="{63620B7E-9D05-43B0-9A12-6D9745229E89}"/>
            </a:ext>
          </a:extLst>
        </xdr:cNvPr>
        <xdr:cNvPicPr>
          <a:picLocks noChangeAspect="1"/>
        </xdr:cNvPicPr>
      </xdr:nvPicPr>
      <xdr:blipFill>
        <a:blip xmlns:r="http://schemas.openxmlformats.org/officeDocument/2006/relationships" r:embed="rId1"/>
        <a:stretch>
          <a:fillRect/>
        </a:stretch>
      </xdr:blipFill>
      <xdr:spPr>
        <a:xfrm>
          <a:off x="800966" y="308947"/>
          <a:ext cx="4892386" cy="147611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524223</xdr:colOff>
      <xdr:row>0</xdr:row>
      <xdr:rowOff>100741</xdr:rowOff>
    </xdr:from>
    <xdr:to>
      <xdr:col>3</xdr:col>
      <xdr:colOff>247989</xdr:colOff>
      <xdr:row>2</xdr:row>
      <xdr:rowOff>215659</xdr:rowOff>
    </xdr:to>
    <xdr:pic>
      <xdr:nvPicPr>
        <xdr:cNvPr id="2" name="Imagen 1">
          <a:extLst>
            <a:ext uri="{FF2B5EF4-FFF2-40B4-BE49-F238E27FC236}">
              <a16:creationId xmlns:a16="http://schemas.microsoft.com/office/drawing/2014/main" id="{D69A2CDC-766C-4961-BC88-1E3E026B9529}"/>
            </a:ext>
          </a:extLst>
        </xdr:cNvPr>
        <xdr:cNvPicPr>
          <a:picLocks noChangeAspect="1"/>
        </xdr:cNvPicPr>
      </xdr:nvPicPr>
      <xdr:blipFill>
        <a:blip xmlns:r="http://schemas.openxmlformats.org/officeDocument/2006/relationships" r:embed="rId1"/>
        <a:stretch>
          <a:fillRect/>
        </a:stretch>
      </xdr:blipFill>
      <xdr:spPr>
        <a:xfrm>
          <a:off x="524223" y="100741"/>
          <a:ext cx="3659568" cy="74392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62120</xdr:colOff>
      <xdr:row>0</xdr:row>
      <xdr:rowOff>0</xdr:rowOff>
    </xdr:from>
    <xdr:to>
      <xdr:col>1</xdr:col>
      <xdr:colOff>1675362</xdr:colOff>
      <xdr:row>2</xdr:row>
      <xdr:rowOff>113995</xdr:rowOff>
    </xdr:to>
    <xdr:pic>
      <xdr:nvPicPr>
        <xdr:cNvPr id="2" name="Imagen 1">
          <a:extLst>
            <a:ext uri="{FF2B5EF4-FFF2-40B4-BE49-F238E27FC236}">
              <a16:creationId xmlns:a16="http://schemas.microsoft.com/office/drawing/2014/main" id="{4256591B-FA55-4952-B687-205C92D61414}"/>
            </a:ext>
          </a:extLst>
        </xdr:cNvPr>
        <xdr:cNvPicPr>
          <a:picLocks noChangeAspect="1"/>
        </xdr:cNvPicPr>
      </xdr:nvPicPr>
      <xdr:blipFill>
        <a:blip xmlns:r="http://schemas.openxmlformats.org/officeDocument/2006/relationships" r:embed="rId1"/>
        <a:stretch>
          <a:fillRect/>
        </a:stretch>
      </xdr:blipFill>
      <xdr:spPr>
        <a:xfrm>
          <a:off x="62120" y="0"/>
          <a:ext cx="2689981" cy="89890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161BA7/285_V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olinanino/Documents/SDA-2020/Plan%20de%20Accio&#769;n%20NCSA/12161BA7/285_V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YULIED.PENARANDA.SDA/Desktop/2022/10-OCTUBRE/PLAN%20DE%20ACCION/PA%20SEPT.%20TERRI/9-PA-7778-SEPT-2022_A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s"/>
      <sheetName val="285"/>
      <sheetName val="Meta 11"/>
      <sheetName val="Meta12"/>
      <sheetName val="GESTIÓN"/>
    </sheetNames>
    <sheetDataSet>
      <sheetData sheetId="0" refreshError="1">
        <row r="1">
          <cell r="A1" t="str">
            <v>GRUPO ETAREO</v>
          </cell>
          <cell r="C1" t="str">
            <v>CONDICION POBLACIONAL</v>
          </cell>
          <cell r="H1" t="str">
            <v>GRUPOS ETNICOS</v>
          </cell>
        </row>
        <row r="2">
          <cell r="A2" t="str">
            <v xml:space="preserve">0-5 años Primera infancia </v>
          </cell>
          <cell r="C2" t="str">
            <v>Todos los Grupos</v>
          </cell>
          <cell r="H2" t="str">
            <v>Todos los grupos</v>
          </cell>
        </row>
        <row r="3">
          <cell r="A3" t="str">
            <v xml:space="preserve">6 - 13 años Infancia </v>
          </cell>
          <cell r="C3" t="str">
            <v>Adultos-as trabajador-a formal</v>
          </cell>
          <cell r="H3" t="str">
            <v>Afrocolombianos</v>
          </cell>
        </row>
        <row r="4">
          <cell r="A4" t="str">
            <v>14 - 17 años Adolescencia</v>
          </cell>
          <cell r="C4" t="str">
            <v>Adultos-as trabajador-a informal</v>
          </cell>
          <cell r="H4" t="str">
            <v>Indígenas</v>
          </cell>
        </row>
        <row r="5">
          <cell r="A5" t="str">
            <v>18 - 26 años Juventud</v>
          </cell>
          <cell r="C5" t="str">
            <v>Ciudadanos-as habitantes de calle</v>
          </cell>
          <cell r="H5" t="str">
            <v>No identifica grupos étnicos</v>
          </cell>
        </row>
        <row r="6">
          <cell r="A6" t="str">
            <v>27 - 59 años Adultez</v>
          </cell>
          <cell r="C6" t="str">
            <v>Comunidad en general</v>
          </cell>
          <cell r="H6" t="str">
            <v>Otros Grupos étnicos</v>
          </cell>
        </row>
        <row r="7">
          <cell r="A7" t="str">
            <v>60 años o más. Personas Mayores</v>
          </cell>
          <cell r="C7" t="str">
            <v>Familias en emergencia social y catastrófica</v>
          </cell>
          <cell r="H7" t="str">
            <v>Rom</v>
          </cell>
        </row>
        <row r="8">
          <cell r="A8" t="str">
            <v>Grupo Etario Sin Definir</v>
          </cell>
          <cell r="C8" t="str">
            <v>Familias en situacion de vulnerabilidad</v>
          </cell>
          <cell r="H8" t="str">
            <v>Raizales</v>
          </cell>
        </row>
        <row r="9">
          <cell r="C9" t="str">
            <v>Familias ubicadas en zonas de alto deterioro urbano</v>
          </cell>
        </row>
        <row r="10">
          <cell r="C10" t="str">
            <v>Jovenes desescolarizados</v>
          </cell>
        </row>
        <row r="11">
          <cell r="C11" t="str">
            <v>Jovenes escolarizados</v>
          </cell>
        </row>
        <row r="12">
          <cell r="C12" t="str">
            <v>Mujeres gestantes y lactantes</v>
          </cell>
        </row>
        <row r="13">
          <cell r="C13" t="str">
            <v>Niños y niñas de primera infancia</v>
          </cell>
        </row>
        <row r="14">
          <cell r="C14" t="str">
            <v>Niños, niñas y adolescentes desescolarizados</v>
          </cell>
        </row>
        <row r="15">
          <cell r="C15" t="str">
            <v>Niños, niñas y adolescentes en riesgo social vinculacion temprana al trabajo o acompañamiento</v>
          </cell>
        </row>
        <row r="16">
          <cell r="C16" t="str">
            <v>Niños, niñas y adolescentes escolarizados</v>
          </cell>
        </row>
        <row r="17">
          <cell r="C17" t="str">
            <v>Personas cabezas de familia</v>
          </cell>
        </row>
        <row r="18">
          <cell r="C18" t="str">
            <v>Personas con discapacidad</v>
          </cell>
        </row>
        <row r="19">
          <cell r="C19" t="str">
            <v>Personas consumidoras de sustancias psicoactivas</v>
          </cell>
        </row>
        <row r="20">
          <cell r="C20" t="str">
            <v>Personas en situacion de desplazamiento</v>
          </cell>
        </row>
        <row r="21">
          <cell r="C21" t="str">
            <v>Personas vinculadas a la prostitución</v>
          </cell>
        </row>
        <row r="22">
          <cell r="C22" t="str">
            <v>Reincorporados - as</v>
          </cell>
        </row>
        <row r="23">
          <cell r="C23" t="str">
            <v>Sector LGBT</v>
          </cell>
        </row>
        <row r="24">
          <cell r="C24" t="str">
            <v>Servidores y servidoras públicos</v>
          </cell>
        </row>
      </sheetData>
      <sheetData sheetId="1"/>
      <sheetData sheetId="2">
        <row r="1">
          <cell r="A1" t="str">
            <v>GRUPO ETAREO</v>
          </cell>
        </row>
      </sheetData>
      <sheetData sheetId="3">
        <row r="1">
          <cell r="A1" t="str">
            <v>GRUPO ETAREO</v>
          </cell>
        </row>
      </sheetData>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s"/>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ACTIVIDADES"/>
      <sheetName val="INVERSIÓN"/>
      <sheetName val="TERRITORIALIZACIÓN"/>
      <sheetName val="SPI"/>
    </sheetNames>
    <sheetDataSet>
      <sheetData sheetId="0" refreshError="1"/>
      <sheetData sheetId="1" refreshError="1"/>
      <sheetData sheetId="2">
        <row r="10">
          <cell r="BF10">
            <v>1</v>
          </cell>
          <cell r="BH10">
            <v>1</v>
          </cell>
          <cell r="BJ10">
            <v>1</v>
          </cell>
          <cell r="BL10">
            <v>1</v>
          </cell>
          <cell r="BN10">
            <v>1</v>
          </cell>
          <cell r="BP10">
            <v>1</v>
          </cell>
          <cell r="BR10">
            <v>1</v>
          </cell>
          <cell r="BT10">
            <v>1</v>
          </cell>
          <cell r="BV10">
            <v>1</v>
          </cell>
          <cell r="BX10">
            <v>1</v>
          </cell>
          <cell r="CE10">
            <v>1</v>
          </cell>
          <cell r="CH10">
            <v>1</v>
          </cell>
        </row>
        <row r="11">
          <cell r="BF11">
            <v>2219609000</v>
          </cell>
          <cell r="BH11">
            <v>665963000</v>
          </cell>
          <cell r="BJ11">
            <v>0</v>
          </cell>
          <cell r="BL11">
            <v>0</v>
          </cell>
          <cell r="BN11">
            <v>0</v>
          </cell>
          <cell r="BP11">
            <v>112000000</v>
          </cell>
          <cell r="BR11">
            <v>38000000</v>
          </cell>
          <cell r="BT11">
            <v>0</v>
          </cell>
          <cell r="BV11">
            <v>0</v>
          </cell>
          <cell r="BX11">
            <v>20312000</v>
          </cell>
          <cell r="CE11">
            <v>1988256600</v>
          </cell>
          <cell r="CH11">
            <v>1988256600</v>
          </cell>
        </row>
        <row r="13">
          <cell r="BF13">
            <v>0</v>
          </cell>
          <cell r="BH13">
            <v>0</v>
          </cell>
          <cell r="BJ13">
            <v>0</v>
          </cell>
          <cell r="BL13">
            <v>0</v>
          </cell>
          <cell r="BN13">
            <v>0</v>
          </cell>
          <cell r="BP13">
            <v>0</v>
          </cell>
          <cell r="BR13">
            <v>0</v>
          </cell>
          <cell r="BT13">
            <v>0</v>
          </cell>
          <cell r="BV13">
            <v>0</v>
          </cell>
          <cell r="BX13">
            <v>0</v>
          </cell>
          <cell r="CE13">
            <v>0</v>
          </cell>
          <cell r="CH13">
            <v>0</v>
          </cell>
        </row>
        <row r="14">
          <cell r="BF14">
            <v>557602926</v>
          </cell>
          <cell r="BJ14">
            <v>42955919</v>
          </cell>
          <cell r="BL14">
            <v>0</v>
          </cell>
          <cell r="BN14">
            <v>0</v>
          </cell>
          <cell r="BP14">
            <v>0</v>
          </cell>
          <cell r="BR14">
            <v>0</v>
          </cell>
          <cell r="BT14">
            <v>514647007</v>
          </cell>
          <cell r="BV14">
            <v>-1518487</v>
          </cell>
          <cell r="BX14">
            <v>-111746667</v>
          </cell>
          <cell r="CE14">
            <v>556084435</v>
          </cell>
          <cell r="CH14">
            <v>556084435</v>
          </cell>
        </row>
        <row r="17">
          <cell r="BF17">
            <v>6</v>
          </cell>
          <cell r="BH17">
            <v>0</v>
          </cell>
          <cell r="BJ17">
            <v>0.45</v>
          </cell>
          <cell r="BL17">
            <v>0.55000000000000004</v>
          </cell>
          <cell r="BN17">
            <v>0.6</v>
          </cell>
          <cell r="BP17">
            <v>0.7</v>
          </cell>
          <cell r="BR17">
            <v>0.7</v>
          </cell>
          <cell r="BT17">
            <v>0.3</v>
          </cell>
          <cell r="BV17">
            <v>0.2</v>
          </cell>
          <cell r="BX17">
            <v>0.6</v>
          </cell>
          <cell r="CE17">
            <v>6</v>
          </cell>
          <cell r="CH17">
            <v>6</v>
          </cell>
        </row>
        <row r="18">
          <cell r="BF18">
            <v>6130432000</v>
          </cell>
          <cell r="BH18">
            <v>1835843000</v>
          </cell>
          <cell r="BJ18">
            <v>0</v>
          </cell>
          <cell r="BL18">
            <v>0</v>
          </cell>
          <cell r="BN18">
            <v>0</v>
          </cell>
          <cell r="BP18">
            <v>0</v>
          </cell>
          <cell r="BR18">
            <v>90000000</v>
          </cell>
          <cell r="BT18">
            <v>-45866000</v>
          </cell>
          <cell r="BV18">
            <v>0</v>
          </cell>
          <cell r="BX18">
            <v>235812834</v>
          </cell>
          <cell r="CE18">
            <v>5689748327</v>
          </cell>
          <cell r="CH18">
            <v>5689748327</v>
          </cell>
        </row>
        <row r="20">
          <cell r="BF20">
            <v>0</v>
          </cell>
          <cell r="BH20">
            <v>0</v>
          </cell>
          <cell r="BJ20">
            <v>0</v>
          </cell>
          <cell r="BL20">
            <v>0</v>
          </cell>
          <cell r="BN20">
            <v>0</v>
          </cell>
          <cell r="BP20">
            <v>0</v>
          </cell>
          <cell r="BR20">
            <v>0</v>
          </cell>
          <cell r="BT20">
            <v>0</v>
          </cell>
          <cell r="BV20">
            <v>0</v>
          </cell>
          <cell r="BX20">
            <v>0</v>
          </cell>
          <cell r="CE20">
            <v>0</v>
          </cell>
          <cell r="CH20">
            <v>0</v>
          </cell>
        </row>
        <row r="21">
          <cell r="BF21">
            <v>54863634</v>
          </cell>
          <cell r="BH21">
            <v>0</v>
          </cell>
          <cell r="BJ21">
            <v>45990566</v>
          </cell>
          <cell r="BL21">
            <v>0</v>
          </cell>
          <cell r="BN21">
            <v>0</v>
          </cell>
          <cell r="BP21">
            <v>0</v>
          </cell>
          <cell r="BR21">
            <v>0</v>
          </cell>
          <cell r="BT21">
            <v>7711535</v>
          </cell>
          <cell r="BV21">
            <v>0</v>
          </cell>
          <cell r="BX21">
            <v>-2157135</v>
          </cell>
          <cell r="CE21">
            <v>53702100</v>
          </cell>
          <cell r="CH21">
            <v>53702100</v>
          </cell>
        </row>
        <row r="24">
          <cell r="BF24">
            <v>2</v>
          </cell>
          <cell r="BH24">
            <v>0</v>
          </cell>
          <cell r="BJ24">
            <v>0.33</v>
          </cell>
          <cell r="BL24">
            <v>0.17</v>
          </cell>
          <cell r="BN24">
            <v>0.17</v>
          </cell>
          <cell r="BP24">
            <v>0.14000000000000001</v>
          </cell>
          <cell r="BR24">
            <v>0.17</v>
          </cell>
          <cell r="BT24">
            <v>0.19</v>
          </cell>
          <cell r="BV24">
            <v>0.17</v>
          </cell>
          <cell r="BX24">
            <v>0.17</v>
          </cell>
          <cell r="CE24">
            <v>1.9999999999999996</v>
          </cell>
          <cell r="CH24">
            <v>1.9999999999999996</v>
          </cell>
        </row>
        <row r="25">
          <cell r="BF25">
            <v>3364237000</v>
          </cell>
          <cell r="BH25">
            <v>2534638908</v>
          </cell>
          <cell r="BJ25">
            <v>0</v>
          </cell>
          <cell r="BL25">
            <v>50000000</v>
          </cell>
          <cell r="BN25">
            <v>0</v>
          </cell>
          <cell r="BP25">
            <v>162596000</v>
          </cell>
          <cell r="BR25">
            <v>0</v>
          </cell>
          <cell r="BT25">
            <v>0</v>
          </cell>
          <cell r="BV25">
            <v>0</v>
          </cell>
          <cell r="BX25">
            <v>80893000</v>
          </cell>
          <cell r="CE25">
            <v>3517906108</v>
          </cell>
          <cell r="CH25">
            <v>3517906108</v>
          </cell>
        </row>
        <row r="27">
          <cell r="BF27">
            <v>0</v>
          </cell>
          <cell r="BH27">
            <v>0</v>
          </cell>
          <cell r="BJ27">
            <v>0</v>
          </cell>
          <cell r="BL27">
            <v>0</v>
          </cell>
          <cell r="BN27">
            <v>0</v>
          </cell>
          <cell r="BP27">
            <v>0</v>
          </cell>
          <cell r="BR27">
            <v>0</v>
          </cell>
          <cell r="BT27">
            <v>0</v>
          </cell>
          <cell r="BV27">
            <v>0</v>
          </cell>
          <cell r="BX27">
            <v>0</v>
          </cell>
          <cell r="CE27">
            <v>0</v>
          </cell>
          <cell r="CH27">
            <v>0</v>
          </cell>
        </row>
        <row r="28">
          <cell r="BF28">
            <v>459991982</v>
          </cell>
          <cell r="BH28">
            <v>0</v>
          </cell>
          <cell r="BJ28">
            <v>71062834</v>
          </cell>
          <cell r="BL28">
            <v>0</v>
          </cell>
          <cell r="BN28">
            <v>0</v>
          </cell>
          <cell r="BP28">
            <v>0</v>
          </cell>
          <cell r="BR28">
            <v>0</v>
          </cell>
          <cell r="BT28">
            <v>387807015</v>
          </cell>
          <cell r="BV28">
            <v>0</v>
          </cell>
          <cell r="BX28">
            <v>-133055649</v>
          </cell>
          <cell r="CE28">
            <v>458869849</v>
          </cell>
          <cell r="CH28">
            <v>458869849</v>
          </cell>
        </row>
        <row r="31">
          <cell r="BF31">
            <v>1272</v>
          </cell>
          <cell r="BH31">
            <v>11</v>
          </cell>
          <cell r="BJ31">
            <v>129</v>
          </cell>
          <cell r="BL31">
            <v>109</v>
          </cell>
          <cell r="BN31">
            <v>115</v>
          </cell>
          <cell r="BP31">
            <v>194</v>
          </cell>
          <cell r="BR31">
            <v>127</v>
          </cell>
          <cell r="BT31">
            <v>138</v>
          </cell>
          <cell r="BV31">
            <v>117</v>
          </cell>
          <cell r="BX31">
            <v>142</v>
          </cell>
          <cell r="CE31">
            <v>1272</v>
          </cell>
          <cell r="CH31">
            <v>1272</v>
          </cell>
        </row>
        <row r="32">
          <cell r="BF32">
            <v>1617058000</v>
          </cell>
          <cell r="BH32">
            <v>1097940000</v>
          </cell>
          <cell r="BJ32">
            <v>0</v>
          </cell>
          <cell r="BL32">
            <v>0</v>
          </cell>
          <cell r="BN32">
            <v>0</v>
          </cell>
          <cell r="BP32">
            <v>0</v>
          </cell>
          <cell r="BR32">
            <v>0</v>
          </cell>
          <cell r="BT32">
            <v>0</v>
          </cell>
          <cell r="BV32">
            <v>0</v>
          </cell>
          <cell r="BX32">
            <v>40000000</v>
          </cell>
          <cell r="CE32">
            <v>1816153100</v>
          </cell>
          <cell r="CH32">
            <v>1816153100</v>
          </cell>
        </row>
        <row r="34">
          <cell r="BF34">
            <v>0</v>
          </cell>
          <cell r="BH34">
            <v>0</v>
          </cell>
          <cell r="BJ34">
            <v>0</v>
          </cell>
          <cell r="BL34">
            <v>0</v>
          </cell>
          <cell r="BN34">
            <v>0</v>
          </cell>
          <cell r="BP34">
            <v>0</v>
          </cell>
          <cell r="BR34">
            <v>0</v>
          </cell>
          <cell r="BT34">
            <v>0</v>
          </cell>
          <cell r="BV34">
            <v>0</v>
          </cell>
          <cell r="BX34">
            <v>0</v>
          </cell>
          <cell r="CE34">
            <v>0</v>
          </cell>
          <cell r="CH34">
            <v>0</v>
          </cell>
        </row>
        <row r="35">
          <cell r="BF35">
            <v>662293058</v>
          </cell>
          <cell r="BJ35">
            <v>24006926</v>
          </cell>
          <cell r="BL35">
            <v>0</v>
          </cell>
          <cell r="BN35">
            <v>0</v>
          </cell>
          <cell r="BP35">
            <v>0</v>
          </cell>
          <cell r="BR35">
            <v>0</v>
          </cell>
          <cell r="BT35">
            <v>638286132</v>
          </cell>
          <cell r="BV35">
            <v>-7746979</v>
          </cell>
          <cell r="BX35">
            <v>-2</v>
          </cell>
          <cell r="CE35">
            <v>654546077</v>
          </cell>
          <cell r="CH35">
            <v>654546077</v>
          </cell>
        </row>
        <row r="38">
          <cell r="BF38">
            <v>1</v>
          </cell>
          <cell r="BH38">
            <v>1</v>
          </cell>
          <cell r="BJ38">
            <v>1</v>
          </cell>
          <cell r="BL38">
            <v>1</v>
          </cell>
          <cell r="BN38">
            <v>1</v>
          </cell>
          <cell r="BP38">
            <v>1</v>
          </cell>
          <cell r="BR38">
            <v>1</v>
          </cell>
          <cell r="BT38">
            <v>1</v>
          </cell>
          <cell r="BV38">
            <v>1</v>
          </cell>
          <cell r="BX38">
            <v>1</v>
          </cell>
          <cell r="CE38">
            <v>1</v>
          </cell>
          <cell r="CH38">
            <v>1</v>
          </cell>
        </row>
        <row r="39">
          <cell r="BF39">
            <v>843232000</v>
          </cell>
          <cell r="BH39">
            <v>455184000</v>
          </cell>
          <cell r="BJ39">
            <v>0</v>
          </cell>
          <cell r="BL39">
            <v>0</v>
          </cell>
          <cell r="BN39">
            <v>0</v>
          </cell>
          <cell r="BP39">
            <v>0</v>
          </cell>
          <cell r="BR39">
            <v>0</v>
          </cell>
          <cell r="BT39">
            <v>0</v>
          </cell>
          <cell r="BV39">
            <v>14028000</v>
          </cell>
          <cell r="BX39">
            <v>19349800</v>
          </cell>
          <cell r="CE39">
            <v>946213900</v>
          </cell>
          <cell r="CH39">
            <v>946213900</v>
          </cell>
        </row>
        <row r="41">
          <cell r="BF41">
            <v>0</v>
          </cell>
          <cell r="BH41">
            <v>0</v>
          </cell>
          <cell r="BJ41">
            <v>0</v>
          </cell>
          <cell r="BL41">
            <v>0</v>
          </cell>
          <cell r="BN41">
            <v>0</v>
          </cell>
          <cell r="BP41">
            <v>0</v>
          </cell>
          <cell r="BR41">
            <v>0</v>
          </cell>
          <cell r="BT41">
            <v>0</v>
          </cell>
          <cell r="BV41">
            <v>0</v>
          </cell>
          <cell r="BX41">
            <v>0</v>
          </cell>
          <cell r="CE41">
            <v>0</v>
          </cell>
          <cell r="CH41">
            <v>0</v>
          </cell>
        </row>
        <row r="42">
          <cell r="BF42">
            <v>169302984</v>
          </cell>
          <cell r="BJ42">
            <v>14024632</v>
          </cell>
          <cell r="BL42">
            <v>0</v>
          </cell>
          <cell r="BN42">
            <v>0</v>
          </cell>
          <cell r="BP42">
            <v>0</v>
          </cell>
          <cell r="BR42">
            <v>0</v>
          </cell>
          <cell r="BT42">
            <v>154825019</v>
          </cell>
          <cell r="BV42">
            <v>0</v>
          </cell>
          <cell r="BX42">
            <v>-1</v>
          </cell>
          <cell r="CE42">
            <v>168849650</v>
          </cell>
          <cell r="CH42">
            <v>168849650</v>
          </cell>
        </row>
        <row r="45">
          <cell r="BF45">
            <v>1097</v>
          </cell>
          <cell r="BH45">
            <v>0</v>
          </cell>
          <cell r="BJ45">
            <v>32</v>
          </cell>
          <cell r="BL45">
            <v>55</v>
          </cell>
          <cell r="BN45">
            <v>110</v>
          </cell>
          <cell r="BP45">
            <v>263</v>
          </cell>
          <cell r="BR45">
            <v>87</v>
          </cell>
          <cell r="BT45">
            <v>65</v>
          </cell>
          <cell r="BV45">
            <v>99</v>
          </cell>
          <cell r="BX45">
            <v>171</v>
          </cell>
          <cell r="CE45">
            <v>1097</v>
          </cell>
          <cell r="CH45">
            <v>1097</v>
          </cell>
        </row>
        <row r="46">
          <cell r="BF46">
            <v>1568833000</v>
          </cell>
          <cell r="BH46">
            <v>1487818000</v>
          </cell>
          <cell r="BJ46">
            <v>0</v>
          </cell>
          <cell r="BL46">
            <v>0</v>
          </cell>
          <cell r="BN46">
            <v>0</v>
          </cell>
          <cell r="BP46">
            <v>0</v>
          </cell>
          <cell r="BR46">
            <v>6020000</v>
          </cell>
          <cell r="BT46">
            <v>0</v>
          </cell>
          <cell r="BV46">
            <v>0</v>
          </cell>
          <cell r="BX46">
            <v>47940200</v>
          </cell>
          <cell r="CE46">
            <v>1845306198</v>
          </cell>
          <cell r="CH46">
            <v>1845306198</v>
          </cell>
        </row>
        <row r="47">
          <cell r="BH47">
            <v>0</v>
          </cell>
        </row>
        <row r="48">
          <cell r="BF48">
            <v>0</v>
          </cell>
          <cell r="BH48">
            <v>0</v>
          </cell>
          <cell r="BJ48">
            <v>0</v>
          </cell>
          <cell r="BL48">
            <v>0</v>
          </cell>
          <cell r="BN48">
            <v>0</v>
          </cell>
          <cell r="BP48">
            <v>0</v>
          </cell>
          <cell r="BR48">
            <v>0</v>
          </cell>
          <cell r="BT48">
            <v>0</v>
          </cell>
          <cell r="BV48">
            <v>0</v>
          </cell>
          <cell r="BX48">
            <v>0</v>
          </cell>
          <cell r="CE48">
            <v>0</v>
          </cell>
          <cell r="CH48">
            <v>0</v>
          </cell>
        </row>
        <row r="49">
          <cell r="BF49">
            <v>113800542</v>
          </cell>
          <cell r="BJ49">
            <v>51705541</v>
          </cell>
          <cell r="BL49">
            <v>0</v>
          </cell>
          <cell r="BN49">
            <v>0</v>
          </cell>
          <cell r="BP49">
            <v>0</v>
          </cell>
          <cell r="BR49">
            <v>0</v>
          </cell>
          <cell r="BT49">
            <v>34947601</v>
          </cell>
          <cell r="BV49">
            <v>0</v>
          </cell>
          <cell r="BX49">
            <v>-14095801</v>
          </cell>
          <cell r="CE49">
            <v>86653142</v>
          </cell>
          <cell r="CH49">
            <v>86653142</v>
          </cell>
        </row>
        <row r="52">
          <cell r="BF52">
            <v>1</v>
          </cell>
          <cell r="BH52">
            <v>1</v>
          </cell>
          <cell r="BJ52">
            <v>1</v>
          </cell>
          <cell r="BL52">
            <v>1</v>
          </cell>
          <cell r="BN52">
            <v>1</v>
          </cell>
          <cell r="BP52">
            <v>1</v>
          </cell>
          <cell r="BR52">
            <v>1</v>
          </cell>
          <cell r="BT52">
            <v>1</v>
          </cell>
          <cell r="BV52">
            <v>1</v>
          </cell>
          <cell r="BX52">
            <v>1</v>
          </cell>
          <cell r="CE52">
            <v>1</v>
          </cell>
          <cell r="CH52">
            <v>1</v>
          </cell>
        </row>
        <row r="53">
          <cell r="BF53">
            <v>725040000</v>
          </cell>
          <cell r="BH53">
            <v>585413000</v>
          </cell>
          <cell r="BJ53">
            <v>0</v>
          </cell>
          <cell r="BL53">
            <v>0</v>
          </cell>
          <cell r="BN53">
            <v>0</v>
          </cell>
          <cell r="BP53">
            <v>0</v>
          </cell>
          <cell r="BR53">
            <v>0</v>
          </cell>
          <cell r="BT53">
            <v>0</v>
          </cell>
          <cell r="BV53">
            <v>0</v>
          </cell>
          <cell r="BX53">
            <v>12040000</v>
          </cell>
          <cell r="CE53">
            <v>664856767</v>
          </cell>
          <cell r="CH53">
            <v>664856767</v>
          </cell>
        </row>
        <row r="55">
          <cell r="BF55">
            <v>0</v>
          </cell>
          <cell r="BH55">
            <v>0</v>
          </cell>
          <cell r="BJ55">
            <v>0</v>
          </cell>
          <cell r="BL55">
            <v>0</v>
          </cell>
          <cell r="BN55">
            <v>0</v>
          </cell>
          <cell r="BP55">
            <v>0</v>
          </cell>
          <cell r="BR55">
            <v>0</v>
          </cell>
          <cell r="BT55">
            <v>0</v>
          </cell>
          <cell r="BV55">
            <v>0</v>
          </cell>
          <cell r="BX55">
            <v>0</v>
          </cell>
          <cell r="CE55">
            <v>0</v>
          </cell>
          <cell r="CH55">
            <v>0</v>
          </cell>
        </row>
        <row r="56">
          <cell r="BF56">
            <v>25802399</v>
          </cell>
          <cell r="BJ56">
            <v>25802399</v>
          </cell>
          <cell r="BL56">
            <v>0</v>
          </cell>
          <cell r="BN56">
            <v>0</v>
          </cell>
          <cell r="BP56">
            <v>0</v>
          </cell>
          <cell r="BR56">
            <v>0</v>
          </cell>
          <cell r="BT56">
            <v>0</v>
          </cell>
          <cell r="BV56">
            <v>0</v>
          </cell>
          <cell r="BX56">
            <v>0</v>
          </cell>
          <cell r="CE56">
            <v>25802399</v>
          </cell>
          <cell r="CH56">
            <v>25802399</v>
          </cell>
        </row>
      </sheetData>
      <sheetData sheetId="3" refreshError="1"/>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rmcab.ambientebogota.gov.co/" TargetMode="External"/><Relationship Id="rId1" Type="http://schemas.openxmlformats.org/officeDocument/2006/relationships/hyperlink" Target="http://rmcab.ambientebogota.gov.co/"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C23"/>
  <sheetViews>
    <sheetView showGridLines="0" tabSelected="1" zoomScale="57" zoomScaleNormal="57" zoomScaleSheetLayoutView="70" zoomScalePageLayoutView="60" workbookViewId="0">
      <selection activeCell="F12" sqref="F12"/>
    </sheetView>
  </sheetViews>
  <sheetFormatPr baseColWidth="10" defaultColWidth="10.7109375" defaultRowHeight="35.25" customHeight="1" x14ac:dyDescent="0.25"/>
  <cols>
    <col min="1" max="1" width="10.28515625" customWidth="1"/>
    <col min="2" max="2" width="10.42578125" customWidth="1"/>
    <col min="3" max="3" width="6.28515625" customWidth="1"/>
    <col min="4" max="4" width="34.7109375" customWidth="1"/>
    <col min="5" max="5" width="7.28515625" customWidth="1"/>
    <col min="6" max="6" width="18.7109375" customWidth="1"/>
    <col min="7" max="7" width="15.140625" customWidth="1"/>
    <col min="8" max="8" width="11.85546875" customWidth="1"/>
    <col min="9" max="9" width="13" style="10" customWidth="1"/>
    <col min="10" max="10" width="20.7109375" style="10" customWidth="1"/>
    <col min="11" max="24" width="15.7109375" style="10" hidden="1" customWidth="1"/>
    <col min="25" max="26" width="20.7109375" style="10" hidden="1" customWidth="1"/>
    <col min="27" max="27" width="15.7109375" style="10" hidden="1" customWidth="1"/>
    <col min="28" max="29" width="20.7109375" style="10" customWidth="1"/>
    <col min="30" max="30" width="20.7109375" style="10" hidden="1" customWidth="1"/>
    <col min="31" max="47" width="15.7109375" style="10" hidden="1" customWidth="1"/>
    <col min="48" max="48" width="12.7109375" style="10" hidden="1" customWidth="1"/>
    <col min="49" max="49" width="12.28515625" style="10" hidden="1" customWidth="1"/>
    <col min="50" max="50" width="15" style="10" hidden="1" customWidth="1"/>
    <col min="51" max="51" width="11" style="10" hidden="1" customWidth="1"/>
    <col min="52" max="52" width="16" style="10" hidden="1" customWidth="1"/>
    <col min="53" max="54" width="15.7109375" style="10" hidden="1" customWidth="1"/>
    <col min="55" max="55" width="20.7109375" style="10" customWidth="1"/>
    <col min="56" max="57" width="20.7109375" style="10" hidden="1" customWidth="1"/>
    <col min="58" max="59" width="20.7109375" style="10" customWidth="1"/>
    <col min="60" max="60" width="22" style="10" customWidth="1"/>
    <col min="61" max="78" width="15.7109375" style="10" customWidth="1"/>
    <col min="79" max="84" width="15.7109375" style="10" hidden="1" customWidth="1"/>
    <col min="85" max="90" width="20.7109375" style="10" customWidth="1"/>
    <col min="91" max="114" width="15.7109375" style="10" hidden="1" customWidth="1"/>
    <col min="115" max="119" width="20.7109375" style="10" hidden="1" customWidth="1"/>
    <col min="120" max="120" width="20.7109375" style="10" customWidth="1"/>
    <col min="121" max="144" width="15.7109375" style="10" hidden="1" customWidth="1"/>
    <col min="145" max="149" width="20.7109375" style="10" hidden="1" customWidth="1"/>
    <col min="150" max="154" width="20.7109375" customWidth="1"/>
    <col min="155" max="155" width="75.5703125" customWidth="1"/>
    <col min="156" max="156" width="15" customWidth="1"/>
    <col min="157" max="157" width="19.140625" customWidth="1"/>
    <col min="158" max="158" width="59.28515625" customWidth="1"/>
    <col min="159" max="159" width="33.140625" customWidth="1"/>
  </cols>
  <sheetData>
    <row r="1" spans="1:159" s="15" customFormat="1" ht="35.25" customHeight="1" x14ac:dyDescent="0.5">
      <c r="A1" s="432"/>
      <c r="B1" s="433"/>
      <c r="C1" s="433"/>
      <c r="D1" s="433"/>
      <c r="E1" s="433"/>
      <c r="F1" s="433"/>
      <c r="G1" s="436" t="s">
        <v>38</v>
      </c>
      <c r="H1" s="436"/>
      <c r="I1" s="436"/>
      <c r="J1" s="436"/>
      <c r="K1" s="436"/>
      <c r="L1" s="436"/>
      <c r="M1" s="436"/>
      <c r="N1" s="436"/>
      <c r="O1" s="436"/>
      <c r="P1" s="436"/>
      <c r="Q1" s="436"/>
      <c r="R1" s="436"/>
      <c r="S1" s="436"/>
      <c r="T1" s="436"/>
      <c r="U1" s="436"/>
      <c r="V1" s="436"/>
      <c r="W1" s="436"/>
      <c r="X1" s="436"/>
      <c r="Y1" s="436"/>
      <c r="Z1" s="436"/>
      <c r="AA1" s="436"/>
      <c r="AB1" s="436"/>
      <c r="AC1" s="436"/>
      <c r="AD1" s="436"/>
      <c r="AE1" s="436"/>
      <c r="AF1" s="436"/>
      <c r="AG1" s="436"/>
      <c r="AH1" s="436"/>
      <c r="AI1" s="436"/>
      <c r="AJ1" s="436"/>
      <c r="AK1" s="436"/>
      <c r="AL1" s="436"/>
      <c r="AM1" s="436"/>
      <c r="AN1" s="436"/>
      <c r="AO1" s="436"/>
      <c r="AP1" s="436"/>
      <c r="AQ1" s="436"/>
      <c r="AR1" s="436"/>
      <c r="AS1" s="436"/>
      <c r="AT1" s="436"/>
      <c r="AU1" s="436"/>
      <c r="AV1" s="436"/>
      <c r="AW1" s="436"/>
      <c r="AX1" s="436"/>
      <c r="AY1" s="436"/>
      <c r="AZ1" s="436"/>
      <c r="BA1" s="436"/>
      <c r="BB1" s="436"/>
      <c r="BC1" s="436"/>
      <c r="BD1" s="436"/>
      <c r="BE1" s="436"/>
      <c r="BF1" s="436"/>
      <c r="BG1" s="436"/>
      <c r="BH1" s="436"/>
      <c r="BI1" s="436"/>
      <c r="BJ1" s="436"/>
      <c r="BK1" s="436"/>
      <c r="BL1" s="436"/>
      <c r="BM1" s="436"/>
      <c r="BN1" s="436"/>
      <c r="BO1" s="436"/>
      <c r="BP1" s="436"/>
      <c r="BQ1" s="436"/>
      <c r="BR1" s="436"/>
      <c r="BS1" s="436"/>
      <c r="BT1" s="436"/>
      <c r="BU1" s="436"/>
      <c r="BV1" s="436"/>
      <c r="BW1" s="436"/>
      <c r="BX1" s="436"/>
      <c r="BY1" s="436"/>
      <c r="BZ1" s="436"/>
      <c r="CA1" s="436"/>
      <c r="CB1" s="436"/>
      <c r="CC1" s="436"/>
      <c r="CD1" s="436"/>
      <c r="CE1" s="436"/>
      <c r="CF1" s="436"/>
      <c r="CG1" s="436"/>
      <c r="CH1" s="436"/>
      <c r="CI1" s="436"/>
      <c r="CJ1" s="436"/>
      <c r="CK1" s="436"/>
      <c r="CL1" s="436"/>
      <c r="CM1" s="436"/>
      <c r="CN1" s="436"/>
      <c r="CO1" s="436"/>
      <c r="CP1" s="436"/>
      <c r="CQ1" s="436"/>
      <c r="CR1" s="436"/>
      <c r="CS1" s="436"/>
      <c r="CT1" s="436"/>
      <c r="CU1" s="436"/>
      <c r="CV1" s="436"/>
      <c r="CW1" s="436"/>
      <c r="CX1" s="436"/>
      <c r="CY1" s="436"/>
      <c r="CZ1" s="436"/>
      <c r="DA1" s="436"/>
      <c r="DB1" s="436"/>
      <c r="DC1" s="436"/>
      <c r="DD1" s="436"/>
      <c r="DE1" s="436"/>
      <c r="DF1" s="436"/>
      <c r="DG1" s="436"/>
      <c r="DH1" s="436"/>
      <c r="DI1" s="436"/>
      <c r="DJ1" s="436"/>
      <c r="DK1" s="436"/>
      <c r="DL1" s="436"/>
      <c r="DM1" s="436"/>
      <c r="DN1" s="436"/>
      <c r="DO1" s="436"/>
      <c r="DP1" s="436"/>
      <c r="DQ1" s="436"/>
      <c r="DR1" s="436"/>
      <c r="DS1" s="436"/>
      <c r="DT1" s="436"/>
      <c r="DU1" s="436"/>
      <c r="DV1" s="436"/>
      <c r="DW1" s="436"/>
      <c r="DX1" s="436"/>
      <c r="DY1" s="436"/>
      <c r="DZ1" s="436"/>
      <c r="EA1" s="436"/>
      <c r="EB1" s="436"/>
      <c r="EC1" s="436"/>
      <c r="ED1" s="436"/>
      <c r="EE1" s="436"/>
      <c r="EF1" s="436"/>
      <c r="EG1" s="436"/>
      <c r="EH1" s="436"/>
      <c r="EI1" s="436"/>
      <c r="EJ1" s="436"/>
      <c r="EK1" s="436"/>
      <c r="EL1" s="436"/>
      <c r="EM1" s="436"/>
      <c r="EN1" s="436"/>
      <c r="EO1" s="436"/>
      <c r="EP1" s="436"/>
      <c r="EQ1" s="436"/>
      <c r="ER1" s="436"/>
      <c r="ES1" s="436"/>
      <c r="ET1" s="436"/>
      <c r="EU1" s="436"/>
      <c r="EV1" s="436"/>
      <c r="EW1" s="436"/>
      <c r="EX1" s="436"/>
      <c r="EY1" s="436"/>
      <c r="EZ1" s="436"/>
      <c r="FA1" s="436"/>
      <c r="FB1" s="436"/>
      <c r="FC1" s="437"/>
    </row>
    <row r="2" spans="1:159" s="15" customFormat="1" ht="35.25" customHeight="1" x14ac:dyDescent="0.6">
      <c r="A2" s="434"/>
      <c r="B2" s="435"/>
      <c r="C2" s="435"/>
      <c r="D2" s="435"/>
      <c r="E2" s="435"/>
      <c r="F2" s="435"/>
      <c r="G2" s="438" t="s">
        <v>254</v>
      </c>
      <c r="H2" s="438"/>
      <c r="I2" s="438"/>
      <c r="J2" s="438"/>
      <c r="K2" s="438"/>
      <c r="L2" s="438"/>
      <c r="M2" s="438"/>
      <c r="N2" s="438"/>
      <c r="O2" s="438"/>
      <c r="P2" s="438"/>
      <c r="Q2" s="438"/>
      <c r="R2" s="438"/>
      <c r="S2" s="438"/>
      <c r="T2" s="438"/>
      <c r="U2" s="438"/>
      <c r="V2" s="438"/>
      <c r="W2" s="438"/>
      <c r="X2" s="438"/>
      <c r="Y2" s="438"/>
      <c r="Z2" s="438"/>
      <c r="AA2" s="438"/>
      <c r="AB2" s="438"/>
      <c r="AC2" s="438"/>
      <c r="AD2" s="438"/>
      <c r="AE2" s="438"/>
      <c r="AF2" s="438"/>
      <c r="AG2" s="438"/>
      <c r="AH2" s="438"/>
      <c r="AI2" s="438"/>
      <c r="AJ2" s="438"/>
      <c r="AK2" s="438"/>
      <c r="AL2" s="438"/>
      <c r="AM2" s="438"/>
      <c r="AN2" s="438"/>
      <c r="AO2" s="438"/>
      <c r="AP2" s="438"/>
      <c r="AQ2" s="438"/>
      <c r="AR2" s="438"/>
      <c r="AS2" s="438"/>
      <c r="AT2" s="438"/>
      <c r="AU2" s="438"/>
      <c r="AV2" s="438"/>
      <c r="AW2" s="438"/>
      <c r="AX2" s="438"/>
      <c r="AY2" s="438"/>
      <c r="AZ2" s="438"/>
      <c r="BA2" s="438"/>
      <c r="BB2" s="438"/>
      <c r="BC2" s="438"/>
      <c r="BD2" s="438"/>
      <c r="BE2" s="438"/>
      <c r="BF2" s="438"/>
      <c r="BG2" s="438"/>
      <c r="BH2" s="438"/>
      <c r="BI2" s="438"/>
      <c r="BJ2" s="438"/>
      <c r="BK2" s="438"/>
      <c r="BL2" s="438"/>
      <c r="BM2" s="438"/>
      <c r="BN2" s="438"/>
      <c r="BO2" s="438"/>
      <c r="BP2" s="438"/>
      <c r="BQ2" s="438"/>
      <c r="BR2" s="438"/>
      <c r="BS2" s="438"/>
      <c r="BT2" s="438"/>
      <c r="BU2" s="438"/>
      <c r="BV2" s="438"/>
      <c r="BW2" s="438"/>
      <c r="BX2" s="438"/>
      <c r="BY2" s="438"/>
      <c r="BZ2" s="438"/>
      <c r="CA2" s="438"/>
      <c r="CB2" s="438"/>
      <c r="CC2" s="438"/>
      <c r="CD2" s="438"/>
      <c r="CE2" s="438"/>
      <c r="CF2" s="438"/>
      <c r="CG2" s="438"/>
      <c r="CH2" s="438"/>
      <c r="CI2" s="438"/>
      <c r="CJ2" s="438"/>
      <c r="CK2" s="438"/>
      <c r="CL2" s="438"/>
      <c r="CM2" s="438"/>
      <c r="CN2" s="438"/>
      <c r="CO2" s="438"/>
      <c r="CP2" s="438"/>
      <c r="CQ2" s="438"/>
      <c r="CR2" s="438"/>
      <c r="CS2" s="438"/>
      <c r="CT2" s="438"/>
      <c r="CU2" s="438"/>
      <c r="CV2" s="438"/>
      <c r="CW2" s="438"/>
      <c r="CX2" s="438"/>
      <c r="CY2" s="438"/>
      <c r="CZ2" s="438"/>
      <c r="DA2" s="438"/>
      <c r="DB2" s="438"/>
      <c r="DC2" s="438"/>
      <c r="DD2" s="438"/>
      <c r="DE2" s="438"/>
      <c r="DF2" s="438"/>
      <c r="DG2" s="438"/>
      <c r="DH2" s="438"/>
      <c r="DI2" s="438"/>
      <c r="DJ2" s="438"/>
      <c r="DK2" s="438"/>
      <c r="DL2" s="438"/>
      <c r="DM2" s="438"/>
      <c r="DN2" s="438"/>
      <c r="DO2" s="438"/>
      <c r="DP2" s="438"/>
      <c r="DQ2" s="438"/>
      <c r="DR2" s="438"/>
      <c r="DS2" s="438"/>
      <c r="DT2" s="438"/>
      <c r="DU2" s="438"/>
      <c r="DV2" s="438"/>
      <c r="DW2" s="438"/>
      <c r="DX2" s="438"/>
      <c r="DY2" s="438"/>
      <c r="DZ2" s="438"/>
      <c r="EA2" s="438"/>
      <c r="EB2" s="438"/>
      <c r="EC2" s="438"/>
      <c r="ED2" s="438"/>
      <c r="EE2" s="438"/>
      <c r="EF2" s="438"/>
      <c r="EG2" s="438"/>
      <c r="EH2" s="438"/>
      <c r="EI2" s="438"/>
      <c r="EJ2" s="438"/>
      <c r="EK2" s="438"/>
      <c r="EL2" s="438"/>
      <c r="EM2" s="438"/>
      <c r="EN2" s="438"/>
      <c r="EO2" s="438"/>
      <c r="EP2" s="438"/>
      <c r="EQ2" s="438"/>
      <c r="ER2" s="438"/>
      <c r="ES2" s="438"/>
      <c r="ET2" s="438"/>
      <c r="EU2" s="438"/>
      <c r="EV2" s="438"/>
      <c r="EW2" s="438"/>
      <c r="EX2" s="438"/>
      <c r="EY2" s="438"/>
      <c r="EZ2" s="438"/>
      <c r="FA2" s="438"/>
      <c r="FB2" s="438"/>
      <c r="FC2" s="439"/>
    </row>
    <row r="3" spans="1:159" s="14" customFormat="1" ht="35.25" customHeight="1" x14ac:dyDescent="0.4">
      <c r="A3" s="434"/>
      <c r="B3" s="435"/>
      <c r="C3" s="435"/>
      <c r="D3" s="435"/>
      <c r="E3" s="435"/>
      <c r="F3" s="435"/>
      <c r="G3" s="440" t="s">
        <v>47</v>
      </c>
      <c r="H3" s="440"/>
      <c r="I3" s="440"/>
      <c r="J3" s="440"/>
      <c r="K3" s="440"/>
      <c r="L3" s="440"/>
      <c r="M3" s="440"/>
      <c r="N3" s="440"/>
      <c r="O3" s="440"/>
      <c r="P3" s="440"/>
      <c r="Q3" s="440"/>
      <c r="R3" s="440"/>
      <c r="S3" s="440"/>
      <c r="T3" s="440"/>
      <c r="U3" s="440"/>
      <c r="V3" s="440"/>
      <c r="W3" s="440"/>
      <c r="X3" s="440"/>
      <c r="Y3" s="440"/>
      <c r="Z3" s="440"/>
      <c r="AA3" s="440"/>
      <c r="AB3" s="440"/>
      <c r="AC3" s="440"/>
      <c r="AD3" s="440"/>
      <c r="AE3" s="440"/>
      <c r="AF3" s="440"/>
      <c r="AG3" s="440"/>
      <c r="AH3" s="440"/>
      <c r="AI3" s="440"/>
      <c r="AJ3" s="440"/>
      <c r="AK3" s="440"/>
      <c r="AL3" s="440"/>
      <c r="AM3" s="440"/>
      <c r="AN3" s="440"/>
      <c r="AO3" s="440"/>
      <c r="AP3" s="440"/>
      <c r="AQ3" s="440"/>
      <c r="AR3" s="440"/>
      <c r="AS3" s="440"/>
      <c r="AT3" s="440"/>
      <c r="AU3" s="440"/>
      <c r="AV3" s="440"/>
      <c r="AW3" s="440"/>
      <c r="AX3" s="440"/>
      <c r="AY3" s="440"/>
      <c r="AZ3" s="440"/>
      <c r="BA3" s="440"/>
      <c r="BB3" s="440"/>
      <c r="BC3" s="440"/>
      <c r="BD3" s="440"/>
      <c r="BE3" s="440"/>
      <c r="BF3" s="440"/>
      <c r="BG3" s="440"/>
      <c r="BH3" s="440"/>
      <c r="BI3" s="440"/>
      <c r="BJ3" s="440"/>
      <c r="BK3" s="440"/>
      <c r="BL3" s="440"/>
      <c r="BM3" s="440"/>
      <c r="BN3" s="440"/>
      <c r="BO3" s="440"/>
      <c r="BP3" s="440"/>
      <c r="BQ3" s="440"/>
      <c r="BR3" s="440"/>
      <c r="BS3" s="440"/>
      <c r="BT3" s="440"/>
      <c r="BU3" s="440"/>
      <c r="BV3" s="440"/>
      <c r="BW3" s="440"/>
      <c r="BX3" s="440"/>
      <c r="BY3" s="440"/>
      <c r="BZ3" s="440"/>
      <c r="CA3" s="440"/>
      <c r="CB3" s="440"/>
      <c r="CC3" s="440"/>
      <c r="CD3" s="440"/>
      <c r="CE3" s="440"/>
      <c r="CF3" s="440"/>
      <c r="CG3" s="440"/>
      <c r="CH3" s="440"/>
      <c r="CI3" s="440"/>
      <c r="CJ3" s="440"/>
      <c r="CK3" s="440"/>
      <c r="CL3" s="440"/>
      <c r="CM3" s="440"/>
      <c r="CN3" s="440"/>
      <c r="CO3" s="440"/>
      <c r="CP3" s="440"/>
      <c r="CQ3" s="440"/>
      <c r="CR3" s="440"/>
      <c r="CS3" s="440"/>
      <c r="CT3" s="440"/>
      <c r="CU3" s="440"/>
      <c r="CV3" s="440"/>
      <c r="CW3" s="440"/>
      <c r="CX3" s="440"/>
      <c r="CY3" s="440"/>
      <c r="CZ3" s="440"/>
      <c r="DA3" s="440"/>
      <c r="DB3" s="440"/>
      <c r="DC3" s="440"/>
      <c r="DD3" s="440"/>
      <c r="DE3" s="440"/>
      <c r="DF3" s="440"/>
      <c r="DG3" s="440"/>
      <c r="DH3" s="440"/>
      <c r="DI3" s="440"/>
      <c r="DJ3" s="440"/>
      <c r="DK3" s="440"/>
      <c r="DL3" s="440"/>
      <c r="DM3" s="440"/>
      <c r="DN3" s="440"/>
      <c r="DO3" s="440"/>
      <c r="DP3" s="440"/>
      <c r="DQ3" s="440"/>
      <c r="DR3" s="440"/>
      <c r="DS3" s="440"/>
      <c r="DT3" s="440"/>
      <c r="DU3" s="440"/>
      <c r="DV3" s="440"/>
      <c r="DW3" s="440"/>
      <c r="DX3" s="440"/>
      <c r="DY3" s="440"/>
      <c r="DZ3" s="440"/>
      <c r="EA3" s="440"/>
      <c r="EB3" s="440"/>
      <c r="EC3" s="440"/>
      <c r="ED3" s="440"/>
      <c r="EE3" s="440"/>
      <c r="EF3" s="440"/>
      <c r="EG3" s="440"/>
      <c r="EH3" s="440"/>
      <c r="EI3" s="440"/>
      <c r="EJ3" s="440"/>
      <c r="EK3" s="440"/>
      <c r="EL3" s="440"/>
      <c r="EM3" s="440"/>
      <c r="EN3" s="440"/>
      <c r="EO3" s="440"/>
      <c r="EP3" s="440"/>
      <c r="EQ3" s="440"/>
      <c r="ER3" s="440"/>
      <c r="ES3" s="440"/>
      <c r="ET3" s="441" t="s">
        <v>240</v>
      </c>
      <c r="EU3" s="441"/>
      <c r="EV3" s="441"/>
      <c r="EW3" s="441"/>
      <c r="EX3" s="441"/>
      <c r="EY3" s="441"/>
      <c r="EZ3" s="441"/>
      <c r="FA3" s="441"/>
      <c r="FB3" s="441"/>
      <c r="FC3" s="442"/>
    </row>
    <row r="4" spans="1:159" ht="35.25" customHeight="1" x14ac:dyDescent="0.25">
      <c r="A4" s="424" t="s">
        <v>0</v>
      </c>
      <c r="B4" s="425"/>
      <c r="C4" s="425"/>
      <c r="D4" s="425"/>
      <c r="E4" s="425"/>
      <c r="F4" s="425"/>
      <c r="G4" s="428" t="s">
        <v>259</v>
      </c>
      <c r="H4" s="428"/>
      <c r="I4" s="428"/>
      <c r="J4" s="428"/>
      <c r="K4" s="428"/>
      <c r="L4" s="428"/>
      <c r="M4" s="428"/>
      <c r="N4" s="428"/>
      <c r="O4" s="428"/>
      <c r="P4" s="428"/>
      <c r="Q4" s="428"/>
      <c r="R4" s="428"/>
      <c r="S4" s="428"/>
      <c r="T4" s="428"/>
      <c r="U4" s="428"/>
      <c r="V4" s="428"/>
      <c r="W4" s="428"/>
      <c r="X4" s="428"/>
      <c r="Y4" s="428"/>
      <c r="Z4" s="428"/>
      <c r="AA4" s="428"/>
      <c r="AB4" s="428"/>
      <c r="AC4" s="428"/>
      <c r="AD4" s="428"/>
      <c r="AE4" s="428"/>
      <c r="AF4" s="428"/>
      <c r="AG4" s="428"/>
      <c r="AH4" s="428"/>
      <c r="AI4" s="428"/>
      <c r="AJ4" s="428"/>
      <c r="AK4" s="428"/>
      <c r="AL4" s="428"/>
      <c r="AM4" s="428"/>
      <c r="AN4" s="428"/>
      <c r="AO4" s="428"/>
      <c r="AP4" s="428"/>
      <c r="AQ4" s="428"/>
      <c r="AR4" s="428"/>
      <c r="AS4" s="428"/>
      <c r="AT4" s="428"/>
      <c r="AU4" s="428"/>
      <c r="AV4" s="428"/>
      <c r="AW4" s="428"/>
      <c r="AX4" s="428"/>
      <c r="AY4" s="428"/>
      <c r="AZ4" s="428"/>
      <c r="BA4" s="428"/>
      <c r="BB4" s="428"/>
      <c r="BC4" s="428"/>
      <c r="BD4" s="428"/>
      <c r="BE4" s="428"/>
      <c r="BF4" s="428"/>
      <c r="BG4" s="428"/>
      <c r="BH4" s="428"/>
      <c r="BI4" s="428"/>
      <c r="BJ4" s="428"/>
      <c r="BK4" s="428"/>
      <c r="BL4" s="428"/>
      <c r="BM4" s="428"/>
      <c r="BN4" s="428"/>
      <c r="BO4" s="428"/>
      <c r="BP4" s="428"/>
      <c r="BQ4" s="428"/>
      <c r="BR4" s="428"/>
      <c r="BS4" s="428"/>
      <c r="BT4" s="428"/>
      <c r="BU4" s="428"/>
      <c r="BV4" s="428"/>
      <c r="BW4" s="428"/>
      <c r="BX4" s="428"/>
      <c r="BY4" s="428"/>
      <c r="BZ4" s="428"/>
      <c r="CA4" s="428"/>
      <c r="CB4" s="428"/>
      <c r="CC4" s="428"/>
      <c r="CD4" s="428"/>
      <c r="CE4" s="428"/>
      <c r="CF4" s="428"/>
      <c r="CG4" s="428"/>
      <c r="CH4" s="428"/>
      <c r="CI4" s="428"/>
      <c r="CJ4" s="428"/>
      <c r="CK4" s="428"/>
      <c r="CL4" s="428"/>
      <c r="CM4" s="428"/>
      <c r="CN4" s="428"/>
      <c r="CO4" s="428"/>
      <c r="CP4" s="428"/>
      <c r="CQ4" s="428"/>
      <c r="CR4" s="428"/>
      <c r="CS4" s="428"/>
      <c r="CT4" s="428"/>
      <c r="CU4" s="428"/>
      <c r="CV4" s="428"/>
      <c r="CW4" s="428"/>
      <c r="CX4" s="428"/>
      <c r="CY4" s="428"/>
      <c r="CZ4" s="428"/>
      <c r="DA4" s="428"/>
      <c r="DB4" s="428"/>
      <c r="DC4" s="428"/>
      <c r="DD4" s="428"/>
      <c r="DE4" s="428"/>
      <c r="DF4" s="428"/>
      <c r="DG4" s="428"/>
      <c r="DH4" s="428"/>
      <c r="DI4" s="428"/>
      <c r="DJ4" s="428"/>
      <c r="DK4" s="428"/>
      <c r="DL4" s="428"/>
      <c r="DM4" s="428"/>
      <c r="DN4" s="428"/>
      <c r="DO4" s="428"/>
      <c r="DP4" s="428"/>
      <c r="DQ4" s="428"/>
      <c r="DR4" s="428"/>
      <c r="DS4" s="428"/>
      <c r="DT4" s="428"/>
      <c r="DU4" s="428"/>
      <c r="DV4" s="428"/>
      <c r="DW4" s="428"/>
      <c r="DX4" s="428"/>
      <c r="DY4" s="428"/>
      <c r="DZ4" s="428"/>
      <c r="EA4" s="428"/>
      <c r="EB4" s="428"/>
      <c r="EC4" s="428"/>
      <c r="ED4" s="428"/>
      <c r="EE4" s="428"/>
      <c r="EF4" s="428"/>
      <c r="EG4" s="428"/>
      <c r="EH4" s="428"/>
      <c r="EI4" s="428"/>
      <c r="EJ4" s="428"/>
      <c r="EK4" s="428"/>
      <c r="EL4" s="428"/>
      <c r="EM4" s="428"/>
      <c r="EN4" s="428"/>
      <c r="EO4" s="428"/>
      <c r="EP4" s="428"/>
      <c r="EQ4" s="428"/>
      <c r="ER4" s="428"/>
      <c r="ES4" s="428"/>
      <c r="ET4" s="428"/>
      <c r="EU4" s="428"/>
      <c r="EV4" s="428"/>
      <c r="EW4" s="428"/>
      <c r="EX4" s="428"/>
      <c r="EY4" s="428"/>
      <c r="EZ4" s="428"/>
      <c r="FA4" s="428"/>
      <c r="FB4" s="428"/>
      <c r="FC4" s="429"/>
    </row>
    <row r="5" spans="1:159" ht="35.25" customHeight="1" x14ac:dyDescent="0.25">
      <c r="A5" s="424" t="s">
        <v>2</v>
      </c>
      <c r="B5" s="425"/>
      <c r="C5" s="425"/>
      <c r="D5" s="425"/>
      <c r="E5" s="425"/>
      <c r="F5" s="425"/>
      <c r="G5" s="428" t="s">
        <v>260</v>
      </c>
      <c r="H5" s="428"/>
      <c r="I5" s="428"/>
      <c r="J5" s="428"/>
      <c r="K5" s="428"/>
      <c r="L5" s="428"/>
      <c r="M5" s="428"/>
      <c r="N5" s="428"/>
      <c r="O5" s="428"/>
      <c r="P5" s="428"/>
      <c r="Q5" s="428"/>
      <c r="R5" s="428"/>
      <c r="S5" s="428"/>
      <c r="T5" s="428"/>
      <c r="U5" s="428"/>
      <c r="V5" s="428"/>
      <c r="W5" s="428"/>
      <c r="X5" s="428"/>
      <c r="Y5" s="428"/>
      <c r="Z5" s="428"/>
      <c r="AA5" s="428"/>
      <c r="AB5" s="428"/>
      <c r="AC5" s="428"/>
      <c r="AD5" s="428"/>
      <c r="AE5" s="428"/>
      <c r="AF5" s="428"/>
      <c r="AG5" s="428"/>
      <c r="AH5" s="428"/>
      <c r="AI5" s="428"/>
      <c r="AJ5" s="428"/>
      <c r="AK5" s="428"/>
      <c r="AL5" s="428"/>
      <c r="AM5" s="428"/>
      <c r="AN5" s="428"/>
      <c r="AO5" s="428"/>
      <c r="AP5" s="428"/>
      <c r="AQ5" s="428"/>
      <c r="AR5" s="428"/>
      <c r="AS5" s="428"/>
      <c r="AT5" s="428"/>
      <c r="AU5" s="428"/>
      <c r="AV5" s="428"/>
      <c r="AW5" s="428"/>
      <c r="AX5" s="428"/>
      <c r="AY5" s="428"/>
      <c r="AZ5" s="428"/>
      <c r="BA5" s="428"/>
      <c r="BB5" s="428"/>
      <c r="BC5" s="428"/>
      <c r="BD5" s="428"/>
      <c r="BE5" s="428"/>
      <c r="BF5" s="428"/>
      <c r="BG5" s="428"/>
      <c r="BH5" s="428"/>
      <c r="BI5" s="428"/>
      <c r="BJ5" s="428"/>
      <c r="BK5" s="428"/>
      <c r="BL5" s="428"/>
      <c r="BM5" s="428"/>
      <c r="BN5" s="428"/>
      <c r="BO5" s="428"/>
      <c r="BP5" s="428"/>
      <c r="BQ5" s="428"/>
      <c r="BR5" s="428"/>
      <c r="BS5" s="428"/>
      <c r="BT5" s="428"/>
      <c r="BU5" s="428"/>
      <c r="BV5" s="428"/>
      <c r="BW5" s="428"/>
      <c r="BX5" s="428"/>
      <c r="BY5" s="428"/>
      <c r="BZ5" s="428"/>
      <c r="CA5" s="428"/>
      <c r="CB5" s="428"/>
      <c r="CC5" s="428"/>
      <c r="CD5" s="428"/>
      <c r="CE5" s="428"/>
      <c r="CF5" s="428"/>
      <c r="CG5" s="428"/>
      <c r="CH5" s="428"/>
      <c r="CI5" s="428"/>
      <c r="CJ5" s="428"/>
      <c r="CK5" s="428"/>
      <c r="CL5" s="428"/>
      <c r="CM5" s="428"/>
      <c r="CN5" s="428"/>
      <c r="CO5" s="428"/>
      <c r="CP5" s="428"/>
      <c r="CQ5" s="428"/>
      <c r="CR5" s="428"/>
      <c r="CS5" s="428"/>
      <c r="CT5" s="428"/>
      <c r="CU5" s="428"/>
      <c r="CV5" s="428"/>
      <c r="CW5" s="428"/>
      <c r="CX5" s="428"/>
      <c r="CY5" s="428"/>
      <c r="CZ5" s="428"/>
      <c r="DA5" s="428"/>
      <c r="DB5" s="428"/>
      <c r="DC5" s="428"/>
      <c r="DD5" s="428"/>
      <c r="DE5" s="428"/>
      <c r="DF5" s="428"/>
      <c r="DG5" s="428"/>
      <c r="DH5" s="428"/>
      <c r="DI5" s="428"/>
      <c r="DJ5" s="428"/>
      <c r="DK5" s="428"/>
      <c r="DL5" s="428"/>
      <c r="DM5" s="428"/>
      <c r="DN5" s="428"/>
      <c r="DO5" s="428"/>
      <c r="DP5" s="428"/>
      <c r="DQ5" s="428"/>
      <c r="DR5" s="428"/>
      <c r="DS5" s="428"/>
      <c r="DT5" s="428"/>
      <c r="DU5" s="428"/>
      <c r="DV5" s="428"/>
      <c r="DW5" s="428"/>
      <c r="DX5" s="428"/>
      <c r="DY5" s="428"/>
      <c r="DZ5" s="428"/>
      <c r="EA5" s="428"/>
      <c r="EB5" s="428"/>
      <c r="EC5" s="428"/>
      <c r="ED5" s="428"/>
      <c r="EE5" s="428"/>
      <c r="EF5" s="428"/>
      <c r="EG5" s="428"/>
      <c r="EH5" s="428"/>
      <c r="EI5" s="428"/>
      <c r="EJ5" s="428"/>
      <c r="EK5" s="428"/>
      <c r="EL5" s="428"/>
      <c r="EM5" s="428"/>
      <c r="EN5" s="428"/>
      <c r="EO5" s="428"/>
      <c r="EP5" s="428"/>
      <c r="EQ5" s="428"/>
      <c r="ER5" s="428"/>
      <c r="ES5" s="428"/>
      <c r="ET5" s="428"/>
      <c r="EU5" s="428"/>
      <c r="EV5" s="428"/>
      <c r="EW5" s="428"/>
      <c r="EX5" s="428"/>
      <c r="EY5" s="428"/>
      <c r="EZ5" s="428"/>
      <c r="FA5" s="428"/>
      <c r="FB5" s="428"/>
      <c r="FC5" s="429"/>
    </row>
    <row r="6" spans="1:159" ht="35.25" customHeight="1" x14ac:dyDescent="0.25">
      <c r="A6" s="424" t="s">
        <v>55</v>
      </c>
      <c r="B6" s="425"/>
      <c r="C6" s="425"/>
      <c r="D6" s="425"/>
      <c r="E6" s="425"/>
      <c r="F6" s="425"/>
      <c r="G6" s="428" t="s">
        <v>261</v>
      </c>
      <c r="H6" s="428"/>
      <c r="I6" s="428"/>
      <c r="J6" s="428"/>
      <c r="K6" s="428"/>
      <c r="L6" s="428"/>
      <c r="M6" s="428"/>
      <c r="N6" s="428"/>
      <c r="O6" s="428"/>
      <c r="P6" s="428"/>
      <c r="Q6" s="428"/>
      <c r="R6" s="428"/>
      <c r="S6" s="428"/>
      <c r="T6" s="428"/>
      <c r="U6" s="428"/>
      <c r="V6" s="428"/>
      <c r="W6" s="428"/>
      <c r="X6" s="428"/>
      <c r="Y6" s="428"/>
      <c r="Z6" s="428"/>
      <c r="AA6" s="428"/>
      <c r="AB6" s="428"/>
      <c r="AC6" s="428"/>
      <c r="AD6" s="428"/>
      <c r="AE6" s="428"/>
      <c r="AF6" s="428"/>
      <c r="AG6" s="428"/>
      <c r="AH6" s="428"/>
      <c r="AI6" s="428"/>
      <c r="AJ6" s="428"/>
      <c r="AK6" s="428"/>
      <c r="AL6" s="428"/>
      <c r="AM6" s="428"/>
      <c r="AN6" s="428"/>
      <c r="AO6" s="428"/>
      <c r="AP6" s="428"/>
      <c r="AQ6" s="428"/>
      <c r="AR6" s="428"/>
      <c r="AS6" s="428"/>
      <c r="AT6" s="428"/>
      <c r="AU6" s="428"/>
      <c r="AV6" s="428"/>
      <c r="AW6" s="428"/>
      <c r="AX6" s="428"/>
      <c r="AY6" s="428"/>
      <c r="AZ6" s="428"/>
      <c r="BA6" s="428"/>
      <c r="BB6" s="428"/>
      <c r="BC6" s="428"/>
      <c r="BD6" s="428"/>
      <c r="BE6" s="428"/>
      <c r="BF6" s="428"/>
      <c r="BG6" s="428"/>
      <c r="BH6" s="428"/>
      <c r="BI6" s="428"/>
      <c r="BJ6" s="428"/>
      <c r="BK6" s="428"/>
      <c r="BL6" s="428"/>
      <c r="BM6" s="428"/>
      <c r="BN6" s="428"/>
      <c r="BO6" s="428"/>
      <c r="BP6" s="428"/>
      <c r="BQ6" s="428"/>
      <c r="BR6" s="428"/>
      <c r="BS6" s="428"/>
      <c r="BT6" s="428"/>
      <c r="BU6" s="428"/>
      <c r="BV6" s="428"/>
      <c r="BW6" s="428"/>
      <c r="BX6" s="428"/>
      <c r="BY6" s="428"/>
      <c r="BZ6" s="428"/>
      <c r="CA6" s="428"/>
      <c r="CB6" s="428"/>
      <c r="CC6" s="428"/>
      <c r="CD6" s="428"/>
      <c r="CE6" s="428"/>
      <c r="CF6" s="428"/>
      <c r="CG6" s="428"/>
      <c r="CH6" s="428"/>
      <c r="CI6" s="428"/>
      <c r="CJ6" s="428"/>
      <c r="CK6" s="428"/>
      <c r="CL6" s="428"/>
      <c r="CM6" s="428"/>
      <c r="CN6" s="428"/>
      <c r="CO6" s="428"/>
      <c r="CP6" s="428"/>
      <c r="CQ6" s="428"/>
      <c r="CR6" s="428"/>
      <c r="CS6" s="428"/>
      <c r="CT6" s="428"/>
      <c r="CU6" s="428"/>
      <c r="CV6" s="428"/>
      <c r="CW6" s="428"/>
      <c r="CX6" s="428"/>
      <c r="CY6" s="428"/>
      <c r="CZ6" s="428"/>
      <c r="DA6" s="428"/>
      <c r="DB6" s="428"/>
      <c r="DC6" s="428"/>
      <c r="DD6" s="428"/>
      <c r="DE6" s="428"/>
      <c r="DF6" s="428"/>
      <c r="DG6" s="428"/>
      <c r="DH6" s="428"/>
      <c r="DI6" s="428"/>
      <c r="DJ6" s="428"/>
      <c r="DK6" s="428"/>
      <c r="DL6" s="428"/>
      <c r="DM6" s="428"/>
      <c r="DN6" s="428"/>
      <c r="DO6" s="428"/>
      <c r="DP6" s="428"/>
      <c r="DQ6" s="428"/>
      <c r="DR6" s="428"/>
      <c r="DS6" s="428"/>
      <c r="DT6" s="428"/>
      <c r="DU6" s="428"/>
      <c r="DV6" s="428"/>
      <c r="DW6" s="428"/>
      <c r="DX6" s="428"/>
      <c r="DY6" s="428"/>
      <c r="DZ6" s="428"/>
      <c r="EA6" s="428"/>
      <c r="EB6" s="428"/>
      <c r="EC6" s="428"/>
      <c r="ED6" s="428"/>
      <c r="EE6" s="428"/>
      <c r="EF6" s="428"/>
      <c r="EG6" s="428"/>
      <c r="EH6" s="428"/>
      <c r="EI6" s="428"/>
      <c r="EJ6" s="428"/>
      <c r="EK6" s="428"/>
      <c r="EL6" s="428"/>
      <c r="EM6" s="428"/>
      <c r="EN6" s="428"/>
      <c r="EO6" s="428"/>
      <c r="EP6" s="428"/>
      <c r="EQ6" s="428"/>
      <c r="ER6" s="428"/>
      <c r="ES6" s="428"/>
      <c r="ET6" s="428"/>
      <c r="EU6" s="428"/>
      <c r="EV6" s="428"/>
      <c r="EW6" s="428"/>
      <c r="EX6" s="428"/>
      <c r="EY6" s="428"/>
      <c r="EZ6" s="428"/>
      <c r="FA6" s="428"/>
      <c r="FB6" s="428"/>
      <c r="FC6" s="429"/>
    </row>
    <row r="7" spans="1:159" ht="35.25" customHeight="1" thickBot="1" x14ac:dyDescent="0.3">
      <c r="A7" s="426" t="s">
        <v>1</v>
      </c>
      <c r="B7" s="427"/>
      <c r="C7" s="427"/>
      <c r="D7" s="427"/>
      <c r="E7" s="427"/>
      <c r="F7" s="427"/>
      <c r="G7" s="430" t="s">
        <v>262</v>
      </c>
      <c r="H7" s="430"/>
      <c r="I7" s="430"/>
      <c r="J7" s="430"/>
      <c r="K7" s="430"/>
      <c r="L7" s="430"/>
      <c r="M7" s="430"/>
      <c r="N7" s="430"/>
      <c r="O7" s="430"/>
      <c r="P7" s="430"/>
      <c r="Q7" s="430"/>
      <c r="R7" s="430"/>
      <c r="S7" s="430"/>
      <c r="T7" s="430"/>
      <c r="U7" s="430"/>
      <c r="V7" s="430"/>
      <c r="W7" s="430"/>
      <c r="X7" s="430"/>
      <c r="Y7" s="430"/>
      <c r="Z7" s="430"/>
      <c r="AA7" s="430"/>
      <c r="AB7" s="430"/>
      <c r="AC7" s="430"/>
      <c r="AD7" s="430"/>
      <c r="AE7" s="430"/>
      <c r="AF7" s="430"/>
      <c r="AG7" s="430"/>
      <c r="AH7" s="430"/>
      <c r="AI7" s="430"/>
      <c r="AJ7" s="430"/>
      <c r="AK7" s="430"/>
      <c r="AL7" s="430"/>
      <c r="AM7" s="430"/>
      <c r="AN7" s="430"/>
      <c r="AO7" s="430"/>
      <c r="AP7" s="430"/>
      <c r="AQ7" s="430"/>
      <c r="AR7" s="430"/>
      <c r="AS7" s="430"/>
      <c r="AT7" s="430"/>
      <c r="AU7" s="430"/>
      <c r="AV7" s="430"/>
      <c r="AW7" s="430"/>
      <c r="AX7" s="430"/>
      <c r="AY7" s="430"/>
      <c r="AZ7" s="430"/>
      <c r="BA7" s="430"/>
      <c r="BB7" s="430"/>
      <c r="BC7" s="430"/>
      <c r="BD7" s="430"/>
      <c r="BE7" s="430"/>
      <c r="BF7" s="430"/>
      <c r="BG7" s="430"/>
      <c r="BH7" s="430"/>
      <c r="BI7" s="430"/>
      <c r="BJ7" s="430"/>
      <c r="BK7" s="430"/>
      <c r="BL7" s="430"/>
      <c r="BM7" s="430"/>
      <c r="BN7" s="430"/>
      <c r="BO7" s="430"/>
      <c r="BP7" s="430"/>
      <c r="BQ7" s="430"/>
      <c r="BR7" s="430"/>
      <c r="BS7" s="430"/>
      <c r="BT7" s="430"/>
      <c r="BU7" s="430"/>
      <c r="BV7" s="430"/>
      <c r="BW7" s="430"/>
      <c r="BX7" s="430"/>
      <c r="BY7" s="430"/>
      <c r="BZ7" s="430"/>
      <c r="CA7" s="430"/>
      <c r="CB7" s="430"/>
      <c r="CC7" s="430"/>
      <c r="CD7" s="430"/>
      <c r="CE7" s="430"/>
      <c r="CF7" s="430"/>
      <c r="CG7" s="430"/>
      <c r="CH7" s="430"/>
      <c r="CI7" s="430"/>
      <c r="CJ7" s="430"/>
      <c r="CK7" s="430"/>
      <c r="CL7" s="430"/>
      <c r="CM7" s="430"/>
      <c r="CN7" s="430"/>
      <c r="CO7" s="430"/>
      <c r="CP7" s="430"/>
      <c r="CQ7" s="430"/>
      <c r="CR7" s="430"/>
      <c r="CS7" s="430"/>
      <c r="CT7" s="430"/>
      <c r="CU7" s="430"/>
      <c r="CV7" s="430"/>
      <c r="CW7" s="430"/>
      <c r="CX7" s="430"/>
      <c r="CY7" s="430"/>
      <c r="CZ7" s="430"/>
      <c r="DA7" s="430"/>
      <c r="DB7" s="430"/>
      <c r="DC7" s="430"/>
      <c r="DD7" s="430"/>
      <c r="DE7" s="430"/>
      <c r="DF7" s="430"/>
      <c r="DG7" s="430"/>
      <c r="DH7" s="430"/>
      <c r="DI7" s="430"/>
      <c r="DJ7" s="430"/>
      <c r="DK7" s="430"/>
      <c r="DL7" s="430"/>
      <c r="DM7" s="430"/>
      <c r="DN7" s="430"/>
      <c r="DO7" s="430"/>
      <c r="DP7" s="430"/>
      <c r="DQ7" s="430"/>
      <c r="DR7" s="430"/>
      <c r="DS7" s="430"/>
      <c r="DT7" s="430"/>
      <c r="DU7" s="430"/>
      <c r="DV7" s="430"/>
      <c r="DW7" s="430"/>
      <c r="DX7" s="430"/>
      <c r="DY7" s="430"/>
      <c r="DZ7" s="430"/>
      <c r="EA7" s="430"/>
      <c r="EB7" s="430"/>
      <c r="EC7" s="430"/>
      <c r="ED7" s="430"/>
      <c r="EE7" s="430"/>
      <c r="EF7" s="430"/>
      <c r="EG7" s="430"/>
      <c r="EH7" s="430"/>
      <c r="EI7" s="430"/>
      <c r="EJ7" s="430"/>
      <c r="EK7" s="430"/>
      <c r="EL7" s="430"/>
      <c r="EM7" s="430"/>
      <c r="EN7" s="430"/>
      <c r="EO7" s="430"/>
      <c r="EP7" s="430"/>
      <c r="EQ7" s="430"/>
      <c r="ER7" s="430"/>
      <c r="ES7" s="430"/>
      <c r="ET7" s="430"/>
      <c r="EU7" s="430"/>
      <c r="EV7" s="430"/>
      <c r="EW7" s="430"/>
      <c r="EX7" s="430"/>
      <c r="EY7" s="430"/>
      <c r="EZ7" s="430"/>
      <c r="FA7" s="430"/>
      <c r="FB7" s="430"/>
      <c r="FC7" s="431"/>
    </row>
    <row r="8" spans="1:159" ht="35.25" customHeight="1" thickBot="1" x14ac:dyDescent="0.3">
      <c r="A8" s="34"/>
      <c r="B8" s="33"/>
      <c r="C8" s="33"/>
      <c r="D8" s="33"/>
      <c r="E8" s="33"/>
      <c r="F8" s="33"/>
      <c r="G8" s="33"/>
      <c r="H8" s="33"/>
      <c r="I8" s="33"/>
      <c r="J8" s="33"/>
      <c r="K8" s="33"/>
      <c r="L8" s="33"/>
      <c r="M8" s="33"/>
      <c r="N8" s="33"/>
      <c r="O8" s="33"/>
      <c r="P8" s="33"/>
      <c r="Q8" s="33"/>
      <c r="R8" s="33"/>
      <c r="S8" s="33"/>
      <c r="T8" s="33"/>
      <c r="U8" s="177"/>
      <c r="V8" s="33"/>
      <c r="W8" s="33"/>
      <c r="X8" s="33"/>
      <c r="Y8" s="177"/>
      <c r="Z8" s="33"/>
      <c r="AA8" s="33"/>
      <c r="AB8" s="33"/>
      <c r="AC8" s="33"/>
      <c r="AD8" s="33"/>
      <c r="AE8" s="33"/>
      <c r="AF8" s="33"/>
      <c r="AG8" s="33"/>
      <c r="AH8" s="33"/>
      <c r="AI8" s="33"/>
      <c r="AJ8" s="33"/>
      <c r="AK8" s="33"/>
      <c r="AL8" s="33"/>
      <c r="AM8" s="33"/>
      <c r="AN8" s="33"/>
      <c r="AO8" s="33"/>
      <c r="AP8" s="178"/>
      <c r="AQ8" s="33"/>
      <c r="AR8" s="33"/>
      <c r="AS8" s="33"/>
      <c r="AT8" s="33"/>
      <c r="AU8" s="33"/>
      <c r="AV8" s="33"/>
      <c r="AW8" s="33"/>
      <c r="AX8" s="33"/>
      <c r="AY8" s="33"/>
      <c r="AZ8" s="33"/>
      <c r="BA8" s="33"/>
      <c r="BB8" s="33"/>
      <c r="BC8" s="33"/>
      <c r="BD8" s="33"/>
      <c r="BE8" s="33"/>
      <c r="BF8" s="33"/>
      <c r="BG8" s="33"/>
      <c r="BH8" s="33"/>
      <c r="BI8" s="33"/>
      <c r="BJ8" s="33"/>
      <c r="BK8" s="33"/>
      <c r="BL8" s="33"/>
      <c r="BM8" s="33"/>
      <c r="BN8" s="33"/>
      <c r="BO8" s="33"/>
      <c r="BP8" s="33"/>
      <c r="BQ8" s="33"/>
      <c r="BR8" s="33"/>
      <c r="BS8" s="33"/>
      <c r="BT8" s="33"/>
      <c r="BU8" s="33"/>
      <c r="BV8" s="33"/>
      <c r="BW8" s="33"/>
      <c r="BX8" s="33"/>
      <c r="BY8" s="33"/>
      <c r="BZ8" s="33"/>
      <c r="CA8" s="33"/>
      <c r="CB8" s="33"/>
      <c r="CC8" s="33"/>
      <c r="CD8" s="33"/>
      <c r="CE8" s="33"/>
      <c r="CF8" s="33"/>
      <c r="CG8" s="33"/>
      <c r="CH8" s="33"/>
      <c r="CI8" s="33"/>
      <c r="CJ8" s="33"/>
      <c r="CK8" s="33"/>
      <c r="CL8" s="33"/>
      <c r="CM8" s="33"/>
      <c r="CN8" s="33"/>
      <c r="CO8" s="33"/>
      <c r="CP8" s="33"/>
      <c r="CQ8" s="33"/>
      <c r="CR8" s="33"/>
      <c r="CS8" s="33"/>
      <c r="CT8" s="33"/>
      <c r="CU8" s="33"/>
      <c r="CV8" s="33"/>
      <c r="CW8" s="33"/>
      <c r="CX8" s="33"/>
      <c r="CY8" s="33"/>
      <c r="CZ8" s="33"/>
      <c r="DA8" s="33"/>
      <c r="DB8" s="33"/>
      <c r="DC8" s="33"/>
      <c r="DD8" s="33"/>
      <c r="DE8" s="33"/>
      <c r="DF8" s="33"/>
      <c r="DG8" s="33"/>
      <c r="DH8" s="33"/>
      <c r="DI8" s="33"/>
      <c r="DJ8" s="33"/>
      <c r="DK8" s="33"/>
      <c r="DL8" s="33"/>
      <c r="DM8" s="33"/>
      <c r="DN8" s="33"/>
      <c r="DO8" s="33"/>
      <c r="DP8" s="33"/>
      <c r="DQ8" s="33"/>
      <c r="DR8" s="33"/>
      <c r="DS8" s="33"/>
      <c r="DT8" s="33"/>
      <c r="DU8" s="33"/>
      <c r="DV8" s="33"/>
      <c r="DW8" s="33"/>
      <c r="DX8" s="33"/>
      <c r="DY8" s="33"/>
      <c r="DZ8" s="33"/>
      <c r="EA8" s="33"/>
      <c r="EB8" s="33"/>
      <c r="EC8" s="33"/>
      <c r="ED8" s="33"/>
      <c r="EE8" s="33"/>
      <c r="EF8" s="33"/>
      <c r="EG8" s="33"/>
      <c r="EH8" s="33"/>
      <c r="EI8" s="33"/>
      <c r="EJ8" s="33"/>
      <c r="EK8" s="33"/>
      <c r="EL8" s="33"/>
      <c r="EM8" s="33"/>
      <c r="EN8" s="33"/>
      <c r="EO8" s="33"/>
      <c r="EP8" s="33"/>
      <c r="EQ8" s="33"/>
      <c r="ER8" s="33"/>
      <c r="ES8" s="33"/>
      <c r="ET8" s="33"/>
      <c r="EU8" s="33"/>
      <c r="EV8" s="33"/>
      <c r="EW8" s="33"/>
      <c r="EX8" s="33"/>
      <c r="EY8" s="33"/>
      <c r="EZ8" s="33"/>
      <c r="FA8" s="33"/>
      <c r="FB8" s="33"/>
      <c r="FC8" s="33"/>
    </row>
    <row r="9" spans="1:159" s="1" customFormat="1" ht="35.25" customHeight="1" x14ac:dyDescent="0.2">
      <c r="A9" s="423" t="s">
        <v>69</v>
      </c>
      <c r="B9" s="423"/>
      <c r="C9" s="423"/>
      <c r="D9" s="423"/>
      <c r="E9" s="423"/>
      <c r="F9" s="423"/>
      <c r="G9" s="423"/>
      <c r="H9" s="423"/>
      <c r="I9" s="423"/>
      <c r="J9" s="423" t="s">
        <v>228</v>
      </c>
      <c r="K9" s="423"/>
      <c r="L9" s="423"/>
      <c r="M9" s="423"/>
      <c r="N9" s="423"/>
      <c r="O9" s="423"/>
      <c r="P9" s="423"/>
      <c r="Q9" s="423"/>
      <c r="R9" s="423"/>
      <c r="S9" s="423"/>
      <c r="T9" s="423"/>
      <c r="U9" s="423"/>
      <c r="V9" s="423"/>
      <c r="W9" s="423"/>
      <c r="X9" s="423"/>
      <c r="Y9" s="423"/>
      <c r="Z9" s="423"/>
      <c r="AA9" s="423"/>
      <c r="AB9" s="423"/>
      <c r="AC9" s="423"/>
      <c r="AD9" s="423"/>
      <c r="AE9" s="423"/>
      <c r="AF9" s="423"/>
      <c r="AG9" s="423"/>
      <c r="AH9" s="423"/>
      <c r="AI9" s="423"/>
      <c r="AJ9" s="423"/>
      <c r="AK9" s="423"/>
      <c r="AL9" s="423"/>
      <c r="AM9" s="423"/>
      <c r="AN9" s="423"/>
      <c r="AO9" s="423"/>
      <c r="AP9" s="423"/>
      <c r="AQ9" s="423"/>
      <c r="AR9" s="423"/>
      <c r="AS9" s="423"/>
      <c r="AT9" s="423"/>
      <c r="AU9" s="423"/>
      <c r="AV9" s="423"/>
      <c r="AW9" s="423"/>
      <c r="AX9" s="423"/>
      <c r="AY9" s="423"/>
      <c r="AZ9" s="423"/>
      <c r="BA9" s="423"/>
      <c r="BB9" s="423"/>
      <c r="BC9" s="423"/>
      <c r="BD9" s="423"/>
      <c r="BE9" s="423"/>
      <c r="BF9" s="423"/>
      <c r="BG9" s="423"/>
      <c r="BH9" s="423"/>
      <c r="BI9" s="423"/>
      <c r="BJ9" s="423"/>
      <c r="BK9" s="423"/>
      <c r="BL9" s="423"/>
      <c r="BM9" s="423"/>
      <c r="BN9" s="423"/>
      <c r="BO9" s="423"/>
      <c r="BP9" s="423"/>
      <c r="BQ9" s="423"/>
      <c r="BR9" s="423"/>
      <c r="BS9" s="423"/>
      <c r="BT9" s="423"/>
      <c r="BU9" s="423"/>
      <c r="BV9" s="423"/>
      <c r="BW9" s="423"/>
      <c r="BX9" s="423"/>
      <c r="BY9" s="423"/>
      <c r="BZ9" s="423"/>
      <c r="CA9" s="423"/>
      <c r="CB9" s="423"/>
      <c r="CC9" s="423"/>
      <c r="CD9" s="423"/>
      <c r="CE9" s="423"/>
      <c r="CF9" s="423"/>
      <c r="CG9" s="423"/>
      <c r="CH9" s="423"/>
      <c r="CI9" s="423"/>
      <c r="CJ9" s="423"/>
      <c r="CK9" s="423"/>
      <c r="CL9" s="423"/>
      <c r="CM9" s="423"/>
      <c r="CN9" s="423"/>
      <c r="CO9" s="423"/>
      <c r="CP9" s="423"/>
      <c r="CQ9" s="423"/>
      <c r="CR9" s="423"/>
      <c r="CS9" s="423"/>
      <c r="CT9" s="423"/>
      <c r="CU9" s="423"/>
      <c r="CV9" s="423"/>
      <c r="CW9" s="423"/>
      <c r="CX9" s="423"/>
      <c r="CY9" s="423"/>
      <c r="CZ9" s="423"/>
      <c r="DA9" s="423"/>
      <c r="DB9" s="423"/>
      <c r="DC9" s="423"/>
      <c r="DD9" s="423"/>
      <c r="DE9" s="423"/>
      <c r="DF9" s="423"/>
      <c r="DG9" s="423"/>
      <c r="DH9" s="423"/>
      <c r="DI9" s="423"/>
      <c r="DJ9" s="423"/>
      <c r="DK9" s="423"/>
      <c r="DL9" s="423"/>
      <c r="DM9" s="423"/>
      <c r="DN9" s="423"/>
      <c r="DO9" s="423"/>
      <c r="DP9" s="423"/>
      <c r="DQ9" s="423"/>
      <c r="DR9" s="423"/>
      <c r="DS9" s="423"/>
      <c r="DT9" s="423"/>
      <c r="DU9" s="423"/>
      <c r="DV9" s="423"/>
      <c r="DW9" s="423"/>
      <c r="DX9" s="423"/>
      <c r="DY9" s="423"/>
      <c r="DZ9" s="423"/>
      <c r="EA9" s="423"/>
      <c r="EB9" s="423"/>
      <c r="EC9" s="423"/>
      <c r="ED9" s="423"/>
      <c r="EE9" s="423"/>
      <c r="EF9" s="423"/>
      <c r="EG9" s="423"/>
      <c r="EH9" s="423"/>
      <c r="EI9" s="423"/>
      <c r="EJ9" s="423"/>
      <c r="EK9" s="423"/>
      <c r="EL9" s="423"/>
      <c r="EM9" s="423"/>
      <c r="EN9" s="423"/>
      <c r="EO9" s="423"/>
      <c r="EP9" s="423"/>
      <c r="EQ9" s="423"/>
      <c r="ER9" s="423"/>
      <c r="ES9" s="423"/>
      <c r="ET9" s="416" t="s">
        <v>220</v>
      </c>
      <c r="EU9" s="416" t="s">
        <v>221</v>
      </c>
      <c r="EV9" s="418" t="s">
        <v>222</v>
      </c>
      <c r="EW9" s="420" t="s">
        <v>278</v>
      </c>
      <c r="EX9" s="418" t="s">
        <v>244</v>
      </c>
      <c r="EY9" s="415" t="s">
        <v>245</v>
      </c>
      <c r="EZ9" s="415" t="s">
        <v>246</v>
      </c>
      <c r="FA9" s="415" t="s">
        <v>247</v>
      </c>
      <c r="FB9" s="415" t="s">
        <v>249</v>
      </c>
      <c r="FC9" s="415" t="s">
        <v>248</v>
      </c>
    </row>
    <row r="10" spans="1:159" s="1" customFormat="1" ht="35.25" customHeight="1" x14ac:dyDescent="0.2">
      <c r="A10" s="423" t="s">
        <v>79</v>
      </c>
      <c r="B10" s="423"/>
      <c r="C10" s="423"/>
      <c r="D10" s="423"/>
      <c r="E10" s="423"/>
      <c r="F10" s="423"/>
      <c r="G10" s="423"/>
      <c r="H10" s="423"/>
      <c r="I10" s="423"/>
      <c r="J10" s="422" t="s">
        <v>48</v>
      </c>
      <c r="K10" s="422"/>
      <c r="L10" s="422"/>
      <c r="M10" s="422"/>
      <c r="N10" s="422"/>
      <c r="O10" s="422"/>
      <c r="P10" s="422"/>
      <c r="Q10" s="422"/>
      <c r="R10" s="422"/>
      <c r="S10" s="422"/>
      <c r="T10" s="422"/>
      <c r="U10" s="422"/>
      <c r="V10" s="422"/>
      <c r="W10" s="422"/>
      <c r="X10" s="422"/>
      <c r="Y10" s="422"/>
      <c r="Z10" s="422"/>
      <c r="AA10" s="422"/>
      <c r="AB10" s="422"/>
      <c r="AC10" s="422"/>
      <c r="AD10" s="422" t="s">
        <v>49</v>
      </c>
      <c r="AE10" s="422"/>
      <c r="AF10" s="422"/>
      <c r="AG10" s="422"/>
      <c r="AH10" s="422"/>
      <c r="AI10" s="422"/>
      <c r="AJ10" s="422"/>
      <c r="AK10" s="422"/>
      <c r="AL10" s="422"/>
      <c r="AM10" s="422"/>
      <c r="AN10" s="422"/>
      <c r="AO10" s="422"/>
      <c r="AP10" s="422"/>
      <c r="AQ10" s="422"/>
      <c r="AR10" s="422"/>
      <c r="AS10" s="422"/>
      <c r="AT10" s="422"/>
      <c r="AU10" s="422"/>
      <c r="AV10" s="422"/>
      <c r="AW10" s="422"/>
      <c r="AX10" s="422"/>
      <c r="AY10" s="422"/>
      <c r="AZ10" s="422"/>
      <c r="BA10" s="422"/>
      <c r="BB10" s="422"/>
      <c r="BC10" s="422"/>
      <c r="BD10" s="422"/>
      <c r="BE10" s="422"/>
      <c r="BF10" s="422"/>
      <c r="BG10" s="422"/>
      <c r="BH10" s="422" t="s">
        <v>61</v>
      </c>
      <c r="BI10" s="422"/>
      <c r="BJ10" s="422"/>
      <c r="BK10" s="422"/>
      <c r="BL10" s="422"/>
      <c r="BM10" s="422"/>
      <c r="BN10" s="422"/>
      <c r="BO10" s="422"/>
      <c r="BP10" s="422"/>
      <c r="BQ10" s="422"/>
      <c r="BR10" s="422"/>
      <c r="BS10" s="422"/>
      <c r="BT10" s="422"/>
      <c r="BU10" s="422"/>
      <c r="BV10" s="422"/>
      <c r="BW10" s="422"/>
      <c r="BX10" s="422"/>
      <c r="BY10" s="422"/>
      <c r="BZ10" s="422"/>
      <c r="CA10" s="422"/>
      <c r="CB10" s="422"/>
      <c r="CC10" s="422"/>
      <c r="CD10" s="422"/>
      <c r="CE10" s="422"/>
      <c r="CF10" s="422"/>
      <c r="CG10" s="422"/>
      <c r="CH10" s="422"/>
      <c r="CI10" s="422"/>
      <c r="CJ10" s="422"/>
      <c r="CK10" s="422"/>
      <c r="CL10" s="422" t="s">
        <v>62</v>
      </c>
      <c r="CM10" s="422"/>
      <c r="CN10" s="422"/>
      <c r="CO10" s="422"/>
      <c r="CP10" s="422"/>
      <c r="CQ10" s="422"/>
      <c r="CR10" s="422"/>
      <c r="CS10" s="422"/>
      <c r="CT10" s="422"/>
      <c r="CU10" s="422"/>
      <c r="CV10" s="422"/>
      <c r="CW10" s="422"/>
      <c r="CX10" s="422"/>
      <c r="CY10" s="422"/>
      <c r="CZ10" s="422"/>
      <c r="DA10" s="422"/>
      <c r="DB10" s="422"/>
      <c r="DC10" s="422"/>
      <c r="DD10" s="422"/>
      <c r="DE10" s="422"/>
      <c r="DF10" s="422"/>
      <c r="DG10" s="422"/>
      <c r="DH10" s="422"/>
      <c r="DI10" s="422"/>
      <c r="DJ10" s="422"/>
      <c r="DK10" s="422"/>
      <c r="DL10" s="422"/>
      <c r="DM10" s="422"/>
      <c r="DN10" s="422"/>
      <c r="DO10" s="422"/>
      <c r="DP10" s="422" t="s">
        <v>63</v>
      </c>
      <c r="DQ10" s="422"/>
      <c r="DR10" s="422"/>
      <c r="DS10" s="422"/>
      <c r="DT10" s="422"/>
      <c r="DU10" s="422"/>
      <c r="DV10" s="422"/>
      <c r="DW10" s="422"/>
      <c r="DX10" s="422"/>
      <c r="DY10" s="422"/>
      <c r="DZ10" s="422"/>
      <c r="EA10" s="422"/>
      <c r="EB10" s="422"/>
      <c r="EC10" s="422"/>
      <c r="ED10" s="422"/>
      <c r="EE10" s="422"/>
      <c r="EF10" s="422"/>
      <c r="EG10" s="422"/>
      <c r="EH10" s="422"/>
      <c r="EI10" s="422"/>
      <c r="EJ10" s="422"/>
      <c r="EK10" s="422"/>
      <c r="EL10" s="422"/>
      <c r="EM10" s="422"/>
      <c r="EN10" s="422"/>
      <c r="EO10" s="422"/>
      <c r="EP10" s="422"/>
      <c r="EQ10" s="422"/>
      <c r="ER10" s="422"/>
      <c r="ES10" s="422"/>
      <c r="ET10" s="417"/>
      <c r="EU10" s="417"/>
      <c r="EV10" s="419"/>
      <c r="EW10" s="421"/>
      <c r="EX10" s="419"/>
      <c r="EY10" s="415"/>
      <c r="EZ10" s="415"/>
      <c r="FA10" s="415"/>
      <c r="FB10" s="415"/>
      <c r="FC10" s="415"/>
    </row>
    <row r="11" spans="1:159" s="1" customFormat="1" ht="109.5" customHeight="1" x14ac:dyDescent="0.2">
      <c r="A11" s="173" t="s">
        <v>70</v>
      </c>
      <c r="B11" s="173" t="s">
        <v>71</v>
      </c>
      <c r="C11" s="173" t="s">
        <v>72</v>
      </c>
      <c r="D11" s="173" t="s">
        <v>73</v>
      </c>
      <c r="E11" s="173" t="s">
        <v>74</v>
      </c>
      <c r="F11" s="173" t="s">
        <v>75</v>
      </c>
      <c r="G11" s="173" t="s">
        <v>76</v>
      </c>
      <c r="H11" s="173" t="s">
        <v>77</v>
      </c>
      <c r="I11" s="174" t="s">
        <v>78</v>
      </c>
      <c r="J11" s="174" t="s">
        <v>237</v>
      </c>
      <c r="K11" s="179" t="s">
        <v>209</v>
      </c>
      <c r="L11" s="173" t="s">
        <v>218</v>
      </c>
      <c r="M11" s="179" t="s">
        <v>210</v>
      </c>
      <c r="N11" s="173" t="s">
        <v>57</v>
      </c>
      <c r="O11" s="179" t="s">
        <v>211</v>
      </c>
      <c r="P11" s="173" t="s">
        <v>58</v>
      </c>
      <c r="Q11" s="179" t="s">
        <v>212</v>
      </c>
      <c r="R11" s="173" t="s">
        <v>59</v>
      </c>
      <c r="S11" s="179" t="s">
        <v>213</v>
      </c>
      <c r="T11" s="173" t="s">
        <v>60</v>
      </c>
      <c r="U11" s="179" t="s">
        <v>214</v>
      </c>
      <c r="V11" s="173" t="s">
        <v>50</v>
      </c>
      <c r="W11" s="179" t="s">
        <v>215</v>
      </c>
      <c r="X11" s="173" t="s">
        <v>219</v>
      </c>
      <c r="Y11" s="172" t="s">
        <v>217</v>
      </c>
      <c r="Z11" s="180" t="s">
        <v>250</v>
      </c>
      <c r="AA11" s="242" t="s">
        <v>251</v>
      </c>
      <c r="AB11" s="181" t="s">
        <v>252</v>
      </c>
      <c r="AC11" s="242" t="s">
        <v>253</v>
      </c>
      <c r="AD11" s="174" t="s">
        <v>237</v>
      </c>
      <c r="AE11" s="179" t="s">
        <v>204</v>
      </c>
      <c r="AF11" s="173" t="s">
        <v>51</v>
      </c>
      <c r="AG11" s="179" t="s">
        <v>205</v>
      </c>
      <c r="AH11" s="173" t="s">
        <v>52</v>
      </c>
      <c r="AI11" s="179" t="s">
        <v>206</v>
      </c>
      <c r="AJ11" s="173" t="s">
        <v>53</v>
      </c>
      <c r="AK11" s="179" t="s">
        <v>207</v>
      </c>
      <c r="AL11" s="173" t="s">
        <v>54</v>
      </c>
      <c r="AM11" s="179" t="s">
        <v>208</v>
      </c>
      <c r="AN11" s="173" t="s">
        <v>56</v>
      </c>
      <c r="AO11" s="179" t="s">
        <v>209</v>
      </c>
      <c r="AP11" s="173" t="s">
        <v>218</v>
      </c>
      <c r="AQ11" s="179" t="s">
        <v>210</v>
      </c>
      <c r="AR11" s="173" t="s">
        <v>57</v>
      </c>
      <c r="AS11" s="179" t="s">
        <v>211</v>
      </c>
      <c r="AT11" s="173" t="s">
        <v>58</v>
      </c>
      <c r="AU11" s="179" t="s">
        <v>212</v>
      </c>
      <c r="AV11" s="173" t="s">
        <v>59</v>
      </c>
      <c r="AW11" s="179" t="s">
        <v>213</v>
      </c>
      <c r="AX11" s="173" t="s">
        <v>60</v>
      </c>
      <c r="AY11" s="179" t="s">
        <v>214</v>
      </c>
      <c r="AZ11" s="173" t="s">
        <v>50</v>
      </c>
      <c r="BA11" s="179" t="s">
        <v>215</v>
      </c>
      <c r="BB11" s="173" t="s">
        <v>219</v>
      </c>
      <c r="BC11" s="172" t="s">
        <v>217</v>
      </c>
      <c r="BD11" s="180" t="s">
        <v>243</v>
      </c>
      <c r="BE11" s="242" t="s">
        <v>242</v>
      </c>
      <c r="BF11" s="181" t="s">
        <v>241</v>
      </c>
      <c r="BG11" s="242" t="s">
        <v>519</v>
      </c>
      <c r="BH11" s="174" t="s">
        <v>237</v>
      </c>
      <c r="BI11" s="181" t="s">
        <v>204</v>
      </c>
      <c r="BJ11" s="242" t="s">
        <v>51</v>
      </c>
      <c r="BK11" s="181" t="s">
        <v>205</v>
      </c>
      <c r="BL11" s="242" t="s">
        <v>52</v>
      </c>
      <c r="BM11" s="181" t="s">
        <v>206</v>
      </c>
      <c r="BN11" s="242" t="s">
        <v>53</v>
      </c>
      <c r="BO11" s="181" t="s">
        <v>207</v>
      </c>
      <c r="BP11" s="242" t="s">
        <v>54</v>
      </c>
      <c r="BQ11" s="181" t="s">
        <v>208</v>
      </c>
      <c r="BR11" s="242" t="s">
        <v>56</v>
      </c>
      <c r="BS11" s="181" t="s">
        <v>209</v>
      </c>
      <c r="BT11" s="242" t="s">
        <v>218</v>
      </c>
      <c r="BU11" s="181" t="s">
        <v>210</v>
      </c>
      <c r="BV11" s="242" t="s">
        <v>57</v>
      </c>
      <c r="BW11" s="181" t="s">
        <v>211</v>
      </c>
      <c r="BX11" s="242" t="s">
        <v>58</v>
      </c>
      <c r="BY11" s="181" t="s">
        <v>212</v>
      </c>
      <c r="BZ11" s="242" t="s">
        <v>59</v>
      </c>
      <c r="CA11" s="181" t="s">
        <v>213</v>
      </c>
      <c r="CB11" s="242" t="s">
        <v>60</v>
      </c>
      <c r="CC11" s="181" t="s">
        <v>214</v>
      </c>
      <c r="CD11" s="242" t="s">
        <v>50</v>
      </c>
      <c r="CE11" s="181" t="s">
        <v>215</v>
      </c>
      <c r="CF11" s="242" t="s">
        <v>219</v>
      </c>
      <c r="CG11" s="172" t="s">
        <v>217</v>
      </c>
      <c r="CH11" s="181" t="s">
        <v>223</v>
      </c>
      <c r="CI11" s="242" t="s">
        <v>224</v>
      </c>
      <c r="CJ11" s="181" t="s">
        <v>225</v>
      </c>
      <c r="CK11" s="242" t="s">
        <v>226</v>
      </c>
      <c r="CL11" s="174" t="s">
        <v>237</v>
      </c>
      <c r="CM11" s="179" t="s">
        <v>204</v>
      </c>
      <c r="CN11" s="173" t="s">
        <v>51</v>
      </c>
      <c r="CO11" s="179" t="s">
        <v>205</v>
      </c>
      <c r="CP11" s="173" t="s">
        <v>52</v>
      </c>
      <c r="CQ11" s="179" t="s">
        <v>206</v>
      </c>
      <c r="CR11" s="173" t="s">
        <v>53</v>
      </c>
      <c r="CS11" s="179" t="s">
        <v>207</v>
      </c>
      <c r="CT11" s="173" t="s">
        <v>54</v>
      </c>
      <c r="CU11" s="179" t="s">
        <v>208</v>
      </c>
      <c r="CV11" s="173" t="s">
        <v>56</v>
      </c>
      <c r="CW11" s="179" t="s">
        <v>209</v>
      </c>
      <c r="CX11" s="173" t="s">
        <v>218</v>
      </c>
      <c r="CY11" s="179" t="s">
        <v>210</v>
      </c>
      <c r="CZ11" s="173" t="s">
        <v>57</v>
      </c>
      <c r="DA11" s="179" t="s">
        <v>211</v>
      </c>
      <c r="DB11" s="173" t="s">
        <v>58</v>
      </c>
      <c r="DC11" s="179" t="s">
        <v>212</v>
      </c>
      <c r="DD11" s="173" t="s">
        <v>59</v>
      </c>
      <c r="DE11" s="179" t="s">
        <v>213</v>
      </c>
      <c r="DF11" s="173" t="s">
        <v>60</v>
      </c>
      <c r="DG11" s="179" t="s">
        <v>214</v>
      </c>
      <c r="DH11" s="173" t="s">
        <v>50</v>
      </c>
      <c r="DI11" s="179" t="s">
        <v>215</v>
      </c>
      <c r="DJ11" s="173" t="s">
        <v>219</v>
      </c>
      <c r="DK11" s="172" t="s">
        <v>217</v>
      </c>
      <c r="DL11" s="180" t="s">
        <v>229</v>
      </c>
      <c r="DM11" s="242" t="s">
        <v>230</v>
      </c>
      <c r="DN11" s="180" t="s">
        <v>231</v>
      </c>
      <c r="DO11" s="242" t="s">
        <v>232</v>
      </c>
      <c r="DP11" s="174" t="s">
        <v>237</v>
      </c>
      <c r="DQ11" s="179" t="s">
        <v>204</v>
      </c>
      <c r="DR11" s="173" t="s">
        <v>51</v>
      </c>
      <c r="DS11" s="179" t="s">
        <v>205</v>
      </c>
      <c r="DT11" s="173" t="s">
        <v>52</v>
      </c>
      <c r="DU11" s="179" t="s">
        <v>206</v>
      </c>
      <c r="DV11" s="173" t="s">
        <v>53</v>
      </c>
      <c r="DW11" s="179" t="s">
        <v>207</v>
      </c>
      <c r="DX11" s="173" t="s">
        <v>54</v>
      </c>
      <c r="DY11" s="179" t="s">
        <v>208</v>
      </c>
      <c r="DZ11" s="173" t="s">
        <v>56</v>
      </c>
      <c r="EA11" s="179" t="s">
        <v>209</v>
      </c>
      <c r="EB11" s="173" t="s">
        <v>218</v>
      </c>
      <c r="EC11" s="179" t="s">
        <v>210</v>
      </c>
      <c r="ED11" s="173" t="s">
        <v>57</v>
      </c>
      <c r="EE11" s="179" t="s">
        <v>211</v>
      </c>
      <c r="EF11" s="173" t="s">
        <v>58</v>
      </c>
      <c r="EG11" s="179" t="s">
        <v>212</v>
      </c>
      <c r="EH11" s="173" t="s">
        <v>59</v>
      </c>
      <c r="EI11" s="179" t="s">
        <v>213</v>
      </c>
      <c r="EJ11" s="173" t="s">
        <v>60</v>
      </c>
      <c r="EK11" s="179" t="s">
        <v>214</v>
      </c>
      <c r="EL11" s="173" t="s">
        <v>50</v>
      </c>
      <c r="EM11" s="179" t="s">
        <v>215</v>
      </c>
      <c r="EN11" s="173" t="s">
        <v>219</v>
      </c>
      <c r="EO11" s="172" t="s">
        <v>217</v>
      </c>
      <c r="EP11" s="180" t="s">
        <v>233</v>
      </c>
      <c r="EQ11" s="242" t="s">
        <v>234</v>
      </c>
      <c r="ER11" s="180" t="s">
        <v>235</v>
      </c>
      <c r="ES11" s="242" t="s">
        <v>236</v>
      </c>
      <c r="ET11" s="417"/>
      <c r="EU11" s="417"/>
      <c r="EV11" s="419"/>
      <c r="EW11" s="421"/>
      <c r="EX11" s="419"/>
      <c r="EY11" s="415"/>
      <c r="EZ11" s="415"/>
      <c r="FA11" s="415"/>
      <c r="FB11" s="415"/>
      <c r="FC11" s="415"/>
    </row>
    <row r="12" spans="1:159" s="98" customFormat="1" ht="147" customHeight="1" x14ac:dyDescent="0.25">
      <c r="A12" s="409">
        <v>2</v>
      </c>
      <c r="B12" s="409">
        <v>35</v>
      </c>
      <c r="C12" s="409">
        <v>268</v>
      </c>
      <c r="D12" s="406" t="s">
        <v>263</v>
      </c>
      <c r="E12" s="409">
        <v>285</v>
      </c>
      <c r="F12" s="406" t="s">
        <v>264</v>
      </c>
      <c r="G12" s="409" t="s">
        <v>265</v>
      </c>
      <c r="H12" s="409" t="s">
        <v>266</v>
      </c>
      <c r="I12" s="91">
        <f>+AC12+BG12+BH12+CL12+DP12</f>
        <v>4000</v>
      </c>
      <c r="J12" s="91">
        <v>234</v>
      </c>
      <c r="K12" s="91"/>
      <c r="L12" s="91"/>
      <c r="M12" s="91"/>
      <c r="N12" s="91"/>
      <c r="O12" s="91"/>
      <c r="P12" s="91"/>
      <c r="Q12" s="91"/>
      <c r="R12" s="91"/>
      <c r="S12" s="91"/>
      <c r="T12" s="91"/>
      <c r="U12" s="91"/>
      <c r="V12" s="91"/>
      <c r="W12" s="91">
        <f>234</f>
        <v>234</v>
      </c>
      <c r="X12" s="91">
        <v>195</v>
      </c>
      <c r="Y12" s="410">
        <v>234</v>
      </c>
      <c r="Z12" s="103">
        <v>234</v>
      </c>
      <c r="AA12" s="103">
        <v>195</v>
      </c>
      <c r="AB12" s="103">
        <v>195</v>
      </c>
      <c r="AC12" s="103">
        <v>195</v>
      </c>
      <c r="AD12" s="91">
        <v>798</v>
      </c>
      <c r="AE12" s="91">
        <v>37</v>
      </c>
      <c r="AF12" s="301">
        <v>38</v>
      </c>
      <c r="AG12" s="95">
        <v>65</v>
      </c>
      <c r="AH12" s="301">
        <v>10</v>
      </c>
      <c r="AI12" s="91">
        <v>69</v>
      </c>
      <c r="AJ12" s="301">
        <v>33</v>
      </c>
      <c r="AK12" s="91">
        <v>72</v>
      </c>
      <c r="AL12" s="301">
        <v>44</v>
      </c>
      <c r="AM12" s="91">
        <v>72</v>
      </c>
      <c r="AN12" s="409">
        <v>58</v>
      </c>
      <c r="AO12" s="91">
        <v>104</v>
      </c>
      <c r="AP12" s="409">
        <v>93</v>
      </c>
      <c r="AQ12" s="91">
        <v>62</v>
      </c>
      <c r="AR12" s="301">
        <v>229</v>
      </c>
      <c r="AS12" s="91">
        <v>72</v>
      </c>
      <c r="AT12" s="91">
        <v>110</v>
      </c>
      <c r="AU12" s="91">
        <v>71</v>
      </c>
      <c r="AV12" s="91">
        <v>54</v>
      </c>
      <c r="AW12" s="91">
        <v>70</v>
      </c>
      <c r="AX12" s="91">
        <v>70</v>
      </c>
      <c r="AY12" s="91">
        <v>65</v>
      </c>
      <c r="AZ12" s="91">
        <v>24</v>
      </c>
      <c r="BA12" s="91">
        <v>39</v>
      </c>
      <c r="BB12" s="91">
        <v>31</v>
      </c>
      <c r="BC12" s="411">
        <f>BA12+AY12+AW12+AU12+AS12+AQ12+AO12+AM12+AK12+AI12+AG12+AE12</f>
        <v>798</v>
      </c>
      <c r="BD12" s="411">
        <f>+AE12+AG12+AI12+AK12+AM12+AO12+AQ12+AS12+AU12+AW12+AY12+BA12</f>
        <v>798</v>
      </c>
      <c r="BE12" s="411">
        <f>+AF12+AH12+AJ12+AL12+AN12+AP12+AR12+AT12+AV12+AX12+AZ12+BB12</f>
        <v>794</v>
      </c>
      <c r="BF12" s="411">
        <f>BA12+AY12+AW12+AU12+AS12+AQ12+AO12+AM12+AK12+AI12+AG12+AE12</f>
        <v>798</v>
      </c>
      <c r="BG12" s="411">
        <f>AF12+AH12+AJ12+AL12+AN12+AP12+AR12+AT12+AV12+AX12+AZ12+BB12</f>
        <v>794</v>
      </c>
      <c r="BH12" s="91">
        <f>1097+4</f>
        <v>1101</v>
      </c>
      <c r="BI12" s="91">
        <f>67+4</f>
        <v>71</v>
      </c>
      <c r="BJ12" s="412">
        <v>0</v>
      </c>
      <c r="BK12" s="91">
        <v>92</v>
      </c>
      <c r="BL12" s="412">
        <v>49</v>
      </c>
      <c r="BM12" s="91">
        <v>97</v>
      </c>
      <c r="BN12" s="301">
        <v>60</v>
      </c>
      <c r="BO12" s="301">
        <v>102</v>
      </c>
      <c r="BP12" s="301">
        <v>92</v>
      </c>
      <c r="BQ12" s="91">
        <v>102</v>
      </c>
      <c r="BR12" s="301">
        <v>93</v>
      </c>
      <c r="BS12" s="91">
        <v>92</v>
      </c>
      <c r="BT12" s="301">
        <v>93</v>
      </c>
      <c r="BU12" s="91">
        <v>63</v>
      </c>
      <c r="BV12" s="301">
        <v>120</v>
      </c>
      <c r="BW12" s="91">
        <v>88</v>
      </c>
      <c r="BX12" s="301">
        <v>164</v>
      </c>
      <c r="BY12" s="91">
        <v>102</v>
      </c>
      <c r="BZ12" s="412">
        <v>242</v>
      </c>
      <c r="CA12" s="91">
        <v>102</v>
      </c>
      <c r="CB12" s="412"/>
      <c r="CC12" s="91">
        <v>102</v>
      </c>
      <c r="CD12" s="91"/>
      <c r="CE12" s="91">
        <v>88</v>
      </c>
      <c r="CF12" s="91"/>
      <c r="CG12" s="91">
        <f>BI12+BK12+BM12+BO12+BQ12+BS12+BU12+BW12+BY12+CA12+CC12+CE12</f>
        <v>1101</v>
      </c>
      <c r="CH12" s="91">
        <f>+BI12+BK12+BM12+BO12+BQ12+BS12+BU12+BW12+BY12</f>
        <v>809</v>
      </c>
      <c r="CI12" s="91">
        <f>+BJ12+BL12+BN12+BP12+BR12+BT12+BV12+BX12+BZ12</f>
        <v>913</v>
      </c>
      <c r="CJ12" s="91">
        <f>BI12+BK12+BM12+BO12+BQ12+BS12+BU12+BW12+BY12+CA12+CC12+CE12</f>
        <v>1101</v>
      </c>
      <c r="CK12" s="91">
        <f>BJ12+BL12+BN12+BP12+BR12+BT12+BV12+BX12+BZ12+CB12+CD12+CF12</f>
        <v>913</v>
      </c>
      <c r="CL12" s="91">
        <v>1428</v>
      </c>
      <c r="CM12" s="91"/>
      <c r="CN12" s="91"/>
      <c r="CO12" s="91"/>
      <c r="CP12" s="91"/>
      <c r="CQ12" s="91"/>
      <c r="CR12" s="91"/>
      <c r="CS12" s="91"/>
      <c r="CT12" s="91"/>
      <c r="CU12" s="91"/>
      <c r="CV12" s="91"/>
      <c r="CW12" s="91"/>
      <c r="CX12" s="91"/>
      <c r="CY12" s="91"/>
      <c r="CZ12" s="91"/>
      <c r="DA12" s="91"/>
      <c r="DB12" s="91"/>
      <c r="DC12" s="91"/>
      <c r="DD12" s="91"/>
      <c r="DE12" s="91"/>
      <c r="DF12" s="91"/>
      <c r="DG12" s="91"/>
      <c r="DH12" s="91"/>
      <c r="DI12" s="91"/>
      <c r="DJ12" s="91"/>
      <c r="DK12" s="91"/>
      <c r="DL12" s="91"/>
      <c r="DM12" s="91"/>
      <c r="DN12" s="91"/>
      <c r="DO12" s="91"/>
      <c r="DP12" s="91">
        <v>482</v>
      </c>
      <c r="DQ12" s="298"/>
      <c r="DR12" s="298"/>
      <c r="DS12" s="298"/>
      <c r="DT12" s="298"/>
      <c r="DU12" s="298"/>
      <c r="DV12" s="298"/>
      <c r="DW12" s="298"/>
      <c r="DX12" s="298"/>
      <c r="DY12" s="298"/>
      <c r="DZ12" s="298"/>
      <c r="EA12" s="298"/>
      <c r="EB12" s="298"/>
      <c r="EC12" s="298"/>
      <c r="ED12" s="298"/>
      <c r="EE12" s="298"/>
      <c r="EF12" s="298"/>
      <c r="EG12" s="298"/>
      <c r="EH12" s="298"/>
      <c r="EI12" s="298"/>
      <c r="EJ12" s="298"/>
      <c r="EK12" s="298"/>
      <c r="EL12" s="298"/>
      <c r="EM12" s="298"/>
      <c r="EN12" s="298"/>
      <c r="EO12" s="298"/>
      <c r="EP12" s="298"/>
      <c r="EQ12" s="298"/>
      <c r="ER12" s="298"/>
      <c r="ES12" s="298"/>
      <c r="ET12" s="241">
        <f>+BZ12/BY12</f>
        <v>2.3725490196078431</v>
      </c>
      <c r="EU12" s="92">
        <f>CI12/CH12</f>
        <v>1.1285537700865267</v>
      </c>
      <c r="EV12" s="408">
        <f>CK12/CJ12</f>
        <v>0.8292461398728429</v>
      </c>
      <c r="EW12" s="408">
        <f>+(AC12+BG12+CI12)/(AB12+BF12+CH12)</f>
        <v>1.0554938956714761</v>
      </c>
      <c r="EX12" s="408">
        <f>+(AC12+BG12+CK12)/I12</f>
        <v>0.47549999999999998</v>
      </c>
      <c r="EY12" s="405" t="s">
        <v>647</v>
      </c>
      <c r="EZ12" s="406" t="s">
        <v>606</v>
      </c>
      <c r="FA12" s="406" t="s">
        <v>606</v>
      </c>
      <c r="FB12" s="406" t="s">
        <v>336</v>
      </c>
      <c r="FC12" s="406" t="s">
        <v>337</v>
      </c>
    </row>
    <row r="13" spans="1:159" s="98" customFormat="1" ht="147" customHeight="1" x14ac:dyDescent="0.25">
      <c r="A13" s="409">
        <v>2</v>
      </c>
      <c r="B13" s="409">
        <v>35</v>
      </c>
      <c r="C13" s="409">
        <v>269</v>
      </c>
      <c r="D13" s="406" t="s">
        <v>596</v>
      </c>
      <c r="E13" s="409">
        <v>286</v>
      </c>
      <c r="F13" s="406" t="s">
        <v>264</v>
      </c>
      <c r="G13" s="409" t="s">
        <v>265</v>
      </c>
      <c r="H13" s="409" t="s">
        <v>266</v>
      </c>
      <c r="I13" s="91">
        <f>+AC13+BG13+BH13+CL13+DP13</f>
        <v>4700</v>
      </c>
      <c r="J13" s="91">
        <v>426</v>
      </c>
      <c r="K13" s="91"/>
      <c r="L13" s="91"/>
      <c r="M13" s="91"/>
      <c r="N13" s="91"/>
      <c r="O13" s="91"/>
      <c r="P13" s="91"/>
      <c r="Q13" s="91"/>
      <c r="R13" s="91"/>
      <c r="S13" s="91"/>
      <c r="T13" s="91"/>
      <c r="U13" s="91"/>
      <c r="V13" s="91"/>
      <c r="W13" s="91">
        <f>426+65</f>
        <v>491</v>
      </c>
      <c r="X13" s="91">
        <v>491</v>
      </c>
      <c r="Y13" s="410">
        <v>491</v>
      </c>
      <c r="Z13" s="103">
        <v>491</v>
      </c>
      <c r="AA13" s="103">
        <v>491</v>
      </c>
      <c r="AB13" s="103">
        <v>491</v>
      </c>
      <c r="AC13" s="103">
        <v>491</v>
      </c>
      <c r="AD13" s="91">
        <v>893</v>
      </c>
      <c r="AE13" s="91">
        <v>15</v>
      </c>
      <c r="AF13" s="301">
        <v>36</v>
      </c>
      <c r="AG13" s="95">
        <v>18</v>
      </c>
      <c r="AH13" s="301">
        <v>16</v>
      </c>
      <c r="AI13" s="91">
        <v>90</v>
      </c>
      <c r="AJ13" s="301">
        <v>104</v>
      </c>
      <c r="AK13" s="91">
        <v>97</v>
      </c>
      <c r="AL13" s="301">
        <v>116</v>
      </c>
      <c r="AM13" s="91">
        <v>97</v>
      </c>
      <c r="AN13" s="409">
        <v>76</v>
      </c>
      <c r="AO13" s="91">
        <v>97</v>
      </c>
      <c r="AP13" s="409">
        <v>115</v>
      </c>
      <c r="AQ13" s="91">
        <v>97</v>
      </c>
      <c r="AR13" s="301">
        <v>96</v>
      </c>
      <c r="AS13" s="91">
        <v>97</v>
      </c>
      <c r="AT13" s="91">
        <v>102</v>
      </c>
      <c r="AU13" s="91">
        <v>97</v>
      </c>
      <c r="AV13" s="91">
        <v>96</v>
      </c>
      <c r="AW13" s="91">
        <v>97</v>
      </c>
      <c r="AX13" s="91">
        <v>69</v>
      </c>
      <c r="AY13" s="91">
        <v>91</v>
      </c>
      <c r="AZ13" s="91">
        <v>65</v>
      </c>
      <c r="BA13" s="91">
        <v>4</v>
      </c>
      <c r="BB13" s="91">
        <v>6</v>
      </c>
      <c r="BC13" s="411">
        <f>BA13+AY13+AW13+AU13+AS13+AQ13+AO13+AM13+AK13+AI13+AG13+AE13</f>
        <v>897</v>
      </c>
      <c r="BD13" s="411">
        <f>+AE13+AG13+AI13+AK13+AM13+AO13+AQ13+AS13+AU13+AW13+AY13+BA13</f>
        <v>897</v>
      </c>
      <c r="BE13" s="411">
        <f>+AF13+AH13+AJ13+AL13+AN13+AP13+AR13+AT13+AV13+AX13+AZ13+BB13</f>
        <v>897</v>
      </c>
      <c r="BF13" s="411">
        <f>BA13+AY13+AW13+AU13+AS13+AQ13+AO13+AM13+AK13+AI13+AG13+AE13</f>
        <v>897</v>
      </c>
      <c r="BG13" s="411">
        <f>AF13+AH13+AJ13+AL13+AN13+AP13+AR13+AT13+AV13+AX13+AZ13+BB13</f>
        <v>897</v>
      </c>
      <c r="BH13" s="91">
        <v>1272</v>
      </c>
      <c r="BI13" s="411">
        <v>0</v>
      </c>
      <c r="BJ13" s="411">
        <v>11</v>
      </c>
      <c r="BK13" s="411">
        <v>102</v>
      </c>
      <c r="BL13" s="411">
        <v>129</v>
      </c>
      <c r="BM13" s="411">
        <v>130</v>
      </c>
      <c r="BN13" s="411">
        <v>109</v>
      </c>
      <c r="BO13" s="411">
        <v>130</v>
      </c>
      <c r="BP13" s="411">
        <v>115</v>
      </c>
      <c r="BQ13" s="411">
        <v>130</v>
      </c>
      <c r="BR13" s="411">
        <v>194</v>
      </c>
      <c r="BS13" s="411">
        <v>130</v>
      </c>
      <c r="BT13" s="411">
        <v>127</v>
      </c>
      <c r="BU13" s="411">
        <v>130</v>
      </c>
      <c r="BV13" s="411">
        <v>138</v>
      </c>
      <c r="BW13" s="411">
        <v>130</v>
      </c>
      <c r="BX13" s="411">
        <v>117</v>
      </c>
      <c r="BY13" s="411">
        <v>130</v>
      </c>
      <c r="BZ13" s="411">
        <v>142</v>
      </c>
      <c r="CA13" s="411">
        <v>130</v>
      </c>
      <c r="CB13" s="411"/>
      <c r="CC13" s="411">
        <v>130</v>
      </c>
      <c r="CD13" s="411"/>
      <c r="CE13" s="411">
        <v>0</v>
      </c>
      <c r="CF13" s="411"/>
      <c r="CG13" s="91">
        <f>BI13+BK13+BM13+BO13+BQ13+BS13+BU13+BW13+BY13+CA13+CC13+CE13</f>
        <v>1272</v>
      </c>
      <c r="CH13" s="91">
        <f>+BI13+BK13+BM13+BO13+BQ13+BS13+BU13+BW13+BY13</f>
        <v>1012</v>
      </c>
      <c r="CI13" s="91">
        <f>+BJ13+BL13+BN13+BP13+BR13+BT13+BV13+BX13+BZ13</f>
        <v>1082</v>
      </c>
      <c r="CJ13" s="91">
        <f>BI13+BK13+BM13+BO13+BQ13+BS13+BU13+BW13+BY13+CA13+CC13+CE13</f>
        <v>1272</v>
      </c>
      <c r="CK13" s="91">
        <f>BJ13+BL13+BN13+BP13+BR13+BT13+BV13+BX13+BZ13+CB13+CD13+CF13</f>
        <v>1082</v>
      </c>
      <c r="CL13" s="91">
        <v>1585</v>
      </c>
      <c r="CM13" s="411"/>
      <c r="CN13" s="411"/>
      <c r="CO13" s="411"/>
      <c r="CP13" s="411"/>
      <c r="CQ13" s="411"/>
      <c r="CR13" s="411"/>
      <c r="CS13" s="411"/>
      <c r="CT13" s="411"/>
      <c r="CU13" s="411"/>
      <c r="CV13" s="411"/>
      <c r="CW13" s="411"/>
      <c r="CX13" s="411"/>
      <c r="CY13" s="411"/>
      <c r="CZ13" s="411"/>
      <c r="DA13" s="411"/>
      <c r="DB13" s="411"/>
      <c r="DC13" s="411"/>
      <c r="DD13" s="411"/>
      <c r="DE13" s="411"/>
      <c r="DF13" s="411"/>
      <c r="DG13" s="411"/>
      <c r="DH13" s="411"/>
      <c r="DI13" s="411"/>
      <c r="DJ13" s="411"/>
      <c r="DK13" s="411"/>
      <c r="DL13" s="411"/>
      <c r="DM13" s="411"/>
      <c r="DN13" s="411"/>
      <c r="DO13" s="411"/>
      <c r="DP13" s="411">
        <v>455</v>
      </c>
      <c r="DQ13" s="298"/>
      <c r="DR13" s="298"/>
      <c r="DS13" s="298"/>
      <c r="DT13" s="298"/>
      <c r="DU13" s="298"/>
      <c r="DV13" s="298"/>
      <c r="DW13" s="298"/>
      <c r="DX13" s="298"/>
      <c r="DY13" s="298"/>
      <c r="DZ13" s="298"/>
      <c r="EA13" s="298"/>
      <c r="EB13" s="298"/>
      <c r="EC13" s="298"/>
      <c r="ED13" s="298"/>
      <c r="EE13" s="298"/>
      <c r="EF13" s="298"/>
      <c r="EG13" s="298"/>
      <c r="EH13" s="298"/>
      <c r="EI13" s="298"/>
      <c r="EJ13" s="298"/>
      <c r="EK13" s="298"/>
      <c r="EL13" s="298"/>
      <c r="EM13" s="298"/>
      <c r="EN13" s="298"/>
      <c r="EO13" s="298"/>
      <c r="EP13" s="298"/>
      <c r="EQ13" s="298"/>
      <c r="ER13" s="298"/>
      <c r="ES13" s="298"/>
      <c r="ET13" s="241">
        <f>+BZ13/BY13</f>
        <v>1.0923076923076922</v>
      </c>
      <c r="EU13" s="92">
        <f>CI13/CH13</f>
        <v>1.0691699604743083</v>
      </c>
      <c r="EV13" s="408">
        <f>CK13/CJ13</f>
        <v>0.85062893081761004</v>
      </c>
      <c r="EW13" s="408">
        <f>+(AC13+BG13+CI13)/(AB13+BF13+CH13)</f>
        <v>1.0291666666666666</v>
      </c>
      <c r="EX13" s="408">
        <f>+(AC13+BG13+CK13)/I13</f>
        <v>0.52553191489361706</v>
      </c>
      <c r="EY13" s="405" t="s">
        <v>654</v>
      </c>
      <c r="EZ13" s="406" t="s">
        <v>606</v>
      </c>
      <c r="FA13" s="406" t="s">
        <v>606</v>
      </c>
      <c r="FB13" s="406" t="s">
        <v>338</v>
      </c>
      <c r="FC13" s="406" t="s">
        <v>339</v>
      </c>
    </row>
    <row r="14" spans="1:159" s="98" customFormat="1" ht="147" customHeight="1" x14ac:dyDescent="0.25">
      <c r="A14" s="409">
        <v>2</v>
      </c>
      <c r="B14" s="409">
        <v>35</v>
      </c>
      <c r="C14" s="409">
        <v>270</v>
      </c>
      <c r="D14" s="406" t="s">
        <v>268</v>
      </c>
      <c r="E14" s="409">
        <v>287</v>
      </c>
      <c r="F14" s="406" t="s">
        <v>269</v>
      </c>
      <c r="G14" s="409" t="s">
        <v>270</v>
      </c>
      <c r="H14" s="409" t="s">
        <v>271</v>
      </c>
      <c r="I14" s="92">
        <f>+J14</f>
        <v>1</v>
      </c>
      <c r="J14" s="92">
        <v>1</v>
      </c>
      <c r="K14" s="92"/>
      <c r="L14" s="92"/>
      <c r="M14" s="92"/>
      <c r="N14" s="92"/>
      <c r="O14" s="92"/>
      <c r="P14" s="92"/>
      <c r="Q14" s="92"/>
      <c r="R14" s="92"/>
      <c r="S14" s="92"/>
      <c r="T14" s="92"/>
      <c r="U14" s="92"/>
      <c r="V14" s="92"/>
      <c r="W14" s="92">
        <v>1</v>
      </c>
      <c r="X14" s="92">
        <v>1</v>
      </c>
      <c r="Y14" s="413">
        <v>1</v>
      </c>
      <c r="Z14" s="413">
        <v>1</v>
      </c>
      <c r="AA14" s="413">
        <v>1</v>
      </c>
      <c r="AB14" s="413">
        <v>1</v>
      </c>
      <c r="AC14" s="413">
        <v>1</v>
      </c>
      <c r="AD14" s="92">
        <v>1</v>
      </c>
      <c r="AE14" s="92">
        <v>1</v>
      </c>
      <c r="AF14" s="92">
        <v>1</v>
      </c>
      <c r="AG14" s="92">
        <v>1</v>
      </c>
      <c r="AH14" s="92">
        <v>1</v>
      </c>
      <c r="AI14" s="92">
        <v>1</v>
      </c>
      <c r="AJ14" s="92">
        <v>1</v>
      </c>
      <c r="AK14" s="92">
        <v>1</v>
      </c>
      <c r="AL14" s="92">
        <v>1</v>
      </c>
      <c r="AM14" s="92">
        <v>1</v>
      </c>
      <c r="AN14" s="101">
        <v>1</v>
      </c>
      <c r="AO14" s="92">
        <v>1</v>
      </c>
      <c r="AP14" s="101">
        <v>1</v>
      </c>
      <c r="AQ14" s="92">
        <v>1</v>
      </c>
      <c r="AR14" s="175">
        <v>1</v>
      </c>
      <c r="AS14" s="92">
        <v>1</v>
      </c>
      <c r="AT14" s="175">
        <v>1</v>
      </c>
      <c r="AU14" s="92">
        <v>1</v>
      </c>
      <c r="AV14" s="175">
        <v>1</v>
      </c>
      <c r="AW14" s="92">
        <v>1</v>
      </c>
      <c r="AX14" s="175">
        <v>1</v>
      </c>
      <c r="AY14" s="92">
        <v>1</v>
      </c>
      <c r="AZ14" s="175">
        <v>1</v>
      </c>
      <c r="BA14" s="92">
        <v>1</v>
      </c>
      <c r="BB14" s="175">
        <v>1</v>
      </c>
      <c r="BC14" s="99">
        <f>+AD14</f>
        <v>1</v>
      </c>
      <c r="BD14" s="99">
        <f>+BA14</f>
        <v>1</v>
      </c>
      <c r="BE14" s="99">
        <f>+BB14</f>
        <v>1</v>
      </c>
      <c r="BF14" s="99">
        <f>+AD14</f>
        <v>1</v>
      </c>
      <c r="BG14" s="99">
        <f>+BB14</f>
        <v>1</v>
      </c>
      <c r="BH14" s="92">
        <v>1</v>
      </c>
      <c r="BI14" s="92">
        <v>1</v>
      </c>
      <c r="BJ14" s="92">
        <v>1</v>
      </c>
      <c r="BK14" s="92">
        <v>1</v>
      </c>
      <c r="BL14" s="92">
        <v>1</v>
      </c>
      <c r="BM14" s="92">
        <v>1</v>
      </c>
      <c r="BN14" s="92">
        <v>1</v>
      </c>
      <c r="BO14" s="92">
        <v>1</v>
      </c>
      <c r="BP14" s="92">
        <v>1</v>
      </c>
      <c r="BQ14" s="92">
        <v>1</v>
      </c>
      <c r="BR14" s="92">
        <v>1</v>
      </c>
      <c r="BS14" s="92">
        <v>1</v>
      </c>
      <c r="BT14" s="92">
        <v>1</v>
      </c>
      <c r="BU14" s="92">
        <v>1</v>
      </c>
      <c r="BV14" s="92">
        <v>1</v>
      </c>
      <c r="BW14" s="92">
        <v>1</v>
      </c>
      <c r="BX14" s="92">
        <v>1</v>
      </c>
      <c r="BY14" s="92">
        <v>1</v>
      </c>
      <c r="BZ14" s="92">
        <v>1</v>
      </c>
      <c r="CA14" s="92">
        <v>1</v>
      </c>
      <c r="CB14" s="92"/>
      <c r="CC14" s="92">
        <v>1</v>
      </c>
      <c r="CD14" s="92"/>
      <c r="CE14" s="92">
        <v>1</v>
      </c>
      <c r="CF14" s="92"/>
      <c r="CG14" s="92">
        <f>+BY14</f>
        <v>1</v>
      </c>
      <c r="CH14" s="92">
        <f t="shared" ref="CH14:CI16" si="0">+BY14</f>
        <v>1</v>
      </c>
      <c r="CI14" s="92">
        <f t="shared" si="0"/>
        <v>1</v>
      </c>
      <c r="CJ14" s="92">
        <f>+BH14</f>
        <v>1</v>
      </c>
      <c r="CK14" s="92">
        <f>+BT14</f>
        <v>1</v>
      </c>
      <c r="CL14" s="92">
        <v>1</v>
      </c>
      <c r="CM14" s="92">
        <v>1</v>
      </c>
      <c r="CN14" s="92">
        <v>1</v>
      </c>
      <c r="CO14" s="92">
        <v>1</v>
      </c>
      <c r="CP14" s="92">
        <v>1</v>
      </c>
      <c r="CQ14" s="92">
        <v>1</v>
      </c>
      <c r="CR14" s="92">
        <v>1</v>
      </c>
      <c r="CS14" s="92">
        <v>1</v>
      </c>
      <c r="CT14" s="92">
        <v>1</v>
      </c>
      <c r="CU14" s="92">
        <v>1</v>
      </c>
      <c r="CV14" s="92">
        <v>1</v>
      </c>
      <c r="CW14" s="92">
        <v>1</v>
      </c>
      <c r="CX14" s="92">
        <v>1</v>
      </c>
      <c r="CY14" s="92">
        <v>1</v>
      </c>
      <c r="CZ14" s="92">
        <v>1</v>
      </c>
      <c r="DA14" s="92">
        <v>1</v>
      </c>
      <c r="DB14" s="92">
        <v>1</v>
      </c>
      <c r="DC14" s="92">
        <v>1</v>
      </c>
      <c r="DD14" s="92">
        <v>1</v>
      </c>
      <c r="DE14" s="92">
        <v>1</v>
      </c>
      <c r="DF14" s="92">
        <v>1</v>
      </c>
      <c r="DG14" s="92">
        <v>1</v>
      </c>
      <c r="DH14" s="92">
        <v>1</v>
      </c>
      <c r="DI14" s="92">
        <v>1</v>
      </c>
      <c r="DJ14" s="92">
        <v>1</v>
      </c>
      <c r="DK14" s="92">
        <v>1</v>
      </c>
      <c r="DL14" s="92">
        <v>1</v>
      </c>
      <c r="DM14" s="92">
        <v>1</v>
      </c>
      <c r="DN14" s="92">
        <v>1</v>
      </c>
      <c r="DO14" s="92">
        <v>1</v>
      </c>
      <c r="DP14" s="92">
        <v>1</v>
      </c>
      <c r="DQ14" s="299"/>
      <c r="DR14" s="299"/>
      <c r="DS14" s="299"/>
      <c r="DT14" s="299"/>
      <c r="DU14" s="299"/>
      <c r="DV14" s="299"/>
      <c r="DW14" s="299"/>
      <c r="DX14" s="299"/>
      <c r="DY14" s="299"/>
      <c r="DZ14" s="299"/>
      <c r="EA14" s="299"/>
      <c r="EB14" s="299"/>
      <c r="EC14" s="299"/>
      <c r="ED14" s="299"/>
      <c r="EE14" s="299"/>
      <c r="EF14" s="299"/>
      <c r="EG14" s="299"/>
      <c r="EH14" s="299"/>
      <c r="EI14" s="298"/>
      <c r="EJ14" s="298"/>
      <c r="EK14" s="298"/>
      <c r="EL14" s="298"/>
      <c r="EM14" s="298"/>
      <c r="EN14" s="298"/>
      <c r="EO14" s="298"/>
      <c r="EP14" s="298"/>
      <c r="EQ14" s="298"/>
      <c r="ER14" s="298"/>
      <c r="ES14" s="298"/>
      <c r="ET14" s="241">
        <f t="shared" ref="ET14:ET16" si="1">+BZ14/BY14</f>
        <v>1</v>
      </c>
      <c r="EU14" s="92">
        <f>CI14/CH14</f>
        <v>1</v>
      </c>
      <c r="EV14" s="408">
        <f>CK14/CJ14</f>
        <v>1</v>
      </c>
      <c r="EW14" s="408">
        <f t="shared" ref="EW14" si="2">+(AC14+BG14+CI14)/(AB14+BF14+CH14)</f>
        <v>1</v>
      </c>
      <c r="EX14" s="408">
        <f>+(AC14+BG14+CK14)/500%</f>
        <v>0.6</v>
      </c>
      <c r="EY14" s="405" t="s">
        <v>668</v>
      </c>
      <c r="EZ14" s="406" t="s">
        <v>606</v>
      </c>
      <c r="FA14" s="406" t="s">
        <v>606</v>
      </c>
      <c r="FB14" s="406" t="s">
        <v>340</v>
      </c>
      <c r="FC14" s="406" t="s">
        <v>341</v>
      </c>
    </row>
    <row r="15" spans="1:159" s="98" customFormat="1" ht="147" customHeight="1" x14ac:dyDescent="0.25">
      <c r="A15" s="409">
        <v>2</v>
      </c>
      <c r="B15" s="409">
        <v>35</v>
      </c>
      <c r="C15" s="409">
        <v>272</v>
      </c>
      <c r="D15" s="406" t="s">
        <v>597</v>
      </c>
      <c r="E15" s="409">
        <v>289</v>
      </c>
      <c r="F15" s="406" t="s">
        <v>273</v>
      </c>
      <c r="G15" s="409" t="s">
        <v>274</v>
      </c>
      <c r="H15" s="93" t="s">
        <v>275</v>
      </c>
      <c r="I15" s="93">
        <v>33.9</v>
      </c>
      <c r="J15" s="92" t="s">
        <v>277</v>
      </c>
      <c r="K15" s="94"/>
      <c r="L15" s="94"/>
      <c r="M15" s="94"/>
      <c r="N15" s="94"/>
      <c r="O15" s="94"/>
      <c r="P15" s="94"/>
      <c r="Q15" s="94"/>
      <c r="R15" s="94"/>
      <c r="S15" s="94"/>
      <c r="T15" s="94"/>
      <c r="U15" s="94"/>
      <c r="V15" s="94"/>
      <c r="W15" s="94"/>
      <c r="X15" s="94" t="s">
        <v>276</v>
      </c>
      <c r="Y15" s="92" t="s">
        <v>277</v>
      </c>
      <c r="Z15" s="92" t="s">
        <v>277</v>
      </c>
      <c r="AA15" s="92" t="s">
        <v>277</v>
      </c>
      <c r="AB15" s="92" t="s">
        <v>277</v>
      </c>
      <c r="AC15" s="92" t="s">
        <v>277</v>
      </c>
      <c r="AD15" s="94">
        <v>37.799999999999997</v>
      </c>
      <c r="AE15" s="94">
        <v>37.799999999999997</v>
      </c>
      <c r="AF15" s="94">
        <v>37</v>
      </c>
      <c r="AG15" s="94">
        <v>37.799999999999997</v>
      </c>
      <c r="AH15" s="94">
        <v>36</v>
      </c>
      <c r="AI15" s="94">
        <v>37.799999999999997</v>
      </c>
      <c r="AJ15" s="94">
        <v>34</v>
      </c>
      <c r="AK15" s="94">
        <v>37.799999999999997</v>
      </c>
      <c r="AL15" s="100">
        <v>34</v>
      </c>
      <c r="AM15" s="94">
        <v>37.799999999999997</v>
      </c>
      <c r="AN15" s="133">
        <v>34.4</v>
      </c>
      <c r="AO15" s="94">
        <v>37.799999999999997</v>
      </c>
      <c r="AP15" s="133">
        <v>34.4</v>
      </c>
      <c r="AQ15" s="94">
        <v>37.799999999999997</v>
      </c>
      <c r="AR15" s="176">
        <v>34.5</v>
      </c>
      <c r="AS15" s="94">
        <v>37.799999999999997</v>
      </c>
      <c r="AT15" s="176">
        <v>34.4</v>
      </c>
      <c r="AU15" s="94">
        <v>37.799999999999997</v>
      </c>
      <c r="AV15" s="176">
        <v>34.4</v>
      </c>
      <c r="AW15" s="94">
        <v>37.799999999999997</v>
      </c>
      <c r="AX15" s="176">
        <v>34.700000000000003</v>
      </c>
      <c r="AY15" s="94">
        <v>37.799999999999997</v>
      </c>
      <c r="AZ15" s="176">
        <v>34.700000000000003</v>
      </c>
      <c r="BA15" s="94">
        <v>37.799999999999997</v>
      </c>
      <c r="BB15" s="176">
        <v>35.4</v>
      </c>
      <c r="BC15" s="102">
        <f>+AD15</f>
        <v>37.799999999999997</v>
      </c>
      <c r="BD15" s="94">
        <v>35.4</v>
      </c>
      <c r="BE15" s="102">
        <f>+BB15</f>
        <v>35.4</v>
      </c>
      <c r="BF15" s="102">
        <f>+AD15</f>
        <v>37.799999999999997</v>
      </c>
      <c r="BG15" s="102">
        <f>+BB15</f>
        <v>35.4</v>
      </c>
      <c r="BH15" s="94">
        <v>36.9</v>
      </c>
      <c r="BI15" s="94">
        <v>36.9</v>
      </c>
      <c r="BJ15" s="94">
        <v>35.799999999999997</v>
      </c>
      <c r="BK15" s="94">
        <v>36.9</v>
      </c>
      <c r="BL15" s="94">
        <v>35.799999999999997</v>
      </c>
      <c r="BM15" s="94">
        <v>36.9</v>
      </c>
      <c r="BN15" s="94">
        <v>35.6</v>
      </c>
      <c r="BO15" s="94">
        <v>36.9</v>
      </c>
      <c r="BP15" s="94">
        <v>35.700000000000003</v>
      </c>
      <c r="BQ15" s="94">
        <v>36.9</v>
      </c>
      <c r="BR15" s="94">
        <v>36.200000000000003</v>
      </c>
      <c r="BS15" s="94">
        <v>36.9</v>
      </c>
      <c r="BT15" s="94">
        <v>36.6</v>
      </c>
      <c r="BU15" s="94">
        <v>36.9</v>
      </c>
      <c r="BV15" s="94">
        <v>37.1</v>
      </c>
      <c r="BW15" s="94">
        <v>36.9</v>
      </c>
      <c r="BX15" s="94">
        <v>37.299999999999997</v>
      </c>
      <c r="BY15" s="94">
        <v>36.9</v>
      </c>
      <c r="BZ15" s="94">
        <v>37.700000000000003</v>
      </c>
      <c r="CA15" s="94">
        <v>36.9</v>
      </c>
      <c r="CB15" s="94"/>
      <c r="CC15" s="94">
        <v>36.9</v>
      </c>
      <c r="CD15" s="94"/>
      <c r="CE15" s="94">
        <v>36.9</v>
      </c>
      <c r="CF15" s="94"/>
      <c r="CG15" s="93">
        <f>+BY15</f>
        <v>36.9</v>
      </c>
      <c r="CH15" s="93">
        <f t="shared" si="0"/>
        <v>36.9</v>
      </c>
      <c r="CI15" s="93">
        <f t="shared" si="0"/>
        <v>37.700000000000003</v>
      </c>
      <c r="CJ15" s="93">
        <f>+BH15</f>
        <v>36.9</v>
      </c>
      <c r="CK15" s="93">
        <f>CI15</f>
        <v>37.700000000000003</v>
      </c>
      <c r="CL15" s="94">
        <v>34.700000000000003</v>
      </c>
      <c r="CM15" s="94"/>
      <c r="CN15" s="94"/>
      <c r="CO15" s="94"/>
      <c r="CP15" s="94"/>
      <c r="CQ15" s="94"/>
      <c r="CR15" s="94"/>
      <c r="CS15" s="94"/>
      <c r="CT15" s="94"/>
      <c r="CU15" s="94"/>
      <c r="CV15" s="94"/>
      <c r="CW15" s="94"/>
      <c r="CX15" s="94"/>
      <c r="CY15" s="94"/>
      <c r="CZ15" s="94"/>
      <c r="DA15" s="94"/>
      <c r="DB15" s="94"/>
      <c r="DC15" s="94"/>
      <c r="DD15" s="94"/>
      <c r="DE15" s="94"/>
      <c r="DF15" s="94"/>
      <c r="DG15" s="94"/>
      <c r="DH15" s="94"/>
      <c r="DI15" s="94"/>
      <c r="DJ15" s="94"/>
      <c r="DK15" s="94"/>
      <c r="DL15" s="94"/>
      <c r="DM15" s="94"/>
      <c r="DN15" s="94"/>
      <c r="DO15" s="94"/>
      <c r="DP15" s="94">
        <v>33.9</v>
      </c>
      <c r="DQ15" s="97"/>
      <c r="DR15" s="97"/>
      <c r="DS15" s="97"/>
      <c r="DT15" s="97"/>
      <c r="DU15" s="97"/>
      <c r="DV15" s="97"/>
      <c r="DW15" s="97"/>
      <c r="DX15" s="97"/>
      <c r="DY15" s="97"/>
      <c r="DZ15" s="97"/>
      <c r="EA15" s="97"/>
      <c r="EB15" s="97"/>
      <c r="EC15" s="97"/>
      <c r="ED15" s="97"/>
      <c r="EE15" s="97"/>
      <c r="EF15" s="97"/>
      <c r="EG15" s="97"/>
      <c r="EH15" s="97"/>
      <c r="EI15" s="97"/>
      <c r="EJ15" s="97"/>
      <c r="EK15" s="97"/>
      <c r="EL15" s="97"/>
      <c r="EM15" s="97"/>
      <c r="EN15" s="97"/>
      <c r="EO15" s="97"/>
      <c r="EP15" s="97"/>
      <c r="EQ15" s="97"/>
      <c r="ER15" s="97"/>
      <c r="ES15" s="97"/>
      <c r="ET15" s="241">
        <f t="shared" si="1"/>
        <v>1.0216802168021681</v>
      </c>
      <c r="EU15" s="92">
        <f>CI15/CH15</f>
        <v>1.0216802168021681</v>
      </c>
      <c r="EV15" s="408">
        <f>(38.3-CK15)/(38.3-CJ15)</f>
        <v>0.42857142857142494</v>
      </c>
      <c r="EW15" s="408">
        <f>(38.3-CI15)/(38.3-CH15)</f>
        <v>0.42857142857142494</v>
      </c>
      <c r="EX15" s="408">
        <f>(38.3-CK15)/(38.3-I15)</f>
        <v>0.1363636363636351</v>
      </c>
      <c r="EY15" s="405" t="s">
        <v>682</v>
      </c>
      <c r="EZ15" s="406" t="s">
        <v>606</v>
      </c>
      <c r="FA15" s="406" t="s">
        <v>606</v>
      </c>
      <c r="FB15" s="406" t="s">
        <v>342</v>
      </c>
      <c r="FC15" s="407" t="s">
        <v>343</v>
      </c>
    </row>
    <row r="16" spans="1:159" s="98" customFormat="1" ht="147" customHeight="1" x14ac:dyDescent="0.25">
      <c r="A16" s="409">
        <v>2</v>
      </c>
      <c r="B16" s="409">
        <v>35</v>
      </c>
      <c r="C16" s="409">
        <v>272</v>
      </c>
      <c r="D16" s="406" t="s">
        <v>272</v>
      </c>
      <c r="E16" s="409">
        <v>661</v>
      </c>
      <c r="F16" s="406" t="s">
        <v>619</v>
      </c>
      <c r="G16" s="409" t="s">
        <v>274</v>
      </c>
      <c r="H16" s="93" t="s">
        <v>275</v>
      </c>
      <c r="I16" s="93">
        <v>17.3</v>
      </c>
      <c r="J16" s="92" t="s">
        <v>277</v>
      </c>
      <c r="K16" s="94"/>
      <c r="L16" s="94"/>
      <c r="M16" s="94"/>
      <c r="N16" s="94"/>
      <c r="O16" s="94"/>
      <c r="P16" s="94"/>
      <c r="Q16" s="94"/>
      <c r="R16" s="94"/>
      <c r="S16" s="94"/>
      <c r="T16" s="94"/>
      <c r="U16" s="94"/>
      <c r="V16" s="94"/>
      <c r="W16" s="94"/>
      <c r="X16" s="94" t="s">
        <v>276</v>
      </c>
      <c r="Y16" s="92" t="s">
        <v>277</v>
      </c>
      <c r="Z16" s="92" t="s">
        <v>277</v>
      </c>
      <c r="AA16" s="92" t="s">
        <v>277</v>
      </c>
      <c r="AB16" s="92" t="s">
        <v>277</v>
      </c>
      <c r="AC16" s="92" t="s">
        <v>277</v>
      </c>
      <c r="AD16" s="94">
        <v>19.5</v>
      </c>
      <c r="AE16" s="94">
        <v>19.5</v>
      </c>
      <c r="AF16" s="94">
        <v>16</v>
      </c>
      <c r="AG16" s="94">
        <v>19.5</v>
      </c>
      <c r="AH16" s="94">
        <v>18</v>
      </c>
      <c r="AI16" s="94">
        <v>19.5</v>
      </c>
      <c r="AJ16" s="94">
        <v>17</v>
      </c>
      <c r="AK16" s="94">
        <v>19.5</v>
      </c>
      <c r="AL16" s="100">
        <v>17</v>
      </c>
      <c r="AM16" s="94">
        <v>19.5</v>
      </c>
      <c r="AN16" s="409">
        <v>17</v>
      </c>
      <c r="AO16" s="94">
        <v>19.5</v>
      </c>
      <c r="AP16" s="409">
        <v>17.3</v>
      </c>
      <c r="AQ16" s="94">
        <v>19.5</v>
      </c>
      <c r="AR16" s="414">
        <v>17.3</v>
      </c>
      <c r="AS16" s="94">
        <v>19.5</v>
      </c>
      <c r="AT16" s="301">
        <v>17.5</v>
      </c>
      <c r="AU16" s="94">
        <v>19.5</v>
      </c>
      <c r="AV16" s="301">
        <v>17.600000000000001</v>
      </c>
      <c r="AW16" s="94">
        <v>19.5</v>
      </c>
      <c r="AX16" s="301">
        <v>18.100000000000001</v>
      </c>
      <c r="AY16" s="94">
        <v>19.5</v>
      </c>
      <c r="AZ16" s="301">
        <v>18.100000000000001</v>
      </c>
      <c r="BA16" s="94">
        <v>19.5</v>
      </c>
      <c r="BB16" s="301">
        <v>18.3</v>
      </c>
      <c r="BC16" s="102">
        <f>+AD16</f>
        <v>19.5</v>
      </c>
      <c r="BD16" s="94">
        <v>18.3</v>
      </c>
      <c r="BE16" s="102">
        <f>+BB16</f>
        <v>18.3</v>
      </c>
      <c r="BF16" s="102">
        <f>+AD16</f>
        <v>19.5</v>
      </c>
      <c r="BG16" s="102">
        <f>+BB16</f>
        <v>18.3</v>
      </c>
      <c r="BH16" s="94">
        <v>19</v>
      </c>
      <c r="BI16" s="94">
        <v>19</v>
      </c>
      <c r="BJ16" s="94">
        <v>18.5</v>
      </c>
      <c r="BK16" s="94">
        <v>19</v>
      </c>
      <c r="BL16" s="94">
        <v>18.7</v>
      </c>
      <c r="BM16" s="94">
        <v>19</v>
      </c>
      <c r="BN16" s="94">
        <v>18.5</v>
      </c>
      <c r="BO16" s="94">
        <v>19</v>
      </c>
      <c r="BP16" s="94">
        <v>18.600000000000001</v>
      </c>
      <c r="BQ16" s="94">
        <v>19</v>
      </c>
      <c r="BR16" s="94">
        <v>18.7</v>
      </c>
      <c r="BS16" s="94">
        <v>19</v>
      </c>
      <c r="BT16" s="94">
        <v>18.8</v>
      </c>
      <c r="BU16" s="94">
        <v>19</v>
      </c>
      <c r="BV16" s="94">
        <v>19</v>
      </c>
      <c r="BW16" s="94">
        <v>19</v>
      </c>
      <c r="BX16" s="94">
        <v>19</v>
      </c>
      <c r="BY16" s="94">
        <v>19</v>
      </c>
      <c r="BZ16" s="94">
        <v>19.399999999999999</v>
      </c>
      <c r="CA16" s="94">
        <v>19</v>
      </c>
      <c r="CB16" s="94"/>
      <c r="CC16" s="94">
        <v>19</v>
      </c>
      <c r="CD16" s="94"/>
      <c r="CE16" s="94">
        <v>19</v>
      </c>
      <c r="CF16" s="94"/>
      <c r="CG16" s="93">
        <f>+BY16</f>
        <v>19</v>
      </c>
      <c r="CH16" s="93">
        <f t="shared" si="0"/>
        <v>19</v>
      </c>
      <c r="CI16" s="93">
        <f t="shared" si="0"/>
        <v>19.399999999999999</v>
      </c>
      <c r="CJ16" s="93">
        <f>+BH16</f>
        <v>19</v>
      </c>
      <c r="CK16" s="93">
        <f>CI16</f>
        <v>19.399999999999999</v>
      </c>
      <c r="CL16" s="94">
        <v>17.8</v>
      </c>
      <c r="CM16" s="94"/>
      <c r="CN16" s="94"/>
      <c r="CO16" s="94"/>
      <c r="CP16" s="94"/>
      <c r="CQ16" s="94"/>
      <c r="CR16" s="94"/>
      <c r="CS16" s="94"/>
      <c r="CT16" s="94"/>
      <c r="CU16" s="94"/>
      <c r="CV16" s="94"/>
      <c r="CW16" s="94"/>
      <c r="CX16" s="94"/>
      <c r="CY16" s="94"/>
      <c r="CZ16" s="94"/>
      <c r="DA16" s="94"/>
      <c r="DB16" s="94"/>
      <c r="DC16" s="94"/>
      <c r="DD16" s="94"/>
      <c r="DE16" s="94"/>
      <c r="DF16" s="94"/>
      <c r="DG16" s="94"/>
      <c r="DH16" s="94"/>
      <c r="DI16" s="94"/>
      <c r="DJ16" s="94"/>
      <c r="DK16" s="94"/>
      <c r="DL16" s="94"/>
      <c r="DM16" s="94"/>
      <c r="DN16" s="94"/>
      <c r="DO16" s="94"/>
      <c r="DP16" s="94">
        <v>17.3</v>
      </c>
      <c r="DQ16" s="301"/>
      <c r="DR16" s="301"/>
      <c r="DS16" s="301"/>
      <c r="DT16" s="301"/>
      <c r="DU16" s="301"/>
      <c r="DV16" s="301"/>
      <c r="DW16" s="301"/>
      <c r="DX16" s="301"/>
      <c r="DY16" s="301"/>
      <c r="DZ16" s="301"/>
      <c r="EA16" s="301"/>
      <c r="EB16" s="301"/>
      <c r="EC16" s="301"/>
      <c r="ED16" s="301"/>
      <c r="EE16" s="301"/>
      <c r="EF16" s="301"/>
      <c r="EG16" s="301"/>
      <c r="EH16" s="301"/>
      <c r="EI16" s="301"/>
      <c r="EJ16" s="301"/>
      <c r="EK16" s="301"/>
      <c r="EL16" s="301"/>
      <c r="EM16" s="301"/>
      <c r="EN16" s="301"/>
      <c r="EO16" s="301"/>
      <c r="EP16" s="301"/>
      <c r="EQ16" s="301"/>
      <c r="ER16" s="301"/>
      <c r="ES16" s="301"/>
      <c r="ET16" s="241">
        <f t="shared" si="1"/>
        <v>1.0210526315789472</v>
      </c>
      <c r="EU16" s="92">
        <f>CI16/CH16</f>
        <v>1.0210526315789472</v>
      </c>
      <c r="EV16" s="408">
        <f>(19.7-CK16)/(19.7-CJ16)</f>
        <v>0.42857142857143005</v>
      </c>
      <c r="EW16" s="408">
        <f>(19.7-CI16)/(19.7-CH16)</f>
        <v>0.42857142857143005</v>
      </c>
      <c r="EX16" s="408">
        <f>(19.7-CK16)/(19.7-I16)</f>
        <v>0.12500000000000036</v>
      </c>
      <c r="EY16" s="405" t="s">
        <v>683</v>
      </c>
      <c r="EZ16" s="406" t="s">
        <v>606</v>
      </c>
      <c r="FA16" s="406" t="s">
        <v>606</v>
      </c>
      <c r="FB16" s="406" t="s">
        <v>342</v>
      </c>
      <c r="FC16" s="407" t="s">
        <v>343</v>
      </c>
    </row>
    <row r="17" spans="1:159" s="31" customFormat="1" ht="45" customHeight="1" x14ac:dyDescent="0.25">
      <c r="A17" s="68"/>
      <c r="B17" s="68"/>
      <c r="C17" s="69"/>
      <c r="D17" s="70"/>
      <c r="F17" s="71"/>
      <c r="G17" s="72"/>
      <c r="H17" s="73"/>
      <c r="I17" s="69"/>
      <c r="J17" s="69"/>
      <c r="K17" s="69"/>
      <c r="L17" s="69"/>
      <c r="M17" s="69"/>
      <c r="N17" s="69"/>
      <c r="O17" s="69"/>
      <c r="P17" s="69"/>
      <c r="Q17" s="69"/>
      <c r="R17" s="69"/>
      <c r="S17" s="69"/>
      <c r="T17" s="69"/>
      <c r="U17" s="69"/>
      <c r="V17" s="74"/>
      <c r="W17" s="69"/>
      <c r="X17" s="74"/>
      <c r="Y17" s="69"/>
      <c r="Z17" s="69"/>
      <c r="AA17" s="69"/>
      <c r="AB17" s="69"/>
      <c r="AC17" s="74"/>
      <c r="AD17" s="69"/>
      <c r="AE17" s="69"/>
      <c r="AF17" s="69"/>
      <c r="AG17" s="69"/>
      <c r="AH17" s="69"/>
      <c r="AI17" s="69"/>
      <c r="AJ17" s="69"/>
      <c r="AK17" s="69"/>
      <c r="AL17" s="69"/>
      <c r="AM17" s="69"/>
      <c r="AN17" s="69"/>
      <c r="AO17" s="69"/>
      <c r="AP17" s="69"/>
      <c r="AQ17" s="69"/>
      <c r="AR17" s="69"/>
      <c r="AS17" s="69"/>
      <c r="AT17" s="69"/>
      <c r="AU17" s="69"/>
      <c r="AV17" s="69"/>
      <c r="AW17" s="69"/>
      <c r="AX17" s="69"/>
      <c r="AY17" s="69"/>
      <c r="AZ17" s="69"/>
      <c r="BA17" s="69"/>
      <c r="BB17" s="69"/>
      <c r="BC17" s="80"/>
      <c r="BD17" s="80"/>
      <c r="BE17" s="80"/>
      <c r="BF17" s="80"/>
      <c r="BG17" s="74"/>
      <c r="BH17" s="81"/>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5"/>
      <c r="CM17" s="69"/>
      <c r="CN17" s="69"/>
      <c r="CO17" s="69"/>
      <c r="CP17" s="69"/>
      <c r="CQ17" s="69"/>
      <c r="CR17" s="69"/>
      <c r="CS17" s="69"/>
      <c r="CT17" s="69"/>
      <c r="CU17" s="69"/>
      <c r="CV17" s="69"/>
      <c r="CW17" s="69"/>
      <c r="CX17" s="69"/>
      <c r="CY17" s="69"/>
      <c r="CZ17" s="69"/>
      <c r="DA17" s="69"/>
      <c r="DB17" s="69"/>
      <c r="DC17" s="69"/>
      <c r="DD17" s="69"/>
      <c r="DE17" s="69"/>
      <c r="DF17" s="69"/>
      <c r="DG17" s="69"/>
      <c r="DH17" s="69"/>
      <c r="DI17" s="69"/>
      <c r="DJ17" s="69"/>
      <c r="DK17" s="69"/>
      <c r="DL17" s="69"/>
      <c r="DM17" s="69"/>
      <c r="DN17" s="69"/>
      <c r="DO17" s="69"/>
      <c r="DP17" s="75"/>
      <c r="DQ17" s="69"/>
      <c r="DR17" s="69"/>
      <c r="DS17" s="69"/>
      <c r="DT17" s="69"/>
      <c r="DU17" s="69"/>
      <c r="DV17" s="69"/>
      <c r="DW17" s="69"/>
      <c r="DX17" s="69"/>
      <c r="DY17" s="69"/>
      <c r="DZ17" s="69"/>
      <c r="EA17" s="69"/>
      <c r="EB17" s="69"/>
      <c r="EC17" s="69"/>
      <c r="ED17" s="69"/>
      <c r="EE17" s="69"/>
      <c r="EF17" s="69"/>
      <c r="EG17" s="69"/>
      <c r="EH17" s="69"/>
      <c r="EI17" s="69"/>
      <c r="EJ17" s="69"/>
      <c r="EK17" s="69"/>
      <c r="EL17" s="69"/>
      <c r="EM17" s="69"/>
      <c r="EN17" s="69"/>
      <c r="EO17" s="69"/>
      <c r="EP17" s="69"/>
      <c r="EQ17" s="69"/>
      <c r="ER17" s="69"/>
      <c r="ES17" s="69"/>
      <c r="ET17" s="82"/>
      <c r="EU17" s="82"/>
      <c r="EV17" s="83"/>
      <c r="EW17" s="84"/>
      <c r="EX17" s="84"/>
      <c r="EY17" s="76"/>
      <c r="EZ17" s="77"/>
      <c r="FA17" s="77"/>
      <c r="FB17" s="78"/>
      <c r="FC17" s="79"/>
    </row>
    <row r="19" spans="1:159" s="6" customFormat="1" ht="35.25" customHeight="1" x14ac:dyDescent="0.25">
      <c r="A19" s="8"/>
      <c r="B19" s="22" t="s">
        <v>34</v>
      </c>
      <c r="C19" s="20"/>
      <c r="D19" s="20"/>
      <c r="E19" s="21"/>
      <c r="F19" s="53"/>
      <c r="G19" s="21"/>
      <c r="H19" s="21"/>
      <c r="I19" s="21"/>
      <c r="J19" s="21"/>
      <c r="K19" s="21"/>
      <c r="L19" s="21"/>
      <c r="M19" s="21"/>
      <c r="N19" s="21"/>
      <c r="O19" s="21"/>
      <c r="P19" s="21"/>
      <c r="Q19" s="9"/>
      <c r="R19" s="9"/>
      <c r="S19" s="9"/>
      <c r="T19" s="9"/>
      <c r="U19" s="9"/>
      <c r="V19" s="46"/>
      <c r="W19" s="8"/>
      <c r="X19" s="8"/>
    </row>
    <row r="20" spans="1:159" s="6" customFormat="1" ht="35.25" customHeight="1" x14ac:dyDescent="0.25">
      <c r="B20" s="198" t="s">
        <v>35</v>
      </c>
      <c r="C20" s="443" t="s">
        <v>36</v>
      </c>
      <c r="D20" s="444"/>
      <c r="E20" s="444"/>
      <c r="F20" s="444"/>
      <c r="G20" s="444"/>
      <c r="H20" s="444"/>
      <c r="I20" s="445"/>
      <c r="J20" s="446" t="s">
        <v>37</v>
      </c>
      <c r="K20" s="447"/>
      <c r="L20" s="447"/>
      <c r="M20" s="447"/>
      <c r="N20" s="447"/>
      <c r="O20" s="447"/>
      <c r="P20" s="448"/>
      <c r="Q20" s="9"/>
      <c r="R20" s="9"/>
      <c r="S20" s="9"/>
      <c r="T20" s="9"/>
      <c r="U20" s="9"/>
      <c r="V20" s="46"/>
      <c r="W20" s="8"/>
      <c r="X20" s="8"/>
    </row>
    <row r="21" spans="1:159" s="6" customFormat="1" ht="35.25" customHeight="1" x14ac:dyDescent="0.25">
      <c r="A21" s="8"/>
      <c r="B21" s="199">
        <v>13</v>
      </c>
      <c r="C21" s="449" t="s">
        <v>89</v>
      </c>
      <c r="D21" s="449"/>
      <c r="E21" s="449"/>
      <c r="F21" s="449"/>
      <c r="G21" s="449"/>
      <c r="H21" s="449"/>
      <c r="I21" s="449"/>
      <c r="J21" s="449" t="s">
        <v>80</v>
      </c>
      <c r="K21" s="449"/>
      <c r="L21" s="449"/>
      <c r="M21" s="449"/>
      <c r="N21" s="449"/>
      <c r="O21" s="449"/>
      <c r="P21" s="449"/>
      <c r="Q21" s="9"/>
      <c r="R21" s="9"/>
      <c r="S21" s="9"/>
      <c r="T21" s="9"/>
      <c r="U21" s="9"/>
      <c r="V21" s="46"/>
      <c r="W21" s="8"/>
      <c r="X21" s="8"/>
    </row>
    <row r="22" spans="1:159" s="6" customFormat="1" ht="35.25" customHeight="1" x14ac:dyDescent="0.25">
      <c r="A22" s="8"/>
      <c r="B22" s="199">
        <v>14</v>
      </c>
      <c r="C22" s="449" t="s">
        <v>258</v>
      </c>
      <c r="D22" s="449"/>
      <c r="E22" s="449"/>
      <c r="F22" s="449"/>
      <c r="G22" s="449"/>
      <c r="H22" s="449"/>
      <c r="I22" s="449"/>
      <c r="J22" s="450" t="s">
        <v>530</v>
      </c>
      <c r="K22" s="450"/>
      <c r="L22" s="450"/>
      <c r="M22" s="450"/>
      <c r="N22" s="450"/>
      <c r="O22" s="450"/>
      <c r="P22" s="450"/>
      <c r="Q22" s="9"/>
      <c r="R22" s="9"/>
      <c r="S22" s="9"/>
      <c r="T22" s="9"/>
      <c r="U22" s="9"/>
      <c r="V22" s="46"/>
      <c r="W22" s="8"/>
      <c r="X22" s="8"/>
    </row>
    <row r="23" spans="1:159" ht="35.25" customHeight="1" x14ac:dyDescent="0.25">
      <c r="AC23" s="65"/>
    </row>
  </sheetData>
  <mergeCells count="37">
    <mergeCell ref="C20:I20"/>
    <mergeCell ref="J20:P20"/>
    <mergeCell ref="C21:I21"/>
    <mergeCell ref="J21:P21"/>
    <mergeCell ref="C22:I22"/>
    <mergeCell ref="J22:P22"/>
    <mergeCell ref="A1:F3"/>
    <mergeCell ref="G1:FC1"/>
    <mergeCell ref="G2:FC2"/>
    <mergeCell ref="G3:ES3"/>
    <mergeCell ref="ET3:FC3"/>
    <mergeCell ref="A4:F4"/>
    <mergeCell ref="A5:F5"/>
    <mergeCell ref="A6:F6"/>
    <mergeCell ref="FC9:FC11"/>
    <mergeCell ref="A7:F7"/>
    <mergeCell ref="G4:FC4"/>
    <mergeCell ref="G5:FC5"/>
    <mergeCell ref="G6:FC6"/>
    <mergeCell ref="G7:FC7"/>
    <mergeCell ref="FB9:FB11"/>
    <mergeCell ref="J9:ES9"/>
    <mergeCell ref="ET9:ET11"/>
    <mergeCell ref="DP10:ES10"/>
    <mergeCell ref="A9:I9"/>
    <mergeCell ref="A10:I10"/>
    <mergeCell ref="J10:AC10"/>
    <mergeCell ref="AD10:BG10"/>
    <mergeCell ref="BH10:CK10"/>
    <mergeCell ref="CL10:DO10"/>
    <mergeCell ref="EZ9:EZ11"/>
    <mergeCell ref="FA9:FA11"/>
    <mergeCell ref="EU9:EU11"/>
    <mergeCell ref="EV9:EV11"/>
    <mergeCell ref="EW9:EW11"/>
    <mergeCell ref="EX9:EX11"/>
    <mergeCell ref="EY9:EY11"/>
  </mergeCells>
  <phoneticPr fontId="8" type="noConversion"/>
  <dataValidations count="1">
    <dataValidation type="list" allowBlank="1" showInputMessage="1" showErrorMessage="1" sqref="H12:H16" xr:uid="{CCF6A82D-A6D6-8740-914C-E75B34190004}">
      <formula1>#REF!</formula1>
    </dataValidation>
  </dataValidations>
  <hyperlinks>
    <hyperlink ref="FC16" r:id="rId1" xr:uid="{D284B116-FFFA-4C4F-9091-74211F81FE13}"/>
    <hyperlink ref="FC15" r:id="rId2" xr:uid="{81762577-E733-D647-BC9D-582E2C977361}"/>
  </hyperlinks>
  <printOptions horizontalCentered="1" verticalCentered="1"/>
  <pageMargins left="0" right="0" top="0.55118110236220474" bottom="0" header="0.31496062992125984" footer="0.31496062992125984"/>
  <pageSetup scale="20" fitToWidth="0" orientation="landscape"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C80"/>
  <sheetViews>
    <sheetView showGridLines="0" zoomScale="51" zoomScaleNormal="51" zoomScaleSheetLayoutView="40" zoomScalePageLayoutView="73" workbookViewId="0">
      <selection activeCell="CH59" sqref="CH59:CI60"/>
    </sheetView>
  </sheetViews>
  <sheetFormatPr baseColWidth="10" defaultColWidth="10.7109375" defaultRowHeight="30.75" customHeight="1" x14ac:dyDescent="0.25"/>
  <cols>
    <col min="1" max="1" width="11.140625" style="212" customWidth="1"/>
    <col min="2" max="2" width="8" style="212" customWidth="1"/>
    <col min="3" max="3" width="22.140625" style="212" customWidth="1"/>
    <col min="4" max="4" width="11.7109375" style="4" customWidth="1"/>
    <col min="5" max="5" width="8.42578125" style="4" customWidth="1"/>
    <col min="6" max="6" width="9.7109375" style="13" customWidth="1"/>
    <col min="7" max="8" width="20.7109375" style="5" customWidth="1"/>
    <col min="9" max="22" width="15.7109375" style="5" hidden="1" customWidth="1"/>
    <col min="23" max="23" width="19.140625" style="5" hidden="1" customWidth="1"/>
    <col min="24" max="24" width="22.140625" style="5" hidden="1" customWidth="1"/>
    <col min="25" max="25" width="19.140625" style="5" hidden="1" customWidth="1"/>
    <col min="26" max="27" width="20.7109375" style="5" customWidth="1"/>
    <col min="28" max="28" width="26.85546875" style="5" customWidth="1"/>
    <col min="29" max="51" width="24.140625" style="5" hidden="1" customWidth="1"/>
    <col min="52" max="52" width="21.42578125" style="5" hidden="1" customWidth="1"/>
    <col min="53" max="55" width="20.7109375" style="5" hidden="1" customWidth="1"/>
    <col min="56" max="56" width="23.7109375" style="5" customWidth="1"/>
    <col min="57" max="57" width="25.42578125" style="5" customWidth="1"/>
    <col min="58" max="58" width="26.140625" style="5" customWidth="1"/>
    <col min="59" max="74" width="20.7109375" style="5" customWidth="1"/>
    <col min="75" max="76" width="20.42578125" style="5" customWidth="1"/>
    <col min="77" max="82" width="15.7109375" style="5" hidden="1" customWidth="1"/>
    <col min="83" max="83" width="18.85546875" style="5" customWidth="1"/>
    <col min="84" max="84" width="24.42578125" style="5" customWidth="1"/>
    <col min="85" max="85" width="26.42578125" style="5" customWidth="1"/>
    <col min="86" max="86" width="23.140625" style="5" customWidth="1"/>
    <col min="87" max="88" width="23.7109375" style="5" customWidth="1"/>
    <col min="89" max="117" width="15.7109375" style="5" hidden="1" customWidth="1"/>
    <col min="118" max="118" width="24.42578125" style="5" customWidth="1"/>
    <col min="119" max="142" width="27.28515625" style="5" hidden="1" customWidth="1"/>
    <col min="143" max="147" width="15.7109375" style="5" hidden="1" customWidth="1"/>
    <col min="148" max="149" width="20.7109375" style="10" customWidth="1"/>
    <col min="150" max="152" width="20.7109375" customWidth="1"/>
    <col min="153" max="153" width="40.42578125" style="195" customWidth="1"/>
    <col min="154" max="154" width="10.7109375" customWidth="1"/>
    <col min="155" max="155" width="10.140625" customWidth="1"/>
    <col min="156" max="156" width="34" customWidth="1"/>
    <col min="157" max="157" width="26" customWidth="1"/>
    <col min="158" max="158" width="6" bestFit="1" customWidth="1"/>
    <col min="159" max="160" width="10.7109375" customWidth="1"/>
  </cols>
  <sheetData>
    <row r="1" spans="1:159" s="105" customFormat="1" ht="30.75" customHeight="1" x14ac:dyDescent="0.35">
      <c r="A1" s="473"/>
      <c r="B1" s="474"/>
      <c r="C1" s="474"/>
      <c r="D1" s="474"/>
      <c r="E1" s="474"/>
      <c r="F1" s="483" t="s">
        <v>38</v>
      </c>
      <c r="G1" s="483"/>
      <c r="H1" s="483"/>
      <c r="I1" s="483"/>
      <c r="J1" s="483"/>
      <c r="K1" s="483"/>
      <c r="L1" s="483"/>
      <c r="M1" s="483"/>
      <c r="N1" s="483"/>
      <c r="O1" s="483"/>
      <c r="P1" s="483"/>
      <c r="Q1" s="483"/>
      <c r="R1" s="483"/>
      <c r="S1" s="483"/>
      <c r="T1" s="483"/>
      <c r="U1" s="483"/>
      <c r="V1" s="483"/>
      <c r="W1" s="483"/>
      <c r="X1" s="483"/>
      <c r="Y1" s="483"/>
      <c r="Z1" s="483"/>
      <c r="AA1" s="483"/>
      <c r="AB1" s="483"/>
      <c r="AC1" s="483"/>
      <c r="AD1" s="483"/>
      <c r="AE1" s="483"/>
      <c r="AF1" s="483"/>
      <c r="AG1" s="483"/>
      <c r="AH1" s="483"/>
      <c r="AI1" s="483"/>
      <c r="AJ1" s="483"/>
      <c r="AK1" s="483"/>
      <c r="AL1" s="483"/>
      <c r="AM1" s="483"/>
      <c r="AN1" s="483"/>
      <c r="AO1" s="483"/>
      <c r="AP1" s="483"/>
      <c r="AQ1" s="483"/>
      <c r="AR1" s="483"/>
      <c r="AS1" s="483"/>
      <c r="AT1" s="483"/>
      <c r="AU1" s="483"/>
      <c r="AV1" s="483"/>
      <c r="AW1" s="483"/>
      <c r="AX1" s="483"/>
      <c r="AY1" s="483"/>
      <c r="AZ1" s="483"/>
      <c r="BA1" s="483"/>
      <c r="BB1" s="483"/>
      <c r="BC1" s="483"/>
      <c r="BD1" s="483"/>
      <c r="BE1" s="483"/>
      <c r="BF1" s="483"/>
      <c r="BG1" s="483"/>
      <c r="BH1" s="483"/>
      <c r="BI1" s="483"/>
      <c r="BJ1" s="483"/>
      <c r="BK1" s="483"/>
      <c r="BL1" s="483"/>
      <c r="BM1" s="483"/>
      <c r="BN1" s="483"/>
      <c r="BO1" s="483"/>
      <c r="BP1" s="483"/>
      <c r="BQ1" s="483"/>
      <c r="BR1" s="483"/>
      <c r="BS1" s="483"/>
      <c r="BT1" s="483"/>
      <c r="BU1" s="483"/>
      <c r="BV1" s="483"/>
      <c r="BW1" s="483"/>
      <c r="BX1" s="483"/>
      <c r="BY1" s="483"/>
      <c r="BZ1" s="483"/>
      <c r="CA1" s="483"/>
      <c r="CB1" s="483"/>
      <c r="CC1" s="483"/>
      <c r="CD1" s="483"/>
      <c r="CE1" s="483"/>
      <c r="CF1" s="483"/>
      <c r="CG1" s="483"/>
      <c r="CH1" s="483"/>
      <c r="CI1" s="483"/>
      <c r="CJ1" s="483"/>
      <c r="CK1" s="483"/>
      <c r="CL1" s="483"/>
      <c r="CM1" s="483"/>
      <c r="CN1" s="483"/>
      <c r="CO1" s="483"/>
      <c r="CP1" s="483"/>
      <c r="CQ1" s="483"/>
      <c r="CR1" s="483"/>
      <c r="CS1" s="483"/>
      <c r="CT1" s="483"/>
      <c r="CU1" s="483"/>
      <c r="CV1" s="483"/>
      <c r="CW1" s="483"/>
      <c r="CX1" s="483"/>
      <c r="CY1" s="483"/>
      <c r="CZ1" s="483"/>
      <c r="DA1" s="483"/>
      <c r="DB1" s="483"/>
      <c r="DC1" s="483"/>
      <c r="DD1" s="483"/>
      <c r="DE1" s="483"/>
      <c r="DF1" s="483"/>
      <c r="DG1" s="483"/>
      <c r="DH1" s="483"/>
      <c r="DI1" s="483"/>
      <c r="DJ1" s="483"/>
      <c r="DK1" s="483"/>
      <c r="DL1" s="483"/>
      <c r="DM1" s="483"/>
      <c r="DN1" s="483"/>
      <c r="DO1" s="483"/>
      <c r="DP1" s="483"/>
      <c r="DQ1" s="483"/>
      <c r="DR1" s="483"/>
      <c r="DS1" s="483"/>
      <c r="DT1" s="483"/>
      <c r="DU1" s="483"/>
      <c r="DV1" s="483"/>
      <c r="DW1" s="483"/>
      <c r="DX1" s="483"/>
      <c r="DY1" s="483"/>
      <c r="DZ1" s="483"/>
      <c r="EA1" s="483"/>
      <c r="EB1" s="483"/>
      <c r="EC1" s="483"/>
      <c r="ED1" s="483"/>
      <c r="EE1" s="483"/>
      <c r="EF1" s="483"/>
      <c r="EG1" s="483"/>
      <c r="EH1" s="483"/>
      <c r="EI1" s="483"/>
      <c r="EJ1" s="483"/>
      <c r="EK1" s="483"/>
      <c r="EL1" s="483"/>
      <c r="EM1" s="483"/>
      <c r="EN1" s="483"/>
      <c r="EO1" s="483"/>
      <c r="EP1" s="483"/>
      <c r="EQ1" s="483"/>
      <c r="ER1" s="483"/>
      <c r="ES1" s="483"/>
      <c r="ET1" s="483"/>
      <c r="EU1" s="483"/>
      <c r="EV1" s="483"/>
      <c r="EW1" s="483"/>
      <c r="EX1" s="483"/>
      <c r="EY1" s="483"/>
      <c r="EZ1" s="483"/>
      <c r="FA1" s="484"/>
    </row>
    <row r="2" spans="1:159" s="105" customFormat="1" ht="30.75" customHeight="1" x14ac:dyDescent="0.35">
      <c r="A2" s="475"/>
      <c r="B2" s="476"/>
      <c r="C2" s="476"/>
      <c r="D2" s="476"/>
      <c r="E2" s="476"/>
      <c r="F2" s="485" t="s">
        <v>255</v>
      </c>
      <c r="G2" s="485"/>
      <c r="H2" s="485"/>
      <c r="I2" s="485"/>
      <c r="J2" s="485"/>
      <c r="K2" s="485"/>
      <c r="L2" s="485"/>
      <c r="M2" s="485"/>
      <c r="N2" s="485"/>
      <c r="O2" s="485"/>
      <c r="P2" s="485"/>
      <c r="Q2" s="485"/>
      <c r="R2" s="485"/>
      <c r="S2" s="485"/>
      <c r="T2" s="485"/>
      <c r="U2" s="485"/>
      <c r="V2" s="485"/>
      <c r="W2" s="485"/>
      <c r="X2" s="485"/>
      <c r="Y2" s="485"/>
      <c r="Z2" s="485"/>
      <c r="AA2" s="485"/>
      <c r="AB2" s="485"/>
      <c r="AC2" s="485"/>
      <c r="AD2" s="485"/>
      <c r="AE2" s="485"/>
      <c r="AF2" s="485"/>
      <c r="AG2" s="485"/>
      <c r="AH2" s="485"/>
      <c r="AI2" s="485"/>
      <c r="AJ2" s="485"/>
      <c r="AK2" s="485"/>
      <c r="AL2" s="485"/>
      <c r="AM2" s="485"/>
      <c r="AN2" s="485"/>
      <c r="AO2" s="485"/>
      <c r="AP2" s="485"/>
      <c r="AQ2" s="485"/>
      <c r="AR2" s="485"/>
      <c r="AS2" s="485"/>
      <c r="AT2" s="485"/>
      <c r="AU2" s="485"/>
      <c r="AV2" s="485"/>
      <c r="AW2" s="485"/>
      <c r="AX2" s="485"/>
      <c r="AY2" s="485"/>
      <c r="AZ2" s="485"/>
      <c r="BA2" s="485"/>
      <c r="BB2" s="485"/>
      <c r="BC2" s="485"/>
      <c r="BD2" s="485"/>
      <c r="BE2" s="485"/>
      <c r="BF2" s="485"/>
      <c r="BG2" s="485"/>
      <c r="BH2" s="485"/>
      <c r="BI2" s="485"/>
      <c r="BJ2" s="485"/>
      <c r="BK2" s="485"/>
      <c r="BL2" s="485"/>
      <c r="BM2" s="485"/>
      <c r="BN2" s="485"/>
      <c r="BO2" s="485"/>
      <c r="BP2" s="485"/>
      <c r="BQ2" s="485"/>
      <c r="BR2" s="485"/>
      <c r="BS2" s="485"/>
      <c r="BT2" s="485"/>
      <c r="BU2" s="485"/>
      <c r="BV2" s="485"/>
      <c r="BW2" s="485"/>
      <c r="BX2" s="485"/>
      <c r="BY2" s="485"/>
      <c r="BZ2" s="485"/>
      <c r="CA2" s="485"/>
      <c r="CB2" s="485"/>
      <c r="CC2" s="485"/>
      <c r="CD2" s="485"/>
      <c r="CE2" s="485"/>
      <c r="CF2" s="485"/>
      <c r="CG2" s="485"/>
      <c r="CH2" s="485"/>
      <c r="CI2" s="485"/>
      <c r="CJ2" s="485"/>
      <c r="CK2" s="485"/>
      <c r="CL2" s="485"/>
      <c r="CM2" s="485"/>
      <c r="CN2" s="485"/>
      <c r="CO2" s="485"/>
      <c r="CP2" s="485"/>
      <c r="CQ2" s="485"/>
      <c r="CR2" s="485"/>
      <c r="CS2" s="485"/>
      <c r="CT2" s="485"/>
      <c r="CU2" s="485"/>
      <c r="CV2" s="485"/>
      <c r="CW2" s="485"/>
      <c r="CX2" s="485"/>
      <c r="CY2" s="485"/>
      <c r="CZ2" s="485"/>
      <c r="DA2" s="485"/>
      <c r="DB2" s="485"/>
      <c r="DC2" s="485"/>
      <c r="DD2" s="485"/>
      <c r="DE2" s="485"/>
      <c r="DF2" s="485"/>
      <c r="DG2" s="485"/>
      <c r="DH2" s="485"/>
      <c r="DI2" s="485"/>
      <c r="DJ2" s="485"/>
      <c r="DK2" s="485"/>
      <c r="DL2" s="485"/>
      <c r="DM2" s="485"/>
      <c r="DN2" s="485"/>
      <c r="DO2" s="485"/>
      <c r="DP2" s="485"/>
      <c r="DQ2" s="485"/>
      <c r="DR2" s="485"/>
      <c r="DS2" s="485"/>
      <c r="DT2" s="485"/>
      <c r="DU2" s="485"/>
      <c r="DV2" s="485"/>
      <c r="DW2" s="485"/>
      <c r="DX2" s="485"/>
      <c r="DY2" s="485"/>
      <c r="DZ2" s="485"/>
      <c r="EA2" s="485"/>
      <c r="EB2" s="485"/>
      <c r="EC2" s="485"/>
      <c r="ED2" s="485"/>
      <c r="EE2" s="485"/>
      <c r="EF2" s="485"/>
      <c r="EG2" s="485"/>
      <c r="EH2" s="485"/>
      <c r="EI2" s="485"/>
      <c r="EJ2" s="485"/>
      <c r="EK2" s="485"/>
      <c r="EL2" s="485"/>
      <c r="EM2" s="485"/>
      <c r="EN2" s="485"/>
      <c r="EO2" s="485"/>
      <c r="EP2" s="485"/>
      <c r="EQ2" s="485"/>
      <c r="ER2" s="485"/>
      <c r="ES2" s="485"/>
      <c r="ET2" s="485"/>
      <c r="EU2" s="485"/>
      <c r="EV2" s="485"/>
      <c r="EW2" s="485"/>
      <c r="EX2" s="485"/>
      <c r="EY2" s="485"/>
      <c r="EZ2" s="485"/>
      <c r="FA2" s="486"/>
    </row>
    <row r="3" spans="1:159" s="14" customFormat="1" ht="30.75" customHeight="1" x14ac:dyDescent="0.4">
      <c r="A3" s="475"/>
      <c r="B3" s="476"/>
      <c r="C3" s="476"/>
      <c r="D3" s="476"/>
      <c r="E3" s="476"/>
      <c r="F3" s="487" t="s">
        <v>47</v>
      </c>
      <c r="G3" s="487"/>
      <c r="H3" s="487"/>
      <c r="I3" s="487"/>
      <c r="J3" s="487"/>
      <c r="K3" s="487"/>
      <c r="L3" s="487"/>
      <c r="M3" s="487"/>
      <c r="N3" s="487"/>
      <c r="O3" s="487"/>
      <c r="P3" s="487"/>
      <c r="Q3" s="487"/>
      <c r="R3" s="487"/>
      <c r="S3" s="487"/>
      <c r="T3" s="487"/>
      <c r="U3" s="487"/>
      <c r="V3" s="487"/>
      <c r="W3" s="487"/>
      <c r="X3" s="487"/>
      <c r="Y3" s="487"/>
      <c r="Z3" s="487"/>
      <c r="AA3" s="487"/>
      <c r="AB3" s="487"/>
      <c r="AC3" s="487"/>
      <c r="AD3" s="487"/>
      <c r="AE3" s="487"/>
      <c r="AF3" s="487"/>
      <c r="AG3" s="487"/>
      <c r="AH3" s="487"/>
      <c r="AI3" s="487"/>
      <c r="AJ3" s="487"/>
      <c r="AK3" s="487"/>
      <c r="AL3" s="487"/>
      <c r="AM3" s="487"/>
      <c r="AN3" s="487"/>
      <c r="AO3" s="487"/>
      <c r="AP3" s="487"/>
      <c r="AQ3" s="487"/>
      <c r="AR3" s="487"/>
      <c r="AS3" s="487"/>
      <c r="AT3" s="487"/>
      <c r="AU3" s="487"/>
      <c r="AV3" s="487"/>
      <c r="AW3" s="487"/>
      <c r="AX3" s="487"/>
      <c r="AY3" s="487"/>
      <c r="AZ3" s="487"/>
      <c r="BA3" s="487"/>
      <c r="BB3" s="487"/>
      <c r="BC3" s="487"/>
      <c r="BD3" s="487"/>
      <c r="BE3" s="487"/>
      <c r="BF3" s="487"/>
      <c r="BG3" s="487"/>
      <c r="BH3" s="487"/>
      <c r="BI3" s="487"/>
      <c r="BJ3" s="487"/>
      <c r="BK3" s="487"/>
      <c r="BL3" s="487"/>
      <c r="BM3" s="487"/>
      <c r="BN3" s="487"/>
      <c r="BO3" s="487"/>
      <c r="BP3" s="487"/>
      <c r="BQ3" s="487"/>
      <c r="BR3" s="487"/>
      <c r="BS3" s="487"/>
      <c r="BT3" s="487"/>
      <c r="BU3" s="487"/>
      <c r="BV3" s="487"/>
      <c r="BW3" s="487"/>
      <c r="BX3" s="487"/>
      <c r="BY3" s="487"/>
      <c r="BZ3" s="487"/>
      <c r="CA3" s="487"/>
      <c r="CB3" s="487"/>
      <c r="CC3" s="487"/>
      <c r="CD3" s="487"/>
      <c r="CE3" s="487"/>
      <c r="CF3" s="487"/>
      <c r="CG3" s="487"/>
      <c r="CH3" s="487"/>
      <c r="CI3" s="487"/>
      <c r="CJ3" s="487"/>
      <c r="CK3" s="487"/>
      <c r="CL3" s="487"/>
      <c r="CM3" s="487"/>
      <c r="CN3" s="487"/>
      <c r="CO3" s="487"/>
      <c r="CP3" s="487"/>
      <c r="CQ3" s="487"/>
      <c r="CR3" s="487"/>
      <c r="CS3" s="487"/>
      <c r="CT3" s="487"/>
      <c r="CU3" s="487"/>
      <c r="CV3" s="487"/>
      <c r="CW3" s="487"/>
      <c r="CX3" s="487"/>
      <c r="CY3" s="487"/>
      <c r="CZ3" s="487"/>
      <c r="DA3" s="487"/>
      <c r="DB3" s="487"/>
      <c r="DC3" s="487"/>
      <c r="DD3" s="487"/>
      <c r="DE3" s="487"/>
      <c r="DF3" s="487"/>
      <c r="DG3" s="487"/>
      <c r="DH3" s="487"/>
      <c r="DI3" s="487"/>
      <c r="DJ3" s="487"/>
      <c r="DK3" s="487"/>
      <c r="DL3" s="487"/>
      <c r="DM3" s="487"/>
      <c r="DN3" s="487"/>
      <c r="DO3" s="487"/>
      <c r="DP3" s="487"/>
      <c r="DQ3" s="487"/>
      <c r="DR3" s="487"/>
      <c r="DS3" s="487"/>
      <c r="DT3" s="487"/>
      <c r="DU3" s="487"/>
      <c r="DV3" s="487"/>
      <c r="DW3" s="487"/>
      <c r="DX3" s="487"/>
      <c r="DY3" s="487"/>
      <c r="DZ3" s="487"/>
      <c r="EA3" s="487"/>
      <c r="EB3" s="487"/>
      <c r="EC3" s="487"/>
      <c r="ED3" s="487"/>
      <c r="EE3" s="487"/>
      <c r="EF3" s="487"/>
      <c r="EG3" s="487"/>
      <c r="EH3" s="487"/>
      <c r="EI3" s="487"/>
      <c r="EJ3" s="487"/>
      <c r="EK3" s="487"/>
      <c r="EL3" s="487"/>
      <c r="EM3" s="487"/>
      <c r="EN3" s="487"/>
      <c r="EO3" s="487"/>
      <c r="EP3" s="487"/>
      <c r="EQ3" s="487"/>
      <c r="ER3" s="487" t="s">
        <v>239</v>
      </c>
      <c r="ES3" s="487"/>
      <c r="ET3" s="487"/>
      <c r="EU3" s="487"/>
      <c r="EV3" s="487"/>
      <c r="EW3" s="487"/>
      <c r="EX3" s="487"/>
      <c r="EY3" s="487"/>
      <c r="EZ3" s="487"/>
      <c r="FA3" s="490"/>
    </row>
    <row r="4" spans="1:159" ht="30.75" customHeight="1" x14ac:dyDescent="0.25">
      <c r="A4" s="477" t="s">
        <v>0</v>
      </c>
      <c r="B4" s="478"/>
      <c r="C4" s="478"/>
      <c r="D4" s="478"/>
      <c r="E4" s="478"/>
      <c r="F4" s="494" t="s">
        <v>259</v>
      </c>
      <c r="G4" s="495"/>
      <c r="H4" s="495"/>
      <c r="I4" s="495"/>
      <c r="J4" s="495"/>
      <c r="K4" s="495"/>
      <c r="L4" s="495"/>
      <c r="M4" s="495"/>
      <c r="N4" s="495"/>
      <c r="O4" s="495"/>
      <c r="P4" s="495"/>
      <c r="Q4" s="495"/>
      <c r="R4" s="495"/>
      <c r="S4" s="495"/>
      <c r="T4" s="495"/>
      <c r="U4" s="495"/>
      <c r="V4" s="495"/>
      <c r="W4" s="495"/>
      <c r="X4" s="495"/>
      <c r="Y4" s="495"/>
      <c r="Z4" s="495"/>
      <c r="AA4" s="495"/>
      <c r="AB4" s="495"/>
      <c r="AC4" s="495"/>
      <c r="AD4" s="495"/>
      <c r="AE4" s="495"/>
      <c r="AF4" s="495"/>
      <c r="AG4" s="495"/>
      <c r="AH4" s="495"/>
      <c r="AI4" s="495"/>
      <c r="AJ4" s="495"/>
      <c r="AK4" s="495"/>
      <c r="AL4" s="495"/>
      <c r="AM4" s="495"/>
      <c r="AN4" s="495"/>
      <c r="AO4" s="495"/>
      <c r="AP4" s="495"/>
      <c r="AQ4" s="495"/>
      <c r="AR4" s="495"/>
      <c r="AS4" s="495"/>
      <c r="AT4" s="495"/>
      <c r="AU4" s="495"/>
      <c r="AV4" s="495"/>
      <c r="AW4" s="495"/>
      <c r="AX4" s="495"/>
      <c r="AY4" s="495"/>
      <c r="AZ4" s="495"/>
      <c r="BA4" s="495"/>
      <c r="BB4" s="495"/>
      <c r="BC4" s="495"/>
      <c r="BD4" s="495"/>
      <c r="BE4" s="495"/>
      <c r="BF4" s="495"/>
      <c r="BG4" s="495"/>
      <c r="BH4" s="495"/>
      <c r="BI4" s="495"/>
      <c r="BJ4" s="495"/>
      <c r="BK4" s="495"/>
      <c r="BL4" s="495"/>
      <c r="BM4" s="495"/>
      <c r="BN4" s="495"/>
      <c r="BO4" s="495"/>
      <c r="BP4" s="495"/>
      <c r="BQ4" s="495"/>
      <c r="BR4" s="495"/>
      <c r="BS4" s="495"/>
      <c r="BT4" s="495"/>
      <c r="BU4" s="495"/>
      <c r="BV4" s="495"/>
      <c r="BW4" s="495"/>
      <c r="BX4" s="495"/>
      <c r="BY4" s="495"/>
      <c r="BZ4" s="495"/>
      <c r="CA4" s="495"/>
      <c r="CB4" s="495"/>
      <c r="CC4" s="495"/>
      <c r="CD4" s="495"/>
      <c r="CE4" s="495"/>
      <c r="CF4" s="495"/>
      <c r="CG4" s="495"/>
      <c r="CH4" s="495"/>
      <c r="CI4" s="495"/>
      <c r="CJ4" s="495"/>
      <c r="CK4" s="495"/>
      <c r="CL4" s="495"/>
      <c r="CM4" s="495"/>
      <c r="CN4" s="495"/>
      <c r="CO4" s="495"/>
      <c r="CP4" s="495"/>
      <c r="CQ4" s="495"/>
      <c r="CR4" s="495"/>
      <c r="CS4" s="495"/>
      <c r="CT4" s="495"/>
      <c r="CU4" s="495"/>
      <c r="CV4" s="495"/>
      <c r="CW4" s="495"/>
      <c r="CX4" s="495"/>
      <c r="CY4" s="495"/>
      <c r="CZ4" s="495"/>
      <c r="DA4" s="495"/>
      <c r="DB4" s="495"/>
      <c r="DC4" s="495"/>
      <c r="DD4" s="495"/>
      <c r="DE4" s="495"/>
      <c r="DF4" s="495"/>
      <c r="DG4" s="495"/>
      <c r="DH4" s="495"/>
      <c r="DI4" s="495"/>
      <c r="DJ4" s="495"/>
      <c r="DK4" s="495"/>
      <c r="DL4" s="495"/>
      <c r="DM4" s="495"/>
      <c r="DN4" s="495"/>
      <c r="DO4" s="495"/>
      <c r="DP4" s="495"/>
      <c r="DQ4" s="495"/>
      <c r="DR4" s="495"/>
      <c r="DS4" s="495"/>
      <c r="DT4" s="495"/>
      <c r="DU4" s="495"/>
      <c r="DV4" s="495"/>
      <c r="DW4" s="495"/>
      <c r="DX4" s="495"/>
      <c r="DY4" s="495"/>
      <c r="DZ4" s="495"/>
      <c r="EA4" s="495"/>
      <c r="EB4" s="495"/>
      <c r="EC4" s="495"/>
      <c r="ED4" s="495"/>
      <c r="EE4" s="495"/>
      <c r="EF4" s="495"/>
      <c r="EG4" s="495"/>
      <c r="EH4" s="495"/>
      <c r="EI4" s="495"/>
      <c r="EJ4" s="495"/>
      <c r="EK4" s="495"/>
      <c r="EL4" s="495"/>
      <c r="EM4" s="495"/>
      <c r="EN4" s="495"/>
      <c r="EO4" s="495"/>
      <c r="EP4" s="495"/>
      <c r="EQ4" s="495"/>
      <c r="ER4" s="495"/>
      <c r="ES4" s="495"/>
      <c r="ET4" s="495"/>
      <c r="EU4" s="495"/>
      <c r="EV4" s="495"/>
      <c r="EW4" s="495"/>
      <c r="EX4" s="495"/>
      <c r="EY4" s="495"/>
      <c r="EZ4" s="495"/>
      <c r="FA4" s="496"/>
      <c r="FB4" s="104"/>
    </row>
    <row r="5" spans="1:159" ht="30.75" customHeight="1" thickBot="1" x14ac:dyDescent="0.3">
      <c r="A5" s="479" t="s">
        <v>2</v>
      </c>
      <c r="B5" s="480"/>
      <c r="C5" s="480"/>
      <c r="D5" s="480"/>
      <c r="E5" s="480"/>
      <c r="F5" s="491" t="s">
        <v>260</v>
      </c>
      <c r="G5" s="492"/>
      <c r="H5" s="492"/>
      <c r="I5" s="492"/>
      <c r="J5" s="492"/>
      <c r="K5" s="492"/>
      <c r="L5" s="492"/>
      <c r="M5" s="492"/>
      <c r="N5" s="492"/>
      <c r="O5" s="492"/>
      <c r="P5" s="492"/>
      <c r="Q5" s="492"/>
      <c r="R5" s="492"/>
      <c r="S5" s="492"/>
      <c r="T5" s="492"/>
      <c r="U5" s="492"/>
      <c r="V5" s="492"/>
      <c r="W5" s="492"/>
      <c r="X5" s="492"/>
      <c r="Y5" s="492"/>
      <c r="Z5" s="492"/>
      <c r="AA5" s="492"/>
      <c r="AB5" s="492"/>
      <c r="AC5" s="492"/>
      <c r="AD5" s="492"/>
      <c r="AE5" s="492"/>
      <c r="AF5" s="492"/>
      <c r="AG5" s="492"/>
      <c r="AH5" s="492"/>
      <c r="AI5" s="492"/>
      <c r="AJ5" s="492"/>
      <c r="AK5" s="492"/>
      <c r="AL5" s="492"/>
      <c r="AM5" s="492"/>
      <c r="AN5" s="492"/>
      <c r="AO5" s="492"/>
      <c r="AP5" s="492"/>
      <c r="AQ5" s="492"/>
      <c r="AR5" s="492"/>
      <c r="AS5" s="492"/>
      <c r="AT5" s="492"/>
      <c r="AU5" s="492"/>
      <c r="AV5" s="492"/>
      <c r="AW5" s="492"/>
      <c r="AX5" s="492"/>
      <c r="AY5" s="492"/>
      <c r="AZ5" s="492"/>
      <c r="BA5" s="492"/>
      <c r="BB5" s="492"/>
      <c r="BC5" s="492"/>
      <c r="BD5" s="492"/>
      <c r="BE5" s="492"/>
      <c r="BF5" s="492"/>
      <c r="BG5" s="492"/>
      <c r="BH5" s="492"/>
      <c r="BI5" s="492"/>
      <c r="BJ5" s="492"/>
      <c r="BK5" s="492"/>
      <c r="BL5" s="492"/>
      <c r="BM5" s="492"/>
      <c r="BN5" s="492"/>
      <c r="BO5" s="492"/>
      <c r="BP5" s="492"/>
      <c r="BQ5" s="492"/>
      <c r="BR5" s="492"/>
      <c r="BS5" s="492"/>
      <c r="BT5" s="492"/>
      <c r="BU5" s="492"/>
      <c r="BV5" s="492"/>
      <c r="BW5" s="492"/>
      <c r="BX5" s="492"/>
      <c r="BY5" s="492"/>
      <c r="BZ5" s="492"/>
      <c r="CA5" s="492"/>
      <c r="CB5" s="492"/>
      <c r="CC5" s="492"/>
      <c r="CD5" s="492"/>
      <c r="CE5" s="492"/>
      <c r="CF5" s="492"/>
      <c r="CG5" s="492"/>
      <c r="CH5" s="492"/>
      <c r="CI5" s="492"/>
      <c r="CJ5" s="492"/>
      <c r="CK5" s="492"/>
      <c r="CL5" s="492"/>
      <c r="CM5" s="492"/>
      <c r="CN5" s="492"/>
      <c r="CO5" s="492"/>
      <c r="CP5" s="492"/>
      <c r="CQ5" s="492"/>
      <c r="CR5" s="492"/>
      <c r="CS5" s="492"/>
      <c r="CT5" s="492"/>
      <c r="CU5" s="492"/>
      <c r="CV5" s="492"/>
      <c r="CW5" s="492"/>
      <c r="CX5" s="492"/>
      <c r="CY5" s="492"/>
      <c r="CZ5" s="492"/>
      <c r="DA5" s="492"/>
      <c r="DB5" s="492"/>
      <c r="DC5" s="492"/>
      <c r="DD5" s="492"/>
      <c r="DE5" s="492"/>
      <c r="DF5" s="492"/>
      <c r="DG5" s="492"/>
      <c r="DH5" s="492"/>
      <c r="DI5" s="492"/>
      <c r="DJ5" s="492"/>
      <c r="DK5" s="492"/>
      <c r="DL5" s="492"/>
      <c r="DM5" s="492"/>
      <c r="DN5" s="492"/>
      <c r="DO5" s="492"/>
      <c r="DP5" s="492"/>
      <c r="DQ5" s="492"/>
      <c r="DR5" s="492"/>
      <c r="DS5" s="492"/>
      <c r="DT5" s="492"/>
      <c r="DU5" s="492"/>
      <c r="DV5" s="492"/>
      <c r="DW5" s="492"/>
      <c r="DX5" s="492"/>
      <c r="DY5" s="492"/>
      <c r="DZ5" s="492"/>
      <c r="EA5" s="492"/>
      <c r="EB5" s="492"/>
      <c r="EC5" s="492"/>
      <c r="ED5" s="492"/>
      <c r="EE5" s="492"/>
      <c r="EF5" s="492"/>
      <c r="EG5" s="492"/>
      <c r="EH5" s="492"/>
      <c r="EI5" s="492"/>
      <c r="EJ5" s="492"/>
      <c r="EK5" s="492"/>
      <c r="EL5" s="492"/>
      <c r="EM5" s="492"/>
      <c r="EN5" s="492"/>
      <c r="EO5" s="492"/>
      <c r="EP5" s="492"/>
      <c r="EQ5" s="492"/>
      <c r="ER5" s="492"/>
      <c r="ES5" s="492"/>
      <c r="ET5" s="492"/>
      <c r="EU5" s="492"/>
      <c r="EV5" s="492"/>
      <c r="EW5" s="492"/>
      <c r="EX5" s="492"/>
      <c r="EY5" s="492"/>
      <c r="EZ5" s="492"/>
      <c r="FA5" s="493"/>
      <c r="FB5" s="104"/>
    </row>
    <row r="6" spans="1:159" ht="30.75" customHeight="1" thickBot="1" x14ac:dyDescent="0.3">
      <c r="A6" s="211"/>
      <c r="B6" s="211"/>
      <c r="C6" s="211"/>
      <c r="D6" s="16"/>
      <c r="E6" s="16"/>
      <c r="F6" s="17"/>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37"/>
      <c r="BB6" s="137">
        <f>BA25-BB25</f>
        <v>0</v>
      </c>
      <c r="BC6" s="137"/>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c r="CN6" s="18"/>
      <c r="CO6" s="18"/>
      <c r="CP6" s="18"/>
      <c r="CQ6" s="18"/>
      <c r="CR6" s="18"/>
      <c r="CS6" s="18"/>
      <c r="CT6" s="18"/>
      <c r="CU6" s="18"/>
      <c r="CV6" s="18"/>
      <c r="CW6" s="18"/>
      <c r="CX6" s="18"/>
      <c r="CY6" s="18"/>
      <c r="CZ6" s="18"/>
      <c r="DA6" s="18"/>
      <c r="DB6" s="18"/>
      <c r="DC6" s="18"/>
      <c r="DD6" s="18"/>
      <c r="DE6" s="18"/>
      <c r="DF6" s="18"/>
      <c r="DG6" s="18"/>
      <c r="DH6" s="18"/>
      <c r="DI6" s="18"/>
      <c r="DJ6" s="18"/>
      <c r="DK6" s="18"/>
      <c r="DL6" s="18"/>
      <c r="DM6" s="18"/>
      <c r="DN6" s="18"/>
      <c r="DO6" s="18"/>
      <c r="DP6" s="18"/>
      <c r="DQ6" s="18"/>
      <c r="DR6" s="18"/>
      <c r="DS6" s="18"/>
      <c r="DT6" s="18"/>
      <c r="DU6" s="18"/>
      <c r="DV6" s="18"/>
      <c r="DW6" s="18"/>
      <c r="DX6" s="18"/>
      <c r="DY6" s="18"/>
      <c r="DZ6" s="18"/>
      <c r="EA6" s="18"/>
      <c r="EB6" s="18"/>
      <c r="EC6" s="18"/>
      <c r="ED6" s="18"/>
      <c r="EE6" s="18"/>
      <c r="EF6" s="18"/>
      <c r="EG6" s="18"/>
      <c r="EH6" s="18"/>
      <c r="EI6" s="18"/>
      <c r="EJ6" s="18"/>
      <c r="EK6" s="18"/>
      <c r="EL6" s="18"/>
      <c r="EM6" s="18"/>
      <c r="EN6" s="18"/>
      <c r="EO6" s="18"/>
      <c r="EP6" s="18"/>
      <c r="EQ6" s="18"/>
      <c r="ER6" s="19"/>
      <c r="ES6" s="19"/>
      <c r="ET6" s="2"/>
      <c r="EU6" s="2"/>
      <c r="EV6" s="2"/>
      <c r="EW6" s="194"/>
      <c r="EX6" s="2"/>
      <c r="EY6" s="2"/>
      <c r="EZ6" s="2"/>
      <c r="FA6" s="2"/>
    </row>
    <row r="7" spans="1:159" s="204" customFormat="1" ht="30.75" customHeight="1" x14ac:dyDescent="0.25">
      <c r="A7" s="481" t="s">
        <v>88</v>
      </c>
      <c r="B7" s="468"/>
      <c r="C7" s="468"/>
      <c r="D7" s="468"/>
      <c r="E7" s="468"/>
      <c r="F7" s="468"/>
      <c r="G7" s="468"/>
      <c r="H7" s="488" t="s">
        <v>227</v>
      </c>
      <c r="I7" s="488"/>
      <c r="J7" s="488"/>
      <c r="K7" s="488"/>
      <c r="L7" s="488"/>
      <c r="M7" s="488"/>
      <c r="N7" s="488"/>
      <c r="O7" s="488"/>
      <c r="P7" s="488"/>
      <c r="Q7" s="488"/>
      <c r="R7" s="488"/>
      <c r="S7" s="488"/>
      <c r="T7" s="488"/>
      <c r="U7" s="488"/>
      <c r="V7" s="488"/>
      <c r="W7" s="488"/>
      <c r="X7" s="488"/>
      <c r="Y7" s="488"/>
      <c r="Z7" s="488"/>
      <c r="AA7" s="488"/>
      <c r="AB7" s="488"/>
      <c r="AC7" s="488"/>
      <c r="AD7" s="488"/>
      <c r="AE7" s="488"/>
      <c r="AF7" s="488"/>
      <c r="AG7" s="488"/>
      <c r="AH7" s="488"/>
      <c r="AI7" s="488"/>
      <c r="AJ7" s="488"/>
      <c r="AK7" s="488"/>
      <c r="AL7" s="488"/>
      <c r="AM7" s="488"/>
      <c r="AN7" s="488"/>
      <c r="AO7" s="488"/>
      <c r="AP7" s="488"/>
      <c r="AQ7" s="488"/>
      <c r="AR7" s="488"/>
      <c r="AS7" s="488"/>
      <c r="AT7" s="488"/>
      <c r="AU7" s="488"/>
      <c r="AV7" s="488"/>
      <c r="AW7" s="488"/>
      <c r="AX7" s="488"/>
      <c r="AY7" s="488"/>
      <c r="AZ7" s="488"/>
      <c r="BA7" s="488"/>
      <c r="BB7" s="488"/>
      <c r="BC7" s="488"/>
      <c r="BD7" s="488"/>
      <c r="BE7" s="488"/>
      <c r="BF7" s="488"/>
      <c r="BG7" s="488"/>
      <c r="BH7" s="488"/>
      <c r="BI7" s="488"/>
      <c r="BJ7" s="488"/>
      <c r="BK7" s="488"/>
      <c r="BL7" s="488"/>
      <c r="BM7" s="488"/>
      <c r="BN7" s="488"/>
      <c r="BO7" s="488"/>
      <c r="BP7" s="488"/>
      <c r="BQ7" s="488"/>
      <c r="BR7" s="488"/>
      <c r="BS7" s="488"/>
      <c r="BT7" s="488"/>
      <c r="BU7" s="488"/>
      <c r="BV7" s="488"/>
      <c r="BW7" s="488"/>
      <c r="BX7" s="488"/>
      <c r="BY7" s="488"/>
      <c r="BZ7" s="488"/>
      <c r="CA7" s="488"/>
      <c r="CB7" s="488"/>
      <c r="CC7" s="488"/>
      <c r="CD7" s="488"/>
      <c r="CE7" s="488"/>
      <c r="CF7" s="488"/>
      <c r="CG7" s="488"/>
      <c r="CH7" s="488"/>
      <c r="CI7" s="488"/>
      <c r="CJ7" s="488"/>
      <c r="CK7" s="488"/>
      <c r="CL7" s="488"/>
      <c r="CM7" s="488"/>
      <c r="CN7" s="488"/>
      <c r="CO7" s="488"/>
      <c r="CP7" s="488"/>
      <c r="CQ7" s="488"/>
      <c r="CR7" s="488"/>
      <c r="CS7" s="488"/>
      <c r="CT7" s="488"/>
      <c r="CU7" s="488"/>
      <c r="CV7" s="488"/>
      <c r="CW7" s="488"/>
      <c r="CX7" s="488"/>
      <c r="CY7" s="488"/>
      <c r="CZ7" s="488"/>
      <c r="DA7" s="488"/>
      <c r="DB7" s="488"/>
      <c r="DC7" s="488"/>
      <c r="DD7" s="488"/>
      <c r="DE7" s="488"/>
      <c r="DF7" s="488"/>
      <c r="DG7" s="488"/>
      <c r="DH7" s="488"/>
      <c r="DI7" s="488"/>
      <c r="DJ7" s="488"/>
      <c r="DK7" s="488"/>
      <c r="DL7" s="488"/>
      <c r="DM7" s="488"/>
      <c r="DN7" s="488"/>
      <c r="DO7" s="488"/>
      <c r="DP7" s="488"/>
      <c r="DQ7" s="488"/>
      <c r="DR7" s="488"/>
      <c r="DS7" s="488"/>
      <c r="DT7" s="488"/>
      <c r="DU7" s="488"/>
      <c r="DV7" s="488"/>
      <c r="DW7" s="488"/>
      <c r="DX7" s="488"/>
      <c r="DY7" s="488"/>
      <c r="DZ7" s="488"/>
      <c r="EA7" s="488"/>
      <c r="EB7" s="488"/>
      <c r="EC7" s="488"/>
      <c r="ED7" s="488"/>
      <c r="EE7" s="488"/>
      <c r="EF7" s="488"/>
      <c r="EG7" s="488"/>
      <c r="EH7" s="488"/>
      <c r="EI7" s="488"/>
      <c r="EJ7" s="488"/>
      <c r="EK7" s="488"/>
      <c r="EL7" s="488"/>
      <c r="EM7" s="488"/>
      <c r="EN7" s="488"/>
      <c r="EO7" s="488"/>
      <c r="EP7" s="488"/>
      <c r="EQ7" s="488"/>
      <c r="ER7" s="416" t="s">
        <v>220</v>
      </c>
      <c r="ES7" s="416" t="s">
        <v>221</v>
      </c>
      <c r="ET7" s="507" t="s">
        <v>222</v>
      </c>
      <c r="EU7" s="420" t="s">
        <v>587</v>
      </c>
      <c r="EV7" s="502" t="s">
        <v>244</v>
      </c>
      <c r="EW7" s="468" t="s">
        <v>245</v>
      </c>
      <c r="EX7" s="468" t="s">
        <v>246</v>
      </c>
      <c r="EY7" s="468" t="s">
        <v>247</v>
      </c>
      <c r="EZ7" s="468" t="s">
        <v>249</v>
      </c>
      <c r="FA7" s="497" t="s">
        <v>248</v>
      </c>
    </row>
    <row r="8" spans="1:159" s="204" customFormat="1" ht="30.75" customHeight="1" thickBot="1" x14ac:dyDescent="0.3">
      <c r="A8" s="482"/>
      <c r="B8" s="469"/>
      <c r="C8" s="469"/>
      <c r="D8" s="469"/>
      <c r="E8" s="469"/>
      <c r="F8" s="469"/>
      <c r="G8" s="469"/>
      <c r="H8" s="489" t="s">
        <v>64</v>
      </c>
      <c r="I8" s="489"/>
      <c r="J8" s="489"/>
      <c r="K8" s="489"/>
      <c r="L8" s="489"/>
      <c r="M8" s="489"/>
      <c r="N8" s="489"/>
      <c r="O8" s="489"/>
      <c r="P8" s="489"/>
      <c r="Q8" s="489"/>
      <c r="R8" s="489"/>
      <c r="S8" s="489"/>
      <c r="T8" s="489"/>
      <c r="U8" s="489"/>
      <c r="V8" s="489"/>
      <c r="W8" s="489"/>
      <c r="X8" s="489"/>
      <c r="Y8" s="489"/>
      <c r="Z8" s="489"/>
      <c r="AA8" s="489"/>
      <c r="AB8" s="489" t="s">
        <v>520</v>
      </c>
      <c r="AC8" s="489"/>
      <c r="AD8" s="489"/>
      <c r="AE8" s="489"/>
      <c r="AF8" s="489"/>
      <c r="AG8" s="489"/>
      <c r="AH8" s="489"/>
      <c r="AI8" s="489"/>
      <c r="AJ8" s="489"/>
      <c r="AK8" s="489"/>
      <c r="AL8" s="489"/>
      <c r="AM8" s="489"/>
      <c r="AN8" s="489"/>
      <c r="AO8" s="489"/>
      <c r="AP8" s="489"/>
      <c r="AQ8" s="489"/>
      <c r="AR8" s="489"/>
      <c r="AS8" s="489"/>
      <c r="AT8" s="489"/>
      <c r="AU8" s="489"/>
      <c r="AV8" s="489"/>
      <c r="AW8" s="489"/>
      <c r="AX8" s="489"/>
      <c r="AY8" s="489"/>
      <c r="AZ8" s="489"/>
      <c r="BA8" s="489"/>
      <c r="BB8" s="489"/>
      <c r="BC8" s="489"/>
      <c r="BD8" s="489"/>
      <c r="BE8" s="489"/>
      <c r="BF8" s="489" t="s">
        <v>61</v>
      </c>
      <c r="BG8" s="489"/>
      <c r="BH8" s="489"/>
      <c r="BI8" s="489"/>
      <c r="BJ8" s="489"/>
      <c r="BK8" s="489"/>
      <c r="BL8" s="489"/>
      <c r="BM8" s="489"/>
      <c r="BN8" s="489"/>
      <c r="BO8" s="489"/>
      <c r="BP8" s="489"/>
      <c r="BQ8" s="489"/>
      <c r="BR8" s="489"/>
      <c r="BS8" s="489"/>
      <c r="BT8" s="489"/>
      <c r="BU8" s="489"/>
      <c r="BV8" s="489"/>
      <c r="BW8" s="489"/>
      <c r="BX8" s="489"/>
      <c r="BY8" s="489"/>
      <c r="BZ8" s="489"/>
      <c r="CA8" s="489"/>
      <c r="CB8" s="489"/>
      <c r="CC8" s="489"/>
      <c r="CD8" s="489"/>
      <c r="CE8" s="489"/>
      <c r="CF8" s="489"/>
      <c r="CG8" s="489"/>
      <c r="CH8" s="489"/>
      <c r="CI8" s="489"/>
      <c r="CJ8" s="489" t="s">
        <v>62</v>
      </c>
      <c r="CK8" s="489"/>
      <c r="CL8" s="489"/>
      <c r="CM8" s="489"/>
      <c r="CN8" s="489"/>
      <c r="CO8" s="489"/>
      <c r="CP8" s="489"/>
      <c r="CQ8" s="489"/>
      <c r="CR8" s="489"/>
      <c r="CS8" s="489"/>
      <c r="CT8" s="489"/>
      <c r="CU8" s="489"/>
      <c r="CV8" s="489"/>
      <c r="CW8" s="489"/>
      <c r="CX8" s="489"/>
      <c r="CY8" s="489"/>
      <c r="CZ8" s="489"/>
      <c r="DA8" s="489"/>
      <c r="DB8" s="489"/>
      <c r="DC8" s="489"/>
      <c r="DD8" s="489"/>
      <c r="DE8" s="489"/>
      <c r="DF8" s="489"/>
      <c r="DG8" s="489"/>
      <c r="DH8" s="489"/>
      <c r="DI8" s="489"/>
      <c r="DJ8" s="489"/>
      <c r="DK8" s="489"/>
      <c r="DL8" s="489"/>
      <c r="DM8" s="489"/>
      <c r="DN8" s="489" t="s">
        <v>63</v>
      </c>
      <c r="DO8" s="489"/>
      <c r="DP8" s="489"/>
      <c r="DQ8" s="489"/>
      <c r="DR8" s="489"/>
      <c r="DS8" s="489"/>
      <c r="DT8" s="489"/>
      <c r="DU8" s="489"/>
      <c r="DV8" s="489"/>
      <c r="DW8" s="489"/>
      <c r="DX8" s="489"/>
      <c r="DY8" s="489"/>
      <c r="DZ8" s="489"/>
      <c r="EA8" s="489"/>
      <c r="EB8" s="489"/>
      <c r="EC8" s="489"/>
      <c r="ED8" s="489"/>
      <c r="EE8" s="489"/>
      <c r="EF8" s="489"/>
      <c r="EG8" s="489"/>
      <c r="EH8" s="489"/>
      <c r="EI8" s="489"/>
      <c r="EJ8" s="489"/>
      <c r="EK8" s="489"/>
      <c r="EL8" s="489"/>
      <c r="EM8" s="489"/>
      <c r="EN8" s="489"/>
      <c r="EO8" s="489"/>
      <c r="EP8" s="489"/>
      <c r="EQ8" s="489"/>
      <c r="ER8" s="417"/>
      <c r="ES8" s="417"/>
      <c r="ET8" s="508"/>
      <c r="EU8" s="421"/>
      <c r="EV8" s="503"/>
      <c r="EW8" s="469"/>
      <c r="EX8" s="469"/>
      <c r="EY8" s="469"/>
      <c r="EZ8" s="469"/>
      <c r="FA8" s="498"/>
    </row>
    <row r="9" spans="1:159" s="204" customFormat="1" ht="78.75" customHeight="1" thickBot="1" x14ac:dyDescent="0.3">
      <c r="A9" s="243" t="s">
        <v>81</v>
      </c>
      <c r="B9" s="244" t="s">
        <v>82</v>
      </c>
      <c r="C9" s="244" t="s">
        <v>83</v>
      </c>
      <c r="D9" s="244" t="s">
        <v>84</v>
      </c>
      <c r="E9" s="244" t="s">
        <v>85</v>
      </c>
      <c r="F9" s="396" t="s">
        <v>86</v>
      </c>
      <c r="G9" s="397" t="s">
        <v>87</v>
      </c>
      <c r="H9" s="398" t="s">
        <v>279</v>
      </c>
      <c r="I9" s="399" t="s">
        <v>280</v>
      </c>
      <c r="J9" s="396" t="s">
        <v>281</v>
      </c>
      <c r="K9" s="399" t="s">
        <v>282</v>
      </c>
      <c r="L9" s="396" t="s">
        <v>283</v>
      </c>
      <c r="M9" s="399" t="s">
        <v>284</v>
      </c>
      <c r="N9" s="396" t="s">
        <v>285</v>
      </c>
      <c r="O9" s="399" t="s">
        <v>286</v>
      </c>
      <c r="P9" s="396" t="s">
        <v>287</v>
      </c>
      <c r="Q9" s="399" t="s">
        <v>288</v>
      </c>
      <c r="R9" s="396" t="s">
        <v>289</v>
      </c>
      <c r="S9" s="399" t="s">
        <v>290</v>
      </c>
      <c r="T9" s="396" t="s">
        <v>291</v>
      </c>
      <c r="U9" s="399" t="s">
        <v>292</v>
      </c>
      <c r="V9" s="396" t="s">
        <v>293</v>
      </c>
      <c r="W9" s="397" t="s">
        <v>217</v>
      </c>
      <c r="X9" s="400" t="s">
        <v>250</v>
      </c>
      <c r="Y9" s="396" t="s">
        <v>251</v>
      </c>
      <c r="Z9" s="399" t="s">
        <v>252</v>
      </c>
      <c r="AA9" s="396" t="s">
        <v>253</v>
      </c>
      <c r="AB9" s="398" t="s">
        <v>279</v>
      </c>
      <c r="AC9" s="399" t="s">
        <v>294</v>
      </c>
      <c r="AD9" s="396" t="s">
        <v>295</v>
      </c>
      <c r="AE9" s="399" t="s">
        <v>296</v>
      </c>
      <c r="AF9" s="396" t="s">
        <v>297</v>
      </c>
      <c r="AG9" s="399" t="s">
        <v>298</v>
      </c>
      <c r="AH9" s="396" t="s">
        <v>299</v>
      </c>
      <c r="AI9" s="399" t="s">
        <v>300</v>
      </c>
      <c r="AJ9" s="396" t="s">
        <v>301</v>
      </c>
      <c r="AK9" s="399" t="s">
        <v>302</v>
      </c>
      <c r="AL9" s="396" t="s">
        <v>303</v>
      </c>
      <c r="AM9" s="399" t="s">
        <v>280</v>
      </c>
      <c r="AN9" s="396" t="s">
        <v>281</v>
      </c>
      <c r="AO9" s="399" t="s">
        <v>282</v>
      </c>
      <c r="AP9" s="396" t="s">
        <v>283</v>
      </c>
      <c r="AQ9" s="399" t="s">
        <v>284</v>
      </c>
      <c r="AR9" s="396" t="s">
        <v>285</v>
      </c>
      <c r="AS9" s="399" t="s">
        <v>286</v>
      </c>
      <c r="AT9" s="396" t="s">
        <v>287</v>
      </c>
      <c r="AU9" s="399" t="s">
        <v>288</v>
      </c>
      <c r="AV9" s="396" t="s">
        <v>289</v>
      </c>
      <c r="AW9" s="399" t="s">
        <v>290</v>
      </c>
      <c r="AX9" s="396" t="s">
        <v>291</v>
      </c>
      <c r="AY9" s="399" t="s">
        <v>292</v>
      </c>
      <c r="AZ9" s="396" t="s">
        <v>293</v>
      </c>
      <c r="BA9" s="397" t="s">
        <v>217</v>
      </c>
      <c r="BB9" s="400" t="s">
        <v>518</v>
      </c>
      <c r="BC9" s="396" t="s">
        <v>517</v>
      </c>
      <c r="BD9" s="399" t="s">
        <v>516</v>
      </c>
      <c r="BE9" s="396" t="s">
        <v>515</v>
      </c>
      <c r="BF9" s="398" t="s">
        <v>279</v>
      </c>
      <c r="BG9" s="399" t="s">
        <v>294</v>
      </c>
      <c r="BH9" s="396" t="s">
        <v>295</v>
      </c>
      <c r="BI9" s="399" t="s">
        <v>296</v>
      </c>
      <c r="BJ9" s="396" t="s">
        <v>297</v>
      </c>
      <c r="BK9" s="399" t="s">
        <v>298</v>
      </c>
      <c r="BL9" s="396" t="s">
        <v>299</v>
      </c>
      <c r="BM9" s="399" t="s">
        <v>300</v>
      </c>
      <c r="BN9" s="396" t="s">
        <v>301</v>
      </c>
      <c r="BO9" s="399" t="s">
        <v>302</v>
      </c>
      <c r="BP9" s="396" t="s">
        <v>303</v>
      </c>
      <c r="BQ9" s="399" t="s">
        <v>280</v>
      </c>
      <c r="BR9" s="396" t="s">
        <v>281</v>
      </c>
      <c r="BS9" s="399" t="s">
        <v>282</v>
      </c>
      <c r="BT9" s="396" t="s">
        <v>283</v>
      </c>
      <c r="BU9" s="399" t="s">
        <v>284</v>
      </c>
      <c r="BV9" s="396" t="s">
        <v>285</v>
      </c>
      <c r="BW9" s="399" t="s">
        <v>286</v>
      </c>
      <c r="BX9" s="396" t="s">
        <v>287</v>
      </c>
      <c r="BY9" s="399" t="s">
        <v>288</v>
      </c>
      <c r="BZ9" s="396" t="s">
        <v>289</v>
      </c>
      <c r="CA9" s="399" t="s">
        <v>290</v>
      </c>
      <c r="CB9" s="396" t="s">
        <v>291</v>
      </c>
      <c r="CC9" s="399" t="s">
        <v>292</v>
      </c>
      <c r="CD9" s="396" t="s">
        <v>293</v>
      </c>
      <c r="CE9" s="401" t="s">
        <v>217</v>
      </c>
      <c r="CF9" s="402" t="s">
        <v>223</v>
      </c>
      <c r="CG9" s="403" t="s">
        <v>224</v>
      </c>
      <c r="CH9" s="404" t="s">
        <v>225</v>
      </c>
      <c r="CI9" s="403" t="s">
        <v>226</v>
      </c>
      <c r="CJ9" s="398" t="s">
        <v>279</v>
      </c>
      <c r="CK9" s="399" t="s">
        <v>294</v>
      </c>
      <c r="CL9" s="396" t="s">
        <v>295</v>
      </c>
      <c r="CM9" s="399" t="s">
        <v>296</v>
      </c>
      <c r="CN9" s="396" t="s">
        <v>297</v>
      </c>
      <c r="CO9" s="399" t="s">
        <v>298</v>
      </c>
      <c r="CP9" s="396" t="s">
        <v>299</v>
      </c>
      <c r="CQ9" s="399" t="s">
        <v>300</v>
      </c>
      <c r="CR9" s="396" t="s">
        <v>301</v>
      </c>
      <c r="CS9" s="399" t="s">
        <v>302</v>
      </c>
      <c r="CT9" s="396" t="s">
        <v>303</v>
      </c>
      <c r="CU9" s="399" t="s">
        <v>280</v>
      </c>
      <c r="CV9" s="396" t="s">
        <v>281</v>
      </c>
      <c r="CW9" s="399" t="s">
        <v>282</v>
      </c>
      <c r="CX9" s="396" t="s">
        <v>283</v>
      </c>
      <c r="CY9" s="399" t="s">
        <v>284</v>
      </c>
      <c r="CZ9" s="396" t="s">
        <v>285</v>
      </c>
      <c r="DA9" s="399" t="s">
        <v>286</v>
      </c>
      <c r="DB9" s="396" t="s">
        <v>287</v>
      </c>
      <c r="DC9" s="399" t="s">
        <v>288</v>
      </c>
      <c r="DD9" s="396" t="s">
        <v>289</v>
      </c>
      <c r="DE9" s="399" t="s">
        <v>290</v>
      </c>
      <c r="DF9" s="396" t="s">
        <v>291</v>
      </c>
      <c r="DG9" s="399" t="s">
        <v>292</v>
      </c>
      <c r="DH9" s="396" t="s">
        <v>293</v>
      </c>
      <c r="DI9" s="397" t="s">
        <v>217</v>
      </c>
      <c r="DJ9" s="400" t="s">
        <v>229</v>
      </c>
      <c r="DK9" s="396" t="s">
        <v>230</v>
      </c>
      <c r="DL9" s="400" t="s">
        <v>231</v>
      </c>
      <c r="DM9" s="396" t="s">
        <v>232</v>
      </c>
      <c r="DN9" s="398" t="s">
        <v>279</v>
      </c>
      <c r="DO9" s="399" t="s">
        <v>294</v>
      </c>
      <c r="DP9" s="396" t="s">
        <v>295</v>
      </c>
      <c r="DQ9" s="399" t="s">
        <v>296</v>
      </c>
      <c r="DR9" s="396" t="s">
        <v>297</v>
      </c>
      <c r="DS9" s="399" t="s">
        <v>298</v>
      </c>
      <c r="DT9" s="396" t="s">
        <v>299</v>
      </c>
      <c r="DU9" s="399" t="s">
        <v>300</v>
      </c>
      <c r="DV9" s="396" t="s">
        <v>301</v>
      </c>
      <c r="DW9" s="399" t="s">
        <v>302</v>
      </c>
      <c r="DX9" s="396" t="s">
        <v>303</v>
      </c>
      <c r="DY9" s="399" t="s">
        <v>280</v>
      </c>
      <c r="DZ9" s="396" t="s">
        <v>281</v>
      </c>
      <c r="EA9" s="399" t="s">
        <v>282</v>
      </c>
      <c r="EB9" s="396" t="s">
        <v>283</v>
      </c>
      <c r="EC9" s="399" t="s">
        <v>284</v>
      </c>
      <c r="ED9" s="396" t="s">
        <v>285</v>
      </c>
      <c r="EE9" s="399" t="s">
        <v>286</v>
      </c>
      <c r="EF9" s="396" t="s">
        <v>287</v>
      </c>
      <c r="EG9" s="399" t="s">
        <v>288</v>
      </c>
      <c r="EH9" s="396" t="s">
        <v>289</v>
      </c>
      <c r="EI9" s="399" t="s">
        <v>290</v>
      </c>
      <c r="EJ9" s="396" t="s">
        <v>291</v>
      </c>
      <c r="EK9" s="399" t="s">
        <v>292</v>
      </c>
      <c r="EL9" s="396" t="s">
        <v>293</v>
      </c>
      <c r="EM9" s="397" t="s">
        <v>217</v>
      </c>
      <c r="EN9" s="400" t="s">
        <v>233</v>
      </c>
      <c r="EO9" s="396" t="s">
        <v>234</v>
      </c>
      <c r="EP9" s="400" t="s">
        <v>235</v>
      </c>
      <c r="EQ9" s="396" t="s">
        <v>236</v>
      </c>
      <c r="ER9" s="500"/>
      <c r="ES9" s="500"/>
      <c r="ET9" s="509"/>
      <c r="EU9" s="501"/>
      <c r="EV9" s="504"/>
      <c r="EW9" s="470"/>
      <c r="EX9" s="470"/>
      <c r="EY9" s="470"/>
      <c r="EZ9" s="470"/>
      <c r="FA9" s="499"/>
    </row>
    <row r="10" spans="1:159" s="109" customFormat="1" ht="30.75" customHeight="1" x14ac:dyDescent="0.25">
      <c r="A10" s="452" t="s">
        <v>304</v>
      </c>
      <c r="B10" s="452">
        <v>1</v>
      </c>
      <c r="C10" s="452" t="s">
        <v>308</v>
      </c>
      <c r="D10" s="452" t="s">
        <v>271</v>
      </c>
      <c r="E10" s="452">
        <v>272</v>
      </c>
      <c r="F10" s="394" t="s">
        <v>40</v>
      </c>
      <c r="G10" s="280">
        <v>1</v>
      </c>
      <c r="H10" s="220">
        <v>1</v>
      </c>
      <c r="I10" s="327"/>
      <c r="J10" s="327"/>
      <c r="K10" s="327"/>
      <c r="L10" s="327"/>
      <c r="M10" s="327"/>
      <c r="N10" s="326"/>
      <c r="O10" s="327"/>
      <c r="P10" s="326"/>
      <c r="Q10" s="327"/>
      <c r="R10" s="395"/>
      <c r="S10" s="327"/>
      <c r="T10" s="326"/>
      <c r="U10" s="327"/>
      <c r="V10" s="327"/>
      <c r="W10" s="346">
        <v>1</v>
      </c>
      <c r="X10" s="346">
        <v>1</v>
      </c>
      <c r="Y10" s="346">
        <v>1</v>
      </c>
      <c r="Z10" s="346">
        <v>1</v>
      </c>
      <c r="AA10" s="346">
        <v>1</v>
      </c>
      <c r="AB10" s="346">
        <v>1</v>
      </c>
      <c r="AC10" s="346">
        <v>1</v>
      </c>
      <c r="AD10" s="346">
        <v>0.86</v>
      </c>
      <c r="AE10" s="346">
        <v>1</v>
      </c>
      <c r="AF10" s="346">
        <v>0.75</v>
      </c>
      <c r="AG10" s="346">
        <v>1</v>
      </c>
      <c r="AH10" s="346">
        <v>0.8</v>
      </c>
      <c r="AI10" s="346">
        <v>1</v>
      </c>
      <c r="AJ10" s="346">
        <v>1</v>
      </c>
      <c r="AK10" s="346">
        <v>1</v>
      </c>
      <c r="AL10" s="346">
        <v>1</v>
      </c>
      <c r="AM10" s="346">
        <v>1</v>
      </c>
      <c r="AN10" s="346">
        <v>1</v>
      </c>
      <c r="AO10" s="346">
        <v>1</v>
      </c>
      <c r="AP10" s="346">
        <v>0.95</v>
      </c>
      <c r="AQ10" s="346">
        <v>1</v>
      </c>
      <c r="AR10" s="346">
        <v>0.95</v>
      </c>
      <c r="AS10" s="346">
        <v>1</v>
      </c>
      <c r="AT10" s="346">
        <v>0.98</v>
      </c>
      <c r="AU10" s="346">
        <v>1</v>
      </c>
      <c r="AV10" s="346">
        <v>1</v>
      </c>
      <c r="AW10" s="346">
        <v>1</v>
      </c>
      <c r="AX10" s="346">
        <v>1</v>
      </c>
      <c r="AY10" s="346">
        <v>1</v>
      </c>
      <c r="AZ10" s="346">
        <v>1</v>
      </c>
      <c r="BA10" s="346">
        <f>+AB10</f>
        <v>1</v>
      </c>
      <c r="BB10" s="346">
        <f>+AY10</f>
        <v>1</v>
      </c>
      <c r="BC10" s="346">
        <f>+AZ10</f>
        <v>1</v>
      </c>
      <c r="BD10" s="346">
        <f>+G10</f>
        <v>1</v>
      </c>
      <c r="BE10" s="346">
        <f>+AZ10</f>
        <v>1</v>
      </c>
      <c r="BF10" s="346">
        <v>1</v>
      </c>
      <c r="BG10" s="346">
        <v>1</v>
      </c>
      <c r="BH10" s="346">
        <v>1</v>
      </c>
      <c r="BI10" s="346">
        <v>1</v>
      </c>
      <c r="BJ10" s="346">
        <v>1</v>
      </c>
      <c r="BK10" s="346">
        <v>1</v>
      </c>
      <c r="BL10" s="346">
        <v>1</v>
      </c>
      <c r="BM10" s="346">
        <v>1</v>
      </c>
      <c r="BN10" s="346">
        <v>1</v>
      </c>
      <c r="BO10" s="346">
        <v>1</v>
      </c>
      <c r="BP10" s="346">
        <v>1</v>
      </c>
      <c r="BQ10" s="346">
        <v>1</v>
      </c>
      <c r="BR10" s="346">
        <v>1</v>
      </c>
      <c r="BS10" s="346">
        <v>1</v>
      </c>
      <c r="BT10" s="346">
        <v>1</v>
      </c>
      <c r="BU10" s="346">
        <v>1</v>
      </c>
      <c r="BV10" s="346">
        <v>1</v>
      </c>
      <c r="BW10" s="346">
        <v>1</v>
      </c>
      <c r="BX10" s="346">
        <v>1</v>
      </c>
      <c r="BY10" s="346">
        <v>1</v>
      </c>
      <c r="BZ10" s="327"/>
      <c r="CA10" s="346">
        <v>1</v>
      </c>
      <c r="CB10" s="327"/>
      <c r="CC10" s="346">
        <v>1</v>
      </c>
      <c r="CD10" s="327"/>
      <c r="CE10" s="346">
        <f>+BW10</f>
        <v>1</v>
      </c>
      <c r="CF10" s="346">
        <f>+BW10</f>
        <v>1</v>
      </c>
      <c r="CG10" s="346">
        <f>+BX10</f>
        <v>1</v>
      </c>
      <c r="CH10" s="346">
        <f>+BW10</f>
        <v>1</v>
      </c>
      <c r="CI10" s="346">
        <f>+BX10</f>
        <v>1</v>
      </c>
      <c r="CJ10" s="220">
        <v>1</v>
      </c>
      <c r="CK10" s="370"/>
      <c r="CL10" s="370"/>
      <c r="CM10" s="370"/>
      <c r="CN10" s="370"/>
      <c r="CO10" s="370"/>
      <c r="CP10" s="370"/>
      <c r="CQ10" s="370"/>
      <c r="CR10" s="370"/>
      <c r="CS10" s="370"/>
      <c r="CT10" s="370"/>
      <c r="CU10" s="370"/>
      <c r="CV10" s="370"/>
      <c r="CW10" s="370"/>
      <c r="CX10" s="370"/>
      <c r="CY10" s="370"/>
      <c r="CZ10" s="370"/>
      <c r="DA10" s="370"/>
      <c r="DB10" s="370"/>
      <c r="DC10" s="370"/>
      <c r="DD10" s="370"/>
      <c r="DE10" s="370"/>
      <c r="DF10" s="370"/>
      <c r="DG10" s="370"/>
      <c r="DH10" s="370"/>
      <c r="DI10" s="370">
        <f>DG10+DE10+DC10+DA10+CY10+CW10+CU10+CS10+CQ10+CO10+CM10+CK10</f>
        <v>0</v>
      </c>
      <c r="DJ10" s="370">
        <f t="shared" ref="DJ10:DK15" si="0">CK10+CM10+CO10+CQ10</f>
        <v>0</v>
      </c>
      <c r="DK10" s="370">
        <f t="shared" si="0"/>
        <v>0</v>
      </c>
      <c r="DL10" s="328">
        <f>CM10+CO10+CQ10+CS10+CU10+CW10+CY10+DA10+DC10+DE10+DG10+CK10</f>
        <v>0</v>
      </c>
      <c r="DM10" s="370">
        <f>CL10+CN10+CP10+CR10</f>
        <v>0</v>
      </c>
      <c r="DN10" s="220">
        <v>1</v>
      </c>
      <c r="DO10" s="326"/>
      <c r="DP10" s="326"/>
      <c r="DQ10" s="326"/>
      <c r="DR10" s="326"/>
      <c r="DS10" s="326"/>
      <c r="DT10" s="326"/>
      <c r="DU10" s="326"/>
      <c r="DV10" s="326"/>
      <c r="DW10" s="326"/>
      <c r="DX10" s="326"/>
      <c r="DY10" s="326"/>
      <c r="DZ10" s="326"/>
      <c r="EA10" s="326"/>
      <c r="EB10" s="326"/>
      <c r="EC10" s="326"/>
      <c r="ED10" s="326"/>
      <c r="EE10" s="326"/>
      <c r="EF10" s="326"/>
      <c r="EG10" s="327"/>
      <c r="EH10" s="327"/>
      <c r="EI10" s="327"/>
      <c r="EJ10" s="327"/>
      <c r="EK10" s="327"/>
      <c r="EL10" s="327"/>
      <c r="EM10" s="327">
        <f>EK10+EI10+EG10+EE10+EC10+EA10+DY10+DW10+DU10+DS10+DQ10+DO10</f>
        <v>0</v>
      </c>
      <c r="EN10" s="327">
        <f t="shared" ref="EN10:EN15" si="1">DO10+DQ10+DS10+DU10</f>
        <v>0</v>
      </c>
      <c r="EO10" s="327">
        <f t="shared" ref="EO10:EO15" si="2">DP10+DR10+DT10+DV10</f>
        <v>0</v>
      </c>
      <c r="EP10" s="328">
        <f>DQ10+DS10+DU10+DW10+DY10+EA10+EC10+EE10+EG10+EI10+EK10+DO10</f>
        <v>0</v>
      </c>
      <c r="EQ10" s="327">
        <f>DP10+DR10+DT10+DV10</f>
        <v>0</v>
      </c>
      <c r="ER10" s="329">
        <f>+BX10/BW10</f>
        <v>1</v>
      </c>
      <c r="ES10" s="295">
        <f>+CG10/CF10</f>
        <v>1</v>
      </c>
      <c r="ET10" s="296">
        <f>+CI10/CH10</f>
        <v>1</v>
      </c>
      <c r="EU10" s="297">
        <f>(AA10+BE10+CG10)/(Z10+BD10+CF10)</f>
        <v>1</v>
      </c>
      <c r="EV10" s="296">
        <f>+(AA10+BE10+CI10)/500%</f>
        <v>0.6</v>
      </c>
      <c r="EW10" s="471" t="s">
        <v>684</v>
      </c>
      <c r="EX10" s="457" t="s">
        <v>606</v>
      </c>
      <c r="EY10" s="457" t="s">
        <v>606</v>
      </c>
      <c r="EZ10" s="472" t="s">
        <v>555</v>
      </c>
      <c r="FA10" s="472" t="s">
        <v>556</v>
      </c>
      <c r="FB10" s="462"/>
      <c r="FC10" s="3"/>
    </row>
    <row r="11" spans="1:159" s="113" customFormat="1" ht="30.75" customHeight="1" x14ac:dyDescent="0.25">
      <c r="A11" s="453"/>
      <c r="B11" s="453"/>
      <c r="C11" s="453"/>
      <c r="D11" s="453"/>
      <c r="E11" s="453"/>
      <c r="F11" s="206" t="s">
        <v>3</v>
      </c>
      <c r="G11" s="272">
        <f>AA11+BE11+CH11+CJ11+DN11</f>
        <v>6879044237</v>
      </c>
      <c r="H11" s="107">
        <v>775545944</v>
      </c>
      <c r="I11" s="108"/>
      <c r="J11" s="108"/>
      <c r="K11" s="108"/>
      <c r="L11" s="108"/>
      <c r="M11" s="108"/>
      <c r="N11" s="108"/>
      <c r="O11" s="108"/>
      <c r="P11" s="108"/>
      <c r="Q11" s="108"/>
      <c r="R11" s="108"/>
      <c r="S11" s="108"/>
      <c r="T11" s="107"/>
      <c r="U11" s="119"/>
      <c r="V11" s="119"/>
      <c r="W11" s="107">
        <v>775545944</v>
      </c>
      <c r="X11" s="107">
        <v>775545944</v>
      </c>
      <c r="Y11" s="108">
        <v>731213017</v>
      </c>
      <c r="Z11" s="107">
        <v>780545944</v>
      </c>
      <c r="AA11" s="108">
        <v>731213017</v>
      </c>
      <c r="AB11" s="107">
        <v>1564678000</v>
      </c>
      <c r="AC11" s="108">
        <v>0</v>
      </c>
      <c r="AD11" s="108">
        <v>0</v>
      </c>
      <c r="AE11" s="119">
        <v>188232000</v>
      </c>
      <c r="AF11" s="108">
        <f>188232000-AD11</f>
        <v>188232000</v>
      </c>
      <c r="AG11" s="108">
        <v>348992000</v>
      </c>
      <c r="AH11" s="108">
        <f>537224000-AF11-AD11</f>
        <v>348992000</v>
      </c>
      <c r="AI11" s="108">
        <v>127479857</v>
      </c>
      <c r="AJ11" s="108">
        <f>664703857-AH11-AF11-AD11</f>
        <v>127479857</v>
      </c>
      <c r="AK11" s="108">
        <v>0</v>
      </c>
      <c r="AL11" s="108">
        <f>664703857-AJ11-AH11-AF11-AD11</f>
        <v>0</v>
      </c>
      <c r="AM11" s="108">
        <v>206631757</v>
      </c>
      <c r="AN11" s="108">
        <v>206477896</v>
      </c>
      <c r="AO11" s="108">
        <v>0</v>
      </c>
      <c r="AP11" s="108">
        <v>0</v>
      </c>
      <c r="AQ11" s="108">
        <v>145468477</v>
      </c>
      <c r="AR11" s="108">
        <v>0</v>
      </c>
      <c r="AS11" s="108">
        <v>81311777</v>
      </c>
      <c r="AT11" s="108">
        <v>27640334</v>
      </c>
      <c r="AU11" s="108">
        <v>145468477</v>
      </c>
      <c r="AV11" s="108">
        <v>186104768</v>
      </c>
      <c r="AW11" s="108">
        <v>145468477</v>
      </c>
      <c r="AX11" s="108">
        <v>225682042</v>
      </c>
      <c r="AY11" s="108">
        <v>145468478</v>
      </c>
      <c r="AZ11" s="108">
        <v>185979723</v>
      </c>
      <c r="BA11" s="108">
        <f>AY11+AW11+AU11+AS11+AQ11+AO11+AM11+AK11+AI11+AG11+AE11+AC11</f>
        <v>1534521300</v>
      </c>
      <c r="BB11" s="108">
        <f>AC11+AE11+AG11+AI11+AK11+AM11+AO11+AQ11+AS11+AU11+AW11+AY11</f>
        <v>1534521300</v>
      </c>
      <c r="BC11" s="108">
        <f>AD11+AF11+AH11+AJ11+AL11+AN11+AP11+AR11+AT11+AV11+AX11+AZ11</f>
        <v>1496588620</v>
      </c>
      <c r="BD11" s="108">
        <f>AE11+AG11+AI11+AK11+AM11+AO11+AQ11+AS11+AU11+AW11+AY11+AC11</f>
        <v>1534521300</v>
      </c>
      <c r="BE11" s="108">
        <f>AD11+AF11+AH11+AJ11+AL11+AN11+AP11+AR11+AT11+AV11+AX11+AZ11</f>
        <v>1496588620</v>
      </c>
      <c r="BF11" s="117">
        <v>2219609000</v>
      </c>
      <c r="BG11" s="108">
        <v>1222024000</v>
      </c>
      <c r="BH11" s="108">
        <v>665963000</v>
      </c>
      <c r="BI11" s="108">
        <v>28000000</v>
      </c>
      <c r="BJ11" s="108">
        <v>0</v>
      </c>
      <c r="BK11" s="108">
        <v>744585000</v>
      </c>
      <c r="BL11" s="108">
        <v>0</v>
      </c>
      <c r="BM11" s="108">
        <v>0</v>
      </c>
      <c r="BN11" s="108">
        <v>0</v>
      </c>
      <c r="BO11" s="108">
        <v>20000000</v>
      </c>
      <c r="BP11" s="108">
        <v>112000000</v>
      </c>
      <c r="BQ11" s="108">
        <v>30000000</v>
      </c>
      <c r="BR11" s="108">
        <v>38000000</v>
      </c>
      <c r="BS11" s="108">
        <v>0</v>
      </c>
      <c r="BT11" s="108">
        <v>0</v>
      </c>
      <c r="BU11" s="108">
        <f>170000000-50000000</f>
        <v>120000000</v>
      </c>
      <c r="BV11" s="108">
        <v>0</v>
      </c>
      <c r="BW11" s="108">
        <v>-176352400</v>
      </c>
      <c r="BX11" s="108">
        <v>20312000</v>
      </c>
      <c r="BY11" s="108"/>
      <c r="BZ11" s="108"/>
      <c r="CA11" s="108">
        <v>0</v>
      </c>
      <c r="CB11" s="108"/>
      <c r="CC11" s="108">
        <v>0</v>
      </c>
      <c r="CD11" s="108"/>
      <c r="CE11" s="108">
        <f>CC11+CA11+BY11+BW11+BU11+BS11+BQ11+BO11+BM11+BK11+BI11+BG11</f>
        <v>1988256600</v>
      </c>
      <c r="CF11" s="108">
        <f>+BG11+BI11+BK11+BM11+BO11+BQ11+BS11+BU11+BW11</f>
        <v>1988256600</v>
      </c>
      <c r="CG11" s="108">
        <f>+BH11+BJ11+BL11+BN11+BP11+BR11+BT11+BV11+BX11</f>
        <v>836275000</v>
      </c>
      <c r="CH11" s="107">
        <f>CC11+CA11+BY11+BW11+BU11+BS11+BQ11+BO11+BM11+BK11+BI11+BG11</f>
        <v>1988256600</v>
      </c>
      <c r="CI11" s="107">
        <f>+BH11+BJ11+BL11+BN11+BP11+BR11+BT11+BV11+BX11</f>
        <v>836275000</v>
      </c>
      <c r="CJ11" s="108">
        <v>1850347000</v>
      </c>
      <c r="CK11" s="108"/>
      <c r="CL11" s="108"/>
      <c r="CM11" s="108"/>
      <c r="CN11" s="108"/>
      <c r="CO11" s="108"/>
      <c r="CP11" s="108"/>
      <c r="CQ11" s="108"/>
      <c r="CR11" s="108"/>
      <c r="CS11" s="108"/>
      <c r="CT11" s="108"/>
      <c r="CU11" s="108"/>
      <c r="CV11" s="108"/>
      <c r="CW11" s="108"/>
      <c r="CX11" s="108"/>
      <c r="CY11" s="108"/>
      <c r="CZ11" s="108"/>
      <c r="DA11" s="108"/>
      <c r="DB11" s="108"/>
      <c r="DC11" s="108"/>
      <c r="DD11" s="108"/>
      <c r="DE11" s="108"/>
      <c r="DF11" s="108"/>
      <c r="DG11" s="108"/>
      <c r="DH11" s="108"/>
      <c r="DI11" s="107">
        <f>DG11+DE11+DC11+DA11+CY11+CW11+CU11+CS11+CQ11+CO11+CM11+CK11</f>
        <v>0</v>
      </c>
      <c r="DJ11" s="117">
        <f t="shared" si="0"/>
        <v>0</v>
      </c>
      <c r="DK11" s="117">
        <f t="shared" si="0"/>
        <v>0</v>
      </c>
      <c r="DL11" s="107">
        <f>CM11+CO11+CQ11+CS11+CU11+CW11+CY11+DA11+DC11+DE11+DG11+CK11</f>
        <v>0</v>
      </c>
      <c r="DM11" s="117">
        <f>CL11+CN11+CP11+CR11</f>
        <v>0</v>
      </c>
      <c r="DN11" s="108">
        <v>812639000</v>
      </c>
      <c r="DO11" s="110"/>
      <c r="DP11" s="110"/>
      <c r="DQ11" s="110"/>
      <c r="DR11" s="110"/>
      <c r="DS11" s="110"/>
      <c r="DT11" s="110"/>
      <c r="DU11" s="110"/>
      <c r="DV11" s="110"/>
      <c r="DW11" s="110"/>
      <c r="DX11" s="110"/>
      <c r="DY11" s="110"/>
      <c r="DZ11" s="110"/>
      <c r="EA11" s="110"/>
      <c r="EB11" s="110"/>
      <c r="EC11" s="110"/>
      <c r="ED11" s="110"/>
      <c r="EE11" s="110"/>
      <c r="EF11" s="110"/>
      <c r="EG11" s="110"/>
      <c r="EH11" s="110"/>
      <c r="EI11" s="110"/>
      <c r="EJ11" s="110"/>
      <c r="EK11" s="110"/>
      <c r="EL11" s="110"/>
      <c r="EM11" s="298">
        <f>EK11+EI11+EG11+EE11+EC11+EA11+DY11+DW11+DU11+DS11+DQ11+DO11</f>
        <v>0</v>
      </c>
      <c r="EN11" s="111">
        <f t="shared" si="1"/>
        <v>0</v>
      </c>
      <c r="EO11" s="111">
        <f t="shared" si="2"/>
        <v>0</v>
      </c>
      <c r="EP11" s="112">
        <f>DQ11+DS11+DU11+DW11+DY11+EA11+EC11+EE11+EG11+EI11+EK11+DO11</f>
        <v>0</v>
      </c>
      <c r="EQ11" s="111">
        <f>DP11+DR11+DT11+DV11</f>
        <v>0</v>
      </c>
      <c r="ER11" s="122">
        <f t="shared" ref="ER11:ER58" si="3">+BX11/BW11</f>
        <v>-0.11517847219544503</v>
      </c>
      <c r="ES11" s="285">
        <f>+CG11/CF11</f>
        <v>0.42060717917395574</v>
      </c>
      <c r="ET11" s="286">
        <f>+CI11/CH11</f>
        <v>0.42060717917395574</v>
      </c>
      <c r="EU11" s="287">
        <f t="shared" ref="EU11:EU57" si="4">(AA11+BE11+CG11)/(Z11+BD11+CF11)</f>
        <v>0.71202557559597879</v>
      </c>
      <c r="EV11" s="286">
        <f>+(AA11+BE11+CI11)/G11</f>
        <v>0.445421853884787</v>
      </c>
      <c r="EW11" s="454"/>
      <c r="EX11" s="458" t="s">
        <v>606</v>
      </c>
      <c r="EY11" s="458" t="s">
        <v>606</v>
      </c>
      <c r="EZ11" s="460"/>
      <c r="FA11" s="460"/>
      <c r="FB11" s="462"/>
    </row>
    <row r="12" spans="1:159" s="113" customFormat="1" ht="30.75" customHeight="1" x14ac:dyDescent="0.25">
      <c r="A12" s="453"/>
      <c r="B12" s="453"/>
      <c r="C12" s="453"/>
      <c r="D12" s="453"/>
      <c r="E12" s="453"/>
      <c r="F12" s="207" t="s">
        <v>216</v>
      </c>
      <c r="G12" s="273"/>
      <c r="H12" s="107"/>
      <c r="I12" s="108"/>
      <c r="J12" s="108"/>
      <c r="K12" s="108"/>
      <c r="L12" s="108"/>
      <c r="M12" s="108"/>
      <c r="N12" s="108"/>
      <c r="O12" s="108"/>
      <c r="P12" s="108"/>
      <c r="Q12" s="108"/>
      <c r="R12" s="108"/>
      <c r="S12" s="108"/>
      <c r="T12" s="107"/>
      <c r="U12" s="119"/>
      <c r="V12" s="119"/>
      <c r="W12" s="107"/>
      <c r="X12" s="107"/>
      <c r="Y12" s="107"/>
      <c r="Z12" s="107"/>
      <c r="AA12" s="108"/>
      <c r="AB12" s="107"/>
      <c r="AC12" s="119">
        <v>0</v>
      </c>
      <c r="AD12" s="108">
        <v>0</v>
      </c>
      <c r="AE12" s="108">
        <v>0</v>
      </c>
      <c r="AF12" s="108">
        <v>0</v>
      </c>
      <c r="AG12" s="108">
        <v>0</v>
      </c>
      <c r="AH12" s="108">
        <v>0</v>
      </c>
      <c r="AI12" s="108">
        <v>41026232</v>
      </c>
      <c r="AJ12" s="108">
        <v>41026232</v>
      </c>
      <c r="AK12" s="108">
        <v>77319714</v>
      </c>
      <c r="AL12" s="108">
        <f>118345946-AJ12</f>
        <v>77319714</v>
      </c>
      <c r="AM12" s="117">
        <f>+AL12+6000000</f>
        <v>83319714</v>
      </c>
      <c r="AN12" s="117">
        <v>90469225</v>
      </c>
      <c r="AO12" s="117">
        <f>+AM12+6000000</f>
        <v>89319714</v>
      </c>
      <c r="AP12" s="117">
        <v>75047610</v>
      </c>
      <c r="AQ12" s="117">
        <f>+AO12+6000000</f>
        <v>95319714</v>
      </c>
      <c r="AR12" s="117">
        <v>153699654</v>
      </c>
      <c r="AS12" s="117">
        <f>+AQ12+6000000</f>
        <v>101319714</v>
      </c>
      <c r="AT12" s="117">
        <v>91591256</v>
      </c>
      <c r="AU12" s="117">
        <f>+AS12+6000000</f>
        <v>107319714</v>
      </c>
      <c r="AV12" s="117">
        <v>87340509</v>
      </c>
      <c r="AW12" s="117">
        <f>+AU12+6000000</f>
        <v>113319714</v>
      </c>
      <c r="AX12" s="117">
        <v>175197762</v>
      </c>
      <c r="AY12" s="117">
        <f>+AW12+6000000</f>
        <v>119319714</v>
      </c>
      <c r="AZ12" s="117">
        <v>94410397</v>
      </c>
      <c r="BA12" s="108">
        <f>AY12+AW12+AU12+AS12+AQ12+AO12+AM12+AK12+AI12+AG12+AE12+AC12</f>
        <v>827583944</v>
      </c>
      <c r="BB12" s="108">
        <f>AC12+AE12+AG12+AI12+AK12+AM12+AO12+AQ12+AS12+AU12+AW12+AY12</f>
        <v>827583944</v>
      </c>
      <c r="BC12" s="108">
        <f>AD12+AF12+AH12+AJ12+AL12+AN12+AP12+AR12+AT12+AV12+AX12+AZ12</f>
        <v>886102359</v>
      </c>
      <c r="BD12" s="108">
        <f>AE12+AG12+AI12+AK12+AM12+AO12+AQ12+AS12+AU12+AW12+AY12+AC12</f>
        <v>827583944</v>
      </c>
      <c r="BE12" s="108">
        <f>AD12+AF12+AH12+AJ12+AL12+AN12+AP12+AR12+AT12+AV12+AX12+AZ12</f>
        <v>886102359</v>
      </c>
      <c r="BF12" s="108">
        <v>0</v>
      </c>
      <c r="BG12" s="108">
        <v>0</v>
      </c>
      <c r="BH12" s="108">
        <v>0</v>
      </c>
      <c r="BI12" s="108">
        <v>0</v>
      </c>
      <c r="BJ12" s="108">
        <v>14552866</v>
      </c>
      <c r="BK12" s="108"/>
      <c r="BL12" s="108">
        <v>68674033</v>
      </c>
      <c r="BM12" s="108"/>
      <c r="BN12" s="108">
        <v>78859000</v>
      </c>
      <c r="BO12" s="108"/>
      <c r="BP12" s="108">
        <v>74946000</v>
      </c>
      <c r="BQ12" s="108"/>
      <c r="BR12" s="108">
        <v>74946000</v>
      </c>
      <c r="BS12" s="108">
        <v>0</v>
      </c>
      <c r="BT12" s="108">
        <v>76437919</v>
      </c>
      <c r="BU12" s="108">
        <v>0</v>
      </c>
      <c r="BV12" s="108">
        <v>75471274</v>
      </c>
      <c r="BW12" s="108">
        <v>0</v>
      </c>
      <c r="BX12" s="108">
        <v>186183357</v>
      </c>
      <c r="BY12" s="108"/>
      <c r="BZ12" s="108"/>
      <c r="CA12" s="108"/>
      <c r="CB12" s="108"/>
      <c r="CC12" s="108"/>
      <c r="CD12" s="108"/>
      <c r="CE12" s="108">
        <f>CC12+CA12+BY12+BW12+BU12+BS12+BQ12+BO12+BM12+BK12+BI12+BG12</f>
        <v>0</v>
      </c>
      <c r="CF12" s="108">
        <f>+BG12+BI12+BK12+BM12+BO12+BQ12+BS12+BU12+BW12</f>
        <v>0</v>
      </c>
      <c r="CG12" s="108">
        <f>+BH12+BJ12+BL12+BN12+BP12+BR12+BT12+BV12+BX12</f>
        <v>650070449</v>
      </c>
      <c r="CH12" s="107">
        <f>CC12+CA12+BY12+BW12+BU12+BS12+BQ12+BO12+BM12+BK12+BI12+BG12</f>
        <v>0</v>
      </c>
      <c r="CI12" s="107">
        <f>+BH12+BJ12+BL12+BN12+BP12+BR12+BT12+BV12+BX12</f>
        <v>650070449</v>
      </c>
      <c r="CJ12" s="108">
        <v>0</v>
      </c>
      <c r="CK12" s="108">
        <v>0</v>
      </c>
      <c r="CL12" s="108">
        <v>0</v>
      </c>
      <c r="CM12" s="108">
        <v>0</v>
      </c>
      <c r="CN12" s="108">
        <v>0</v>
      </c>
      <c r="CO12" s="108">
        <v>0</v>
      </c>
      <c r="CP12" s="108">
        <v>0</v>
      </c>
      <c r="CQ12" s="108">
        <v>0</v>
      </c>
      <c r="CR12" s="108">
        <v>0</v>
      </c>
      <c r="CS12" s="108">
        <v>0</v>
      </c>
      <c r="CT12" s="108">
        <v>0</v>
      </c>
      <c r="CU12" s="108">
        <v>0</v>
      </c>
      <c r="CV12" s="108">
        <v>0</v>
      </c>
      <c r="CW12" s="108">
        <v>0</v>
      </c>
      <c r="CX12" s="108">
        <v>0</v>
      </c>
      <c r="CY12" s="108">
        <v>0</v>
      </c>
      <c r="CZ12" s="108">
        <v>0</v>
      </c>
      <c r="DA12" s="108">
        <v>0</v>
      </c>
      <c r="DB12" s="108">
        <v>0</v>
      </c>
      <c r="DC12" s="108">
        <v>0</v>
      </c>
      <c r="DD12" s="108">
        <v>0</v>
      </c>
      <c r="DE12" s="108">
        <v>0</v>
      </c>
      <c r="DF12" s="108">
        <v>0</v>
      </c>
      <c r="DG12" s="108">
        <v>0</v>
      </c>
      <c r="DH12" s="108">
        <v>0</v>
      </c>
      <c r="DI12" s="107">
        <v>0</v>
      </c>
      <c r="DJ12" s="117">
        <v>0</v>
      </c>
      <c r="DK12" s="117">
        <v>0</v>
      </c>
      <c r="DL12" s="107">
        <v>0</v>
      </c>
      <c r="DM12" s="117">
        <v>0</v>
      </c>
      <c r="DN12" s="108">
        <v>0</v>
      </c>
      <c r="DO12" s="110"/>
      <c r="DP12" s="110"/>
      <c r="DQ12" s="110"/>
      <c r="DR12" s="110"/>
      <c r="DS12" s="110"/>
      <c r="DT12" s="110"/>
      <c r="DU12" s="110"/>
      <c r="DV12" s="110"/>
      <c r="DW12" s="110"/>
      <c r="DX12" s="110"/>
      <c r="DY12" s="110"/>
      <c r="DZ12" s="110"/>
      <c r="EA12" s="110"/>
      <c r="EB12" s="110"/>
      <c r="EC12" s="110"/>
      <c r="ED12" s="110"/>
      <c r="EE12" s="110"/>
      <c r="EF12" s="110"/>
      <c r="EG12" s="110"/>
      <c r="EH12" s="110"/>
      <c r="EI12" s="110"/>
      <c r="EJ12" s="110"/>
      <c r="EK12" s="110"/>
      <c r="EL12" s="110"/>
      <c r="EM12" s="298">
        <f>EI12+EG12+EE12+EC12+EA12+DY12+DW12+DU12+DS12+DQ12+DO12+EK12</f>
        <v>0</v>
      </c>
      <c r="EN12" s="111">
        <f t="shared" si="1"/>
        <v>0</v>
      </c>
      <c r="EO12" s="111">
        <f t="shared" si="2"/>
        <v>0</v>
      </c>
      <c r="EP12" s="107">
        <f>DQ12+DS12+DU12+DW12+DY12+EA12+EC12+EE12+EG12+EI12+EK12</f>
        <v>0</v>
      </c>
      <c r="EQ12" s="111">
        <f>DP12+DR12+DT12+DV12</f>
        <v>0</v>
      </c>
      <c r="ER12" s="122" t="e">
        <f t="shared" si="3"/>
        <v>#DIV/0!</v>
      </c>
      <c r="ES12" s="285" t="e">
        <f t="shared" ref="ES12:ES58" si="5">+CG12/CF12</f>
        <v>#DIV/0!</v>
      </c>
      <c r="ET12" s="286" t="e">
        <f t="shared" ref="ET12:ET58" si="6">+CI12/CH12</f>
        <v>#DIV/0!</v>
      </c>
      <c r="EU12" s="287">
        <f t="shared" si="4"/>
        <v>1.8562138851741667</v>
      </c>
      <c r="EV12" s="286" t="e">
        <f t="shared" ref="EV12:EV58" si="7">+(AA12+BE12+CI12)/G12</f>
        <v>#DIV/0!</v>
      </c>
      <c r="EW12" s="454"/>
      <c r="EX12" s="458" t="s">
        <v>606</v>
      </c>
      <c r="EY12" s="458" t="s">
        <v>606</v>
      </c>
      <c r="EZ12" s="460"/>
      <c r="FA12" s="460"/>
      <c r="FB12" s="462"/>
    </row>
    <row r="13" spans="1:159" s="109" customFormat="1" ht="30.75" customHeight="1" x14ac:dyDescent="0.25">
      <c r="A13" s="453"/>
      <c r="B13" s="453"/>
      <c r="C13" s="453"/>
      <c r="D13" s="453"/>
      <c r="E13" s="453"/>
      <c r="F13" s="205" t="s">
        <v>41</v>
      </c>
      <c r="G13" s="271">
        <v>0</v>
      </c>
      <c r="H13" s="106">
        <v>0</v>
      </c>
      <c r="I13" s="298"/>
      <c r="J13" s="298"/>
      <c r="K13" s="298"/>
      <c r="L13" s="298"/>
      <c r="M13" s="298"/>
      <c r="N13" s="299"/>
      <c r="O13" s="298"/>
      <c r="P13" s="299"/>
      <c r="Q13" s="298"/>
      <c r="R13" s="300"/>
      <c r="S13" s="298"/>
      <c r="T13" s="299"/>
      <c r="U13" s="298"/>
      <c r="V13" s="298"/>
      <c r="W13" s="99">
        <v>0</v>
      </c>
      <c r="X13" s="99">
        <v>0</v>
      </c>
      <c r="Y13" s="99">
        <v>0</v>
      </c>
      <c r="Z13" s="99">
        <v>0</v>
      </c>
      <c r="AA13" s="99">
        <v>0</v>
      </c>
      <c r="AB13" s="99">
        <v>0</v>
      </c>
      <c r="AC13" s="99">
        <v>0</v>
      </c>
      <c r="AD13" s="99">
        <v>0</v>
      </c>
      <c r="AE13" s="99">
        <v>0</v>
      </c>
      <c r="AF13" s="99">
        <v>0</v>
      </c>
      <c r="AG13" s="99">
        <v>0</v>
      </c>
      <c r="AH13" s="99">
        <v>0</v>
      </c>
      <c r="AI13" s="99">
        <v>0</v>
      </c>
      <c r="AJ13" s="99">
        <v>0</v>
      </c>
      <c r="AK13" s="99">
        <v>0</v>
      </c>
      <c r="AL13" s="99">
        <v>0</v>
      </c>
      <c r="AM13" s="99">
        <v>0</v>
      </c>
      <c r="AN13" s="99">
        <v>0</v>
      </c>
      <c r="AO13" s="99">
        <v>0</v>
      </c>
      <c r="AP13" s="99">
        <v>0</v>
      </c>
      <c r="AQ13" s="99">
        <v>0</v>
      </c>
      <c r="AR13" s="99">
        <v>0</v>
      </c>
      <c r="AS13" s="99">
        <v>0</v>
      </c>
      <c r="AT13" s="99">
        <v>0</v>
      </c>
      <c r="AU13" s="99">
        <v>0</v>
      </c>
      <c r="AV13" s="99">
        <v>0</v>
      </c>
      <c r="AW13" s="99">
        <v>0</v>
      </c>
      <c r="AX13" s="99">
        <v>0</v>
      </c>
      <c r="AY13" s="99">
        <v>0</v>
      </c>
      <c r="AZ13" s="106">
        <v>0</v>
      </c>
      <c r="BA13" s="99">
        <f>+AB13</f>
        <v>0</v>
      </c>
      <c r="BB13" s="99">
        <f>+AY13</f>
        <v>0</v>
      </c>
      <c r="BC13" s="99">
        <f>+AZ13</f>
        <v>0</v>
      </c>
      <c r="BD13" s="99">
        <f>+G13</f>
        <v>0</v>
      </c>
      <c r="BE13" s="99">
        <f>+AZ13</f>
        <v>0</v>
      </c>
      <c r="BF13" s="99">
        <v>0</v>
      </c>
      <c r="BG13" s="99">
        <v>0</v>
      </c>
      <c r="BH13" s="99">
        <v>0</v>
      </c>
      <c r="BI13" s="99">
        <v>0</v>
      </c>
      <c r="BJ13" s="99">
        <v>0</v>
      </c>
      <c r="BK13" s="99">
        <v>0</v>
      </c>
      <c r="BL13" s="99">
        <v>0</v>
      </c>
      <c r="BM13" s="99">
        <v>0</v>
      </c>
      <c r="BN13" s="99">
        <v>0</v>
      </c>
      <c r="BO13" s="99">
        <v>0</v>
      </c>
      <c r="BP13" s="99">
        <v>0</v>
      </c>
      <c r="BQ13" s="99">
        <v>0</v>
      </c>
      <c r="BR13" s="99">
        <v>0</v>
      </c>
      <c r="BS13" s="99">
        <v>0</v>
      </c>
      <c r="BT13" s="99">
        <v>0</v>
      </c>
      <c r="BU13" s="99">
        <v>0</v>
      </c>
      <c r="BV13" s="99">
        <v>0</v>
      </c>
      <c r="BW13" s="99">
        <v>0</v>
      </c>
      <c r="BX13" s="99">
        <v>0</v>
      </c>
      <c r="BY13" s="99">
        <v>0</v>
      </c>
      <c r="BZ13" s="298"/>
      <c r="CA13" s="99">
        <v>0</v>
      </c>
      <c r="CB13" s="298"/>
      <c r="CC13" s="99">
        <v>0</v>
      </c>
      <c r="CD13" s="298"/>
      <c r="CE13" s="99">
        <f>+BW13</f>
        <v>0</v>
      </c>
      <c r="CF13" s="99">
        <f>+BW13</f>
        <v>0</v>
      </c>
      <c r="CG13" s="99">
        <f>+BX13</f>
        <v>0</v>
      </c>
      <c r="CH13" s="99">
        <f>+BY13</f>
        <v>0</v>
      </c>
      <c r="CI13" s="99">
        <f>+BX13</f>
        <v>0</v>
      </c>
      <c r="CJ13" s="106">
        <v>0</v>
      </c>
      <c r="CK13" s="59">
        <v>0</v>
      </c>
      <c r="CL13" s="59">
        <v>0</v>
      </c>
      <c r="CM13" s="59">
        <v>0</v>
      </c>
      <c r="CN13" s="59">
        <v>0</v>
      </c>
      <c r="CO13" s="59">
        <v>0</v>
      </c>
      <c r="CP13" s="59">
        <v>0</v>
      </c>
      <c r="CQ13" s="59">
        <v>0</v>
      </c>
      <c r="CR13" s="59">
        <v>0</v>
      </c>
      <c r="CS13" s="59">
        <v>0</v>
      </c>
      <c r="CT13" s="59">
        <v>0</v>
      </c>
      <c r="CU13" s="59">
        <v>0</v>
      </c>
      <c r="CV13" s="59">
        <v>0</v>
      </c>
      <c r="CW13" s="59">
        <v>0</v>
      </c>
      <c r="CX13" s="59">
        <v>0</v>
      </c>
      <c r="CY13" s="59">
        <v>0</v>
      </c>
      <c r="CZ13" s="59">
        <v>0</v>
      </c>
      <c r="DA13" s="59">
        <v>0</v>
      </c>
      <c r="DB13" s="59">
        <v>0</v>
      </c>
      <c r="DC13" s="59">
        <v>0</v>
      </c>
      <c r="DD13" s="59">
        <v>0</v>
      </c>
      <c r="DE13" s="59">
        <v>0</v>
      </c>
      <c r="DF13" s="59">
        <v>0</v>
      </c>
      <c r="DG13" s="59">
        <v>0</v>
      </c>
      <c r="DH13" s="59">
        <v>0</v>
      </c>
      <c r="DI13" s="59">
        <v>0</v>
      </c>
      <c r="DJ13" s="59">
        <v>0</v>
      </c>
      <c r="DK13" s="59">
        <v>0</v>
      </c>
      <c r="DL13" s="96">
        <v>0</v>
      </c>
      <c r="DM13" s="59">
        <v>0</v>
      </c>
      <c r="DN13" s="106">
        <v>0</v>
      </c>
      <c r="DO13" s="301"/>
      <c r="DP13" s="301"/>
      <c r="DQ13" s="301"/>
      <c r="DR13" s="301"/>
      <c r="DS13" s="301"/>
      <c r="DT13" s="301"/>
      <c r="DU13" s="301"/>
      <c r="DV13" s="301"/>
      <c r="DW13" s="301"/>
      <c r="DX13" s="301"/>
      <c r="DY13" s="301"/>
      <c r="DZ13" s="301"/>
      <c r="EA13" s="301"/>
      <c r="EB13" s="301"/>
      <c r="EC13" s="301"/>
      <c r="ED13" s="301"/>
      <c r="EE13" s="301"/>
      <c r="EF13" s="301"/>
      <c r="EG13" s="301"/>
      <c r="EH13" s="301"/>
      <c r="EI13" s="301"/>
      <c r="EJ13" s="301"/>
      <c r="EK13" s="301"/>
      <c r="EL13" s="301"/>
      <c r="EM13" s="299">
        <f>EI13+EG13+EE13+EC13+EA13+DY13+DW13+DU13+DS13+DQ13+DO13+EK13</f>
        <v>0</v>
      </c>
      <c r="EN13" s="114">
        <f t="shared" si="1"/>
        <v>0</v>
      </c>
      <c r="EO13" s="114">
        <f t="shared" si="2"/>
        <v>0</v>
      </c>
      <c r="EP13" s="96">
        <f>DQ13+DS13+DU13+DW13+DY13+EA13+EC13+EE13+EG13+EI13+EK13</f>
        <v>0</v>
      </c>
      <c r="EQ13" s="299">
        <f>DP13+DR13+DT13+DV13</f>
        <v>0</v>
      </c>
      <c r="ER13" s="122" t="e">
        <f t="shared" si="3"/>
        <v>#DIV/0!</v>
      </c>
      <c r="ES13" s="285" t="e">
        <f t="shared" si="5"/>
        <v>#DIV/0!</v>
      </c>
      <c r="ET13" s="286" t="e">
        <f t="shared" si="6"/>
        <v>#DIV/0!</v>
      </c>
      <c r="EU13" s="287" t="e">
        <f t="shared" si="4"/>
        <v>#DIV/0!</v>
      </c>
      <c r="EV13" s="286" t="e">
        <f t="shared" si="7"/>
        <v>#DIV/0!</v>
      </c>
      <c r="EW13" s="454"/>
      <c r="EX13" s="458" t="s">
        <v>606</v>
      </c>
      <c r="EY13" s="458" t="s">
        <v>606</v>
      </c>
      <c r="EZ13" s="460"/>
      <c r="FA13" s="460"/>
      <c r="FB13" s="462"/>
    </row>
    <row r="14" spans="1:159" s="109" customFormat="1" ht="30.75" customHeight="1" x14ac:dyDescent="0.25">
      <c r="A14" s="453"/>
      <c r="B14" s="453"/>
      <c r="C14" s="453"/>
      <c r="D14" s="453"/>
      <c r="E14" s="453"/>
      <c r="F14" s="206" t="s">
        <v>4</v>
      </c>
      <c r="G14" s="272">
        <f>AA14+BE14+CH14+CJ14+DN14</f>
        <v>893818577</v>
      </c>
      <c r="H14" s="107">
        <v>0</v>
      </c>
      <c r="I14" s="108"/>
      <c r="J14" s="108"/>
      <c r="K14" s="108"/>
      <c r="L14" s="108"/>
      <c r="M14" s="108"/>
      <c r="N14" s="108"/>
      <c r="O14" s="108"/>
      <c r="P14" s="108"/>
      <c r="Q14" s="108"/>
      <c r="R14" s="108"/>
      <c r="S14" s="108"/>
      <c r="T14" s="107"/>
      <c r="U14" s="119"/>
      <c r="V14" s="119"/>
      <c r="W14" s="107">
        <v>0</v>
      </c>
      <c r="X14" s="107">
        <v>0</v>
      </c>
      <c r="Y14" s="107">
        <v>0</v>
      </c>
      <c r="Z14" s="107">
        <v>0</v>
      </c>
      <c r="AA14" s="108">
        <v>0</v>
      </c>
      <c r="AB14" s="107">
        <v>349704142</v>
      </c>
      <c r="AC14" s="108">
        <v>62876122</v>
      </c>
      <c r="AD14" s="108">
        <v>62876122</v>
      </c>
      <c r="AE14" s="119">
        <v>54302358</v>
      </c>
      <c r="AF14" s="108">
        <f>117178480-AD14</f>
        <v>54302358</v>
      </c>
      <c r="AG14" s="108">
        <v>104432327</v>
      </c>
      <c r="AH14" s="108">
        <f>221610807-AF14-AD14</f>
        <v>104432327</v>
      </c>
      <c r="AI14" s="108">
        <v>5682842</v>
      </c>
      <c r="AJ14" s="108">
        <f>227293649-AH14-AF14-AD14</f>
        <v>5682842</v>
      </c>
      <c r="AK14" s="108">
        <v>80059278</v>
      </c>
      <c r="AL14" s="108">
        <f>307352927-AJ14-AH14-AF14-AD14</f>
        <v>80059278</v>
      </c>
      <c r="AM14" s="108">
        <v>16097586</v>
      </c>
      <c r="AN14" s="108">
        <v>19233596</v>
      </c>
      <c r="AO14" s="108">
        <v>0</v>
      </c>
      <c r="AP14" s="108">
        <v>0</v>
      </c>
      <c r="AQ14" s="108">
        <v>0</v>
      </c>
      <c r="AR14" s="108">
        <v>9064999</v>
      </c>
      <c r="AS14" s="108">
        <f>26253629-11970000</f>
        <v>14283629</v>
      </c>
      <c r="AT14" s="108">
        <v>755053</v>
      </c>
      <c r="AU14" s="108">
        <v>0</v>
      </c>
      <c r="AV14" s="108">
        <v>0</v>
      </c>
      <c r="AW14" s="108">
        <v>0</v>
      </c>
      <c r="AX14" s="108">
        <v>337959</v>
      </c>
      <c r="AY14" s="108">
        <v>0</v>
      </c>
      <c r="AZ14" s="108">
        <v>989608</v>
      </c>
      <c r="BA14" s="108">
        <f>AY14+AW14+AU14+AS14+AQ14+AO14+AM14+AK14+AI14+AG14+AE14+AC14</f>
        <v>337734142</v>
      </c>
      <c r="BB14" s="108">
        <f>AC14+AE14+AG14+AI14+AK14+AM14+AO14+AQ14+AS14+AU14+AW14+AY14</f>
        <v>337734142</v>
      </c>
      <c r="BC14" s="108">
        <f>AD14+AF14+AH14+AJ14+AL14+AN14+AP14+AR14+AT14+AV14+AX14+AZ14</f>
        <v>337734142</v>
      </c>
      <c r="BD14" s="108">
        <f>AE14+AG14+AI14+AK14+AM14+AO14+AQ14+AS14+AU14+AW14+AY14+AC14</f>
        <v>337734142</v>
      </c>
      <c r="BE14" s="108">
        <f>AD14+AF14+AH14+AJ14+AL14+AN14+AP14+AR14+AT14+AV14+AX14+AZ14</f>
        <v>337734142</v>
      </c>
      <c r="BF14" s="108">
        <v>557602926</v>
      </c>
      <c r="BG14" s="108">
        <v>14814800</v>
      </c>
      <c r="BH14" s="108"/>
      <c r="BI14" s="108">
        <v>86403771</v>
      </c>
      <c r="BJ14" s="108">
        <v>42955919</v>
      </c>
      <c r="BK14" s="108">
        <v>66341056</v>
      </c>
      <c r="BL14" s="108">
        <v>0</v>
      </c>
      <c r="BM14" s="108">
        <v>37348492</v>
      </c>
      <c r="BN14" s="108">
        <v>0</v>
      </c>
      <c r="BO14" s="108">
        <v>6178859</v>
      </c>
      <c r="BP14" s="108">
        <v>0</v>
      </c>
      <c r="BQ14" s="108">
        <f>121462820- 1161533</f>
        <v>120301287</v>
      </c>
      <c r="BR14" s="108">
        <v>0</v>
      </c>
      <c r="BS14" s="108">
        <f>216642665+1161533</f>
        <v>217804198</v>
      </c>
      <c r="BT14" s="108">
        <v>514647007</v>
      </c>
      <c r="BU14" s="108">
        <v>4010463</v>
      </c>
      <c r="BV14" s="108">
        <v>-1518487</v>
      </c>
      <c r="BW14" s="108">
        <f>2400000-1518491</f>
        <v>881509</v>
      </c>
      <c r="BX14" s="108">
        <v>-111746667</v>
      </c>
      <c r="BY14" s="108">
        <v>2000000</v>
      </c>
      <c r="BZ14" s="108"/>
      <c r="CA14" s="108">
        <v>0</v>
      </c>
      <c r="CB14" s="108"/>
      <c r="CC14" s="108">
        <v>0</v>
      </c>
      <c r="CD14" s="108"/>
      <c r="CE14" s="108">
        <f>CC14+CA14+BY14+BW14+BU14+BS14+BQ14+BO14+BM14+BK14+BI14+BG14</f>
        <v>556084435</v>
      </c>
      <c r="CF14" s="108">
        <f>+BG14+BI14+BK14+BM14+BO14+BQ14+BS14+BU14+BW14</f>
        <v>554084435</v>
      </c>
      <c r="CG14" s="108">
        <f>+BH14+BJ14+BL14+BN14+BP14+BR14+BT14+BV14+BX14</f>
        <v>444337772</v>
      </c>
      <c r="CH14" s="107">
        <f>CC14+CA14+BY14+BW14+BU14+BS14+BQ14+BO14+BM14+BK14+BI14+BG14</f>
        <v>556084435</v>
      </c>
      <c r="CI14" s="107">
        <f>+BH14+BJ14+BL14+BN14+BP14+BR14+BT14+BV14+BX14</f>
        <v>444337772</v>
      </c>
      <c r="CJ14" s="108">
        <v>0</v>
      </c>
      <c r="CK14" s="108">
        <v>0</v>
      </c>
      <c r="CL14" s="108">
        <v>0</v>
      </c>
      <c r="CM14" s="108">
        <v>0</v>
      </c>
      <c r="CN14" s="108">
        <v>0</v>
      </c>
      <c r="CO14" s="108">
        <v>0</v>
      </c>
      <c r="CP14" s="108">
        <v>0</v>
      </c>
      <c r="CQ14" s="108">
        <v>0</v>
      </c>
      <c r="CR14" s="108">
        <v>0</v>
      </c>
      <c r="CS14" s="108">
        <v>0</v>
      </c>
      <c r="CT14" s="108">
        <v>0</v>
      </c>
      <c r="CU14" s="108">
        <v>0</v>
      </c>
      <c r="CV14" s="108">
        <v>0</v>
      </c>
      <c r="CW14" s="108">
        <v>0</v>
      </c>
      <c r="CX14" s="108">
        <v>0</v>
      </c>
      <c r="CY14" s="108">
        <v>0</v>
      </c>
      <c r="CZ14" s="108">
        <v>0</v>
      </c>
      <c r="DA14" s="108">
        <v>0</v>
      </c>
      <c r="DB14" s="108">
        <v>0</v>
      </c>
      <c r="DC14" s="108">
        <v>0</v>
      </c>
      <c r="DD14" s="108">
        <v>0</v>
      </c>
      <c r="DE14" s="108">
        <v>0</v>
      </c>
      <c r="DF14" s="108">
        <v>0</v>
      </c>
      <c r="DG14" s="108">
        <v>0</v>
      </c>
      <c r="DH14" s="108">
        <v>0</v>
      </c>
      <c r="DI14" s="107">
        <v>0</v>
      </c>
      <c r="DJ14" s="117">
        <v>0</v>
      </c>
      <c r="DK14" s="117">
        <v>0</v>
      </c>
      <c r="DL14" s="107">
        <v>0</v>
      </c>
      <c r="DM14" s="117">
        <v>0</v>
      </c>
      <c r="DN14" s="108">
        <v>0</v>
      </c>
      <c r="DO14" s="115"/>
      <c r="DP14" s="115"/>
      <c r="DQ14" s="115"/>
      <c r="DR14" s="115"/>
      <c r="DS14" s="115"/>
      <c r="DT14" s="115"/>
      <c r="DU14" s="115"/>
      <c r="DV14" s="115"/>
      <c r="DW14" s="115"/>
      <c r="DX14" s="115"/>
      <c r="DY14" s="115"/>
      <c r="DZ14" s="115"/>
      <c r="EA14" s="115"/>
      <c r="EB14" s="115"/>
      <c r="EC14" s="115"/>
      <c r="ED14" s="115"/>
      <c r="EE14" s="115"/>
      <c r="EF14" s="115"/>
      <c r="EG14" s="115"/>
      <c r="EH14" s="115"/>
      <c r="EI14" s="115"/>
      <c r="EJ14" s="115"/>
      <c r="EK14" s="115"/>
      <c r="EL14" s="115"/>
      <c r="EM14" s="299">
        <f>EI14+EG14+EE14+EC14+EA14+DY14+DW14+DU14+DS14+DQ14+DO14+EK14</f>
        <v>0</v>
      </c>
      <c r="EN14" s="111">
        <f t="shared" si="1"/>
        <v>0</v>
      </c>
      <c r="EO14" s="111">
        <f t="shared" si="2"/>
        <v>0</v>
      </c>
      <c r="EP14" s="107">
        <f>DQ14+DS14+DU14+DW14+DY14+EA14+EC14+EE14+EG14+EI14+EK14+DO14</f>
        <v>0</v>
      </c>
      <c r="EQ14" s="111">
        <f>DP14+DR14+DT14+DV14</f>
        <v>0</v>
      </c>
      <c r="ER14" s="122">
        <f t="shared" si="3"/>
        <v>-126.76747146086994</v>
      </c>
      <c r="ES14" s="285">
        <f t="shared" si="5"/>
        <v>0.8019315178922144</v>
      </c>
      <c r="ET14" s="286">
        <f t="shared" si="6"/>
        <v>0.79904731014454666</v>
      </c>
      <c r="EU14" s="287">
        <f t="shared" si="4"/>
        <v>0.87694059550858627</v>
      </c>
      <c r="EV14" s="286">
        <f t="shared" si="7"/>
        <v>0.87497836152044983</v>
      </c>
      <c r="EW14" s="454"/>
      <c r="EX14" s="458" t="s">
        <v>606</v>
      </c>
      <c r="EY14" s="458" t="s">
        <v>606</v>
      </c>
      <c r="EZ14" s="460"/>
      <c r="FA14" s="460"/>
      <c r="FB14" s="462"/>
    </row>
    <row r="15" spans="1:159" s="109" customFormat="1" ht="30.75" customHeight="1" thickBot="1" x14ac:dyDescent="0.3">
      <c r="A15" s="453"/>
      <c r="B15" s="453"/>
      <c r="C15" s="453"/>
      <c r="D15" s="453"/>
      <c r="E15" s="453"/>
      <c r="F15" s="205" t="s">
        <v>42</v>
      </c>
      <c r="G15" s="274">
        <f>+G10+G13</f>
        <v>1</v>
      </c>
      <c r="H15" s="361">
        <f>+H10+H13</f>
        <v>1</v>
      </c>
      <c r="I15" s="377"/>
      <c r="J15" s="377"/>
      <c r="K15" s="377"/>
      <c r="L15" s="377"/>
      <c r="M15" s="377"/>
      <c r="N15" s="318"/>
      <c r="O15" s="377"/>
      <c r="P15" s="318"/>
      <c r="Q15" s="377"/>
      <c r="R15" s="378"/>
      <c r="S15" s="377"/>
      <c r="T15" s="318"/>
      <c r="U15" s="377"/>
      <c r="V15" s="377"/>
      <c r="W15" s="379">
        <f t="shared" ref="W15:AK15" si="8">+W10+W13</f>
        <v>1</v>
      </c>
      <c r="X15" s="379">
        <f t="shared" si="8"/>
        <v>1</v>
      </c>
      <c r="Y15" s="379">
        <f t="shared" si="8"/>
        <v>1</v>
      </c>
      <c r="Z15" s="379">
        <f t="shared" si="8"/>
        <v>1</v>
      </c>
      <c r="AA15" s="379">
        <f t="shared" si="8"/>
        <v>1</v>
      </c>
      <c r="AB15" s="379">
        <f t="shared" si="8"/>
        <v>1</v>
      </c>
      <c r="AC15" s="379">
        <f t="shared" si="8"/>
        <v>1</v>
      </c>
      <c r="AD15" s="379">
        <f t="shared" si="8"/>
        <v>0.86</v>
      </c>
      <c r="AE15" s="379">
        <f t="shared" si="8"/>
        <v>1</v>
      </c>
      <c r="AF15" s="379">
        <f t="shared" si="8"/>
        <v>0.75</v>
      </c>
      <c r="AG15" s="379">
        <f t="shared" si="8"/>
        <v>1</v>
      </c>
      <c r="AH15" s="379">
        <f t="shared" si="8"/>
        <v>0.8</v>
      </c>
      <c r="AI15" s="379">
        <f t="shared" si="8"/>
        <v>1</v>
      </c>
      <c r="AJ15" s="379">
        <f t="shared" si="8"/>
        <v>1</v>
      </c>
      <c r="AK15" s="379">
        <f t="shared" si="8"/>
        <v>1</v>
      </c>
      <c r="AL15" s="379">
        <f t="shared" ref="AL15:BJ15" si="9">+AL10+AL13</f>
        <v>1</v>
      </c>
      <c r="AM15" s="379">
        <f t="shared" si="9"/>
        <v>1</v>
      </c>
      <c r="AN15" s="379">
        <f t="shared" si="9"/>
        <v>1</v>
      </c>
      <c r="AO15" s="379">
        <f t="shared" si="9"/>
        <v>1</v>
      </c>
      <c r="AP15" s="379">
        <f t="shared" si="9"/>
        <v>0.95</v>
      </c>
      <c r="AQ15" s="379">
        <f t="shared" si="9"/>
        <v>1</v>
      </c>
      <c r="AR15" s="379">
        <f t="shared" si="9"/>
        <v>0.95</v>
      </c>
      <c r="AS15" s="379">
        <f t="shared" si="9"/>
        <v>1</v>
      </c>
      <c r="AT15" s="379">
        <f t="shared" si="9"/>
        <v>0.98</v>
      </c>
      <c r="AU15" s="379">
        <f t="shared" si="9"/>
        <v>1</v>
      </c>
      <c r="AV15" s="379">
        <f t="shared" si="9"/>
        <v>1</v>
      </c>
      <c r="AW15" s="379">
        <f t="shared" si="9"/>
        <v>1</v>
      </c>
      <c r="AX15" s="379">
        <f t="shared" si="9"/>
        <v>1</v>
      </c>
      <c r="AY15" s="379">
        <f t="shared" si="9"/>
        <v>1</v>
      </c>
      <c r="AZ15" s="379">
        <f t="shared" si="9"/>
        <v>1</v>
      </c>
      <c r="BA15" s="379">
        <f t="shared" si="9"/>
        <v>1</v>
      </c>
      <c r="BB15" s="379">
        <f t="shared" si="9"/>
        <v>1</v>
      </c>
      <c r="BC15" s="379">
        <f t="shared" si="9"/>
        <v>1</v>
      </c>
      <c r="BD15" s="379">
        <f t="shared" si="9"/>
        <v>1</v>
      </c>
      <c r="BE15" s="379">
        <f t="shared" si="9"/>
        <v>1</v>
      </c>
      <c r="BF15" s="379">
        <f t="shared" si="9"/>
        <v>1</v>
      </c>
      <c r="BG15" s="379">
        <f t="shared" si="9"/>
        <v>1</v>
      </c>
      <c r="BH15" s="379">
        <f t="shared" si="9"/>
        <v>1</v>
      </c>
      <c r="BI15" s="379">
        <f t="shared" si="9"/>
        <v>1</v>
      </c>
      <c r="BJ15" s="379">
        <f t="shared" si="9"/>
        <v>1</v>
      </c>
      <c r="BK15" s="379">
        <f t="shared" ref="BK15:CD15" si="10">+BK10+BK13</f>
        <v>1</v>
      </c>
      <c r="BL15" s="379">
        <f t="shared" si="10"/>
        <v>1</v>
      </c>
      <c r="BM15" s="379">
        <f t="shared" si="10"/>
        <v>1</v>
      </c>
      <c r="BN15" s="379">
        <f>+BN10+BN13</f>
        <v>1</v>
      </c>
      <c r="BO15" s="379">
        <f t="shared" si="10"/>
        <v>1</v>
      </c>
      <c r="BP15" s="379">
        <f t="shared" si="10"/>
        <v>1</v>
      </c>
      <c r="BQ15" s="379">
        <f t="shared" si="10"/>
        <v>1</v>
      </c>
      <c r="BR15" s="379">
        <f t="shared" si="10"/>
        <v>1</v>
      </c>
      <c r="BS15" s="379">
        <f t="shared" si="10"/>
        <v>1</v>
      </c>
      <c r="BT15" s="379">
        <f t="shared" si="10"/>
        <v>1</v>
      </c>
      <c r="BU15" s="379">
        <f t="shared" si="10"/>
        <v>1</v>
      </c>
      <c r="BV15" s="379">
        <f>+BV10+BV13</f>
        <v>1</v>
      </c>
      <c r="BW15" s="379">
        <f t="shared" si="10"/>
        <v>1</v>
      </c>
      <c r="BX15" s="379">
        <f t="shared" si="10"/>
        <v>1</v>
      </c>
      <c r="BY15" s="379">
        <f t="shared" si="10"/>
        <v>1</v>
      </c>
      <c r="BZ15" s="379">
        <f t="shared" si="10"/>
        <v>0</v>
      </c>
      <c r="CA15" s="379">
        <f t="shared" si="10"/>
        <v>1</v>
      </c>
      <c r="CB15" s="379">
        <f t="shared" si="10"/>
        <v>0</v>
      </c>
      <c r="CC15" s="379">
        <f t="shared" si="10"/>
        <v>1</v>
      </c>
      <c r="CD15" s="379">
        <f t="shared" si="10"/>
        <v>0</v>
      </c>
      <c r="CE15" s="379">
        <f t="shared" ref="CE15:CJ16" si="11">+CE10+CE13</f>
        <v>1</v>
      </c>
      <c r="CF15" s="379">
        <f t="shared" si="11"/>
        <v>1</v>
      </c>
      <c r="CG15" s="379">
        <f t="shared" si="11"/>
        <v>1</v>
      </c>
      <c r="CH15" s="379">
        <f t="shared" si="11"/>
        <v>1</v>
      </c>
      <c r="CI15" s="379">
        <f t="shared" si="11"/>
        <v>1</v>
      </c>
      <c r="CJ15" s="361">
        <f t="shared" si="11"/>
        <v>1</v>
      </c>
      <c r="CK15" s="362"/>
      <c r="CL15" s="362"/>
      <c r="CM15" s="362"/>
      <c r="CN15" s="362"/>
      <c r="CO15" s="362"/>
      <c r="CP15" s="362"/>
      <c r="CQ15" s="362"/>
      <c r="CR15" s="362"/>
      <c r="CS15" s="362"/>
      <c r="CT15" s="362"/>
      <c r="CU15" s="362"/>
      <c r="CV15" s="362"/>
      <c r="CW15" s="362"/>
      <c r="CX15" s="362"/>
      <c r="CY15" s="362"/>
      <c r="CZ15" s="362"/>
      <c r="DA15" s="362"/>
      <c r="DB15" s="362"/>
      <c r="DC15" s="362"/>
      <c r="DD15" s="362"/>
      <c r="DE15" s="362"/>
      <c r="DF15" s="362"/>
      <c r="DG15" s="362"/>
      <c r="DH15" s="362"/>
      <c r="DI15" s="362">
        <f>DE15+DC15+DA15+CY15+CW15+CU15+CS15+CQ15+CO15+CM15+CK15+DG15</f>
        <v>0</v>
      </c>
      <c r="DJ15" s="362">
        <f t="shared" si="0"/>
        <v>0</v>
      </c>
      <c r="DK15" s="362">
        <f t="shared" si="0"/>
        <v>0</v>
      </c>
      <c r="DL15" s="320">
        <f>CM15+CO15+CQ15+CS15+CU15+CW15+CY15+DA15+DC15+DE15+DG15+CK15</f>
        <v>0</v>
      </c>
      <c r="DM15" s="362">
        <f>CN15+CP15+CR15+CL15</f>
        <v>0</v>
      </c>
      <c r="DN15" s="361">
        <f>+DN10+DN13</f>
        <v>1</v>
      </c>
      <c r="DO15" s="317"/>
      <c r="DP15" s="317"/>
      <c r="DQ15" s="317"/>
      <c r="DR15" s="317"/>
      <c r="DS15" s="317"/>
      <c r="DT15" s="317"/>
      <c r="DU15" s="317"/>
      <c r="DV15" s="317"/>
      <c r="DW15" s="317"/>
      <c r="DX15" s="317"/>
      <c r="DY15" s="317"/>
      <c r="DZ15" s="317"/>
      <c r="EA15" s="317"/>
      <c r="EB15" s="317"/>
      <c r="EC15" s="317"/>
      <c r="ED15" s="317"/>
      <c r="EE15" s="317"/>
      <c r="EF15" s="317"/>
      <c r="EG15" s="317"/>
      <c r="EH15" s="317"/>
      <c r="EI15" s="317"/>
      <c r="EJ15" s="317"/>
      <c r="EK15" s="317"/>
      <c r="EL15" s="317"/>
      <c r="EM15" s="318">
        <f>EI15+EG15+EE15+EC15+EA15+DY15+DW15+DU15+DS15+DQ15+DO15+EK15</f>
        <v>0</v>
      </c>
      <c r="EN15" s="319">
        <f t="shared" si="1"/>
        <v>0</v>
      </c>
      <c r="EO15" s="319">
        <f t="shared" si="2"/>
        <v>0</v>
      </c>
      <c r="EP15" s="320">
        <f>DQ15+DS15+DU15+DW15+DY15+EA15+EC15+EE15+EG15+EI15+EK15+DO15</f>
        <v>0</v>
      </c>
      <c r="EQ15" s="319">
        <f>DR15+DT15+DV15+DP15</f>
        <v>0</v>
      </c>
      <c r="ER15" s="321">
        <f t="shared" si="3"/>
        <v>1</v>
      </c>
      <c r="ES15" s="288">
        <f t="shared" si="5"/>
        <v>1</v>
      </c>
      <c r="ET15" s="289">
        <f t="shared" si="6"/>
        <v>1</v>
      </c>
      <c r="EU15" s="290">
        <f t="shared" si="4"/>
        <v>1</v>
      </c>
      <c r="EV15" s="289">
        <f>+(AA15+BE15+CI15)/500%</f>
        <v>0.6</v>
      </c>
      <c r="EW15" s="454"/>
      <c r="EX15" s="458" t="s">
        <v>606</v>
      </c>
      <c r="EY15" s="458" t="s">
        <v>606</v>
      </c>
      <c r="EZ15" s="460"/>
      <c r="FA15" s="460"/>
      <c r="FB15" s="462"/>
    </row>
    <row r="16" spans="1:159" s="113" customFormat="1" ht="30.75" customHeight="1" thickBot="1" x14ac:dyDescent="0.3">
      <c r="A16" s="453"/>
      <c r="B16" s="453"/>
      <c r="C16" s="453"/>
      <c r="D16" s="453"/>
      <c r="E16" s="453"/>
      <c r="F16" s="206" t="s">
        <v>44</v>
      </c>
      <c r="G16" s="275">
        <f>+G11+G14</f>
        <v>7772862814</v>
      </c>
      <c r="H16" s="363">
        <f>+H11+H14</f>
        <v>775545944</v>
      </c>
      <c r="I16" s="363"/>
      <c r="J16" s="363"/>
      <c r="K16" s="363"/>
      <c r="L16" s="363"/>
      <c r="M16" s="363"/>
      <c r="N16" s="363"/>
      <c r="O16" s="363"/>
      <c r="P16" s="363"/>
      <c r="Q16" s="363"/>
      <c r="R16" s="363"/>
      <c r="S16" s="363"/>
      <c r="T16" s="364"/>
      <c r="U16" s="363"/>
      <c r="V16" s="363"/>
      <c r="W16" s="363">
        <f t="shared" ref="W16:AK16" si="12">+W11+W14</f>
        <v>775545944</v>
      </c>
      <c r="X16" s="363">
        <f t="shared" si="12"/>
        <v>775545944</v>
      </c>
      <c r="Y16" s="363">
        <f t="shared" si="12"/>
        <v>731213017</v>
      </c>
      <c r="Z16" s="363">
        <f t="shared" si="12"/>
        <v>780545944</v>
      </c>
      <c r="AA16" s="363">
        <f t="shared" si="12"/>
        <v>731213017</v>
      </c>
      <c r="AB16" s="363">
        <f t="shared" si="12"/>
        <v>1914382142</v>
      </c>
      <c r="AC16" s="363">
        <f t="shared" si="12"/>
        <v>62876122</v>
      </c>
      <c r="AD16" s="363">
        <f t="shared" si="12"/>
        <v>62876122</v>
      </c>
      <c r="AE16" s="363">
        <f t="shared" si="12"/>
        <v>242534358</v>
      </c>
      <c r="AF16" s="363">
        <f t="shared" si="12"/>
        <v>242534358</v>
      </c>
      <c r="AG16" s="363">
        <f t="shared" si="12"/>
        <v>453424327</v>
      </c>
      <c r="AH16" s="363">
        <f t="shared" si="12"/>
        <v>453424327</v>
      </c>
      <c r="AI16" s="363">
        <f t="shared" si="12"/>
        <v>133162699</v>
      </c>
      <c r="AJ16" s="363">
        <f t="shared" si="12"/>
        <v>133162699</v>
      </c>
      <c r="AK16" s="363">
        <f t="shared" si="12"/>
        <v>80059278</v>
      </c>
      <c r="AL16" s="363">
        <f t="shared" ref="AL16:BJ16" si="13">+AL11+AL14</f>
        <v>80059278</v>
      </c>
      <c r="AM16" s="363">
        <f t="shared" si="13"/>
        <v>222729343</v>
      </c>
      <c r="AN16" s="363">
        <f t="shared" si="13"/>
        <v>225711492</v>
      </c>
      <c r="AO16" s="363">
        <f t="shared" si="13"/>
        <v>0</v>
      </c>
      <c r="AP16" s="363">
        <f t="shared" si="13"/>
        <v>0</v>
      </c>
      <c r="AQ16" s="363">
        <f t="shared" si="13"/>
        <v>145468477</v>
      </c>
      <c r="AR16" s="363">
        <f t="shared" si="13"/>
        <v>9064999</v>
      </c>
      <c r="AS16" s="363">
        <f t="shared" si="13"/>
        <v>95595406</v>
      </c>
      <c r="AT16" s="363">
        <f t="shared" si="13"/>
        <v>28395387</v>
      </c>
      <c r="AU16" s="363">
        <f t="shared" si="13"/>
        <v>145468477</v>
      </c>
      <c r="AV16" s="363">
        <f t="shared" si="13"/>
        <v>186104768</v>
      </c>
      <c r="AW16" s="363">
        <f t="shared" si="13"/>
        <v>145468477</v>
      </c>
      <c r="AX16" s="363">
        <f t="shared" si="13"/>
        <v>226020001</v>
      </c>
      <c r="AY16" s="363">
        <f t="shared" si="13"/>
        <v>145468478</v>
      </c>
      <c r="AZ16" s="363">
        <f t="shared" si="13"/>
        <v>186969331</v>
      </c>
      <c r="BA16" s="363">
        <f t="shared" si="13"/>
        <v>1872255442</v>
      </c>
      <c r="BB16" s="363">
        <f t="shared" si="13"/>
        <v>1872255442</v>
      </c>
      <c r="BC16" s="363">
        <f t="shared" si="13"/>
        <v>1834322762</v>
      </c>
      <c r="BD16" s="363">
        <f t="shared" si="13"/>
        <v>1872255442</v>
      </c>
      <c r="BE16" s="363">
        <f t="shared" si="13"/>
        <v>1834322762</v>
      </c>
      <c r="BF16" s="363">
        <f t="shared" si="13"/>
        <v>2777211926</v>
      </c>
      <c r="BG16" s="363">
        <f t="shared" si="13"/>
        <v>1236838800</v>
      </c>
      <c r="BH16" s="363">
        <f t="shared" si="13"/>
        <v>665963000</v>
      </c>
      <c r="BI16" s="363">
        <f t="shared" si="13"/>
        <v>114403771</v>
      </c>
      <c r="BJ16" s="363">
        <f t="shared" si="13"/>
        <v>42955919</v>
      </c>
      <c r="BK16" s="363">
        <f t="shared" ref="BK16:CD16" si="14">+BK11+BK14</f>
        <v>810926056</v>
      </c>
      <c r="BL16" s="363">
        <f t="shared" si="14"/>
        <v>0</v>
      </c>
      <c r="BM16" s="363">
        <f t="shared" si="14"/>
        <v>37348492</v>
      </c>
      <c r="BN16" s="363">
        <f t="shared" si="14"/>
        <v>0</v>
      </c>
      <c r="BO16" s="363">
        <f t="shared" si="14"/>
        <v>26178859</v>
      </c>
      <c r="BP16" s="363">
        <f t="shared" si="14"/>
        <v>112000000</v>
      </c>
      <c r="BQ16" s="363">
        <f t="shared" si="14"/>
        <v>150301287</v>
      </c>
      <c r="BR16" s="363">
        <f t="shared" si="14"/>
        <v>38000000</v>
      </c>
      <c r="BS16" s="363">
        <f t="shared" si="14"/>
        <v>217804198</v>
      </c>
      <c r="BT16" s="363">
        <f t="shared" si="14"/>
        <v>514647007</v>
      </c>
      <c r="BU16" s="363">
        <f t="shared" si="14"/>
        <v>124010463</v>
      </c>
      <c r="BV16" s="363">
        <f>+BV11+BV14</f>
        <v>-1518487</v>
      </c>
      <c r="BW16" s="363">
        <f t="shared" si="14"/>
        <v>-175470891</v>
      </c>
      <c r="BX16" s="363">
        <f t="shared" si="14"/>
        <v>-91434667</v>
      </c>
      <c r="BY16" s="363">
        <f t="shared" si="14"/>
        <v>2000000</v>
      </c>
      <c r="BZ16" s="363">
        <f t="shared" si="14"/>
        <v>0</v>
      </c>
      <c r="CA16" s="363">
        <f t="shared" si="14"/>
        <v>0</v>
      </c>
      <c r="CB16" s="363">
        <f t="shared" si="14"/>
        <v>0</v>
      </c>
      <c r="CC16" s="363">
        <f t="shared" si="14"/>
        <v>0</v>
      </c>
      <c r="CD16" s="363">
        <f t="shared" si="14"/>
        <v>0</v>
      </c>
      <c r="CE16" s="363">
        <f t="shared" si="11"/>
        <v>2544341035</v>
      </c>
      <c r="CF16" s="363">
        <f t="shared" si="11"/>
        <v>2542341035</v>
      </c>
      <c r="CG16" s="363">
        <f t="shared" si="11"/>
        <v>1280612772</v>
      </c>
      <c r="CH16" s="364">
        <f t="shared" si="11"/>
        <v>2544341035</v>
      </c>
      <c r="CI16" s="364">
        <f>+CI11+CI14</f>
        <v>1280612772</v>
      </c>
      <c r="CJ16" s="363">
        <f t="shared" si="11"/>
        <v>1850347000</v>
      </c>
      <c r="CK16" s="363"/>
      <c r="CL16" s="363"/>
      <c r="CM16" s="363"/>
      <c r="CN16" s="363"/>
      <c r="CO16" s="363"/>
      <c r="CP16" s="363"/>
      <c r="CQ16" s="363"/>
      <c r="CR16" s="363"/>
      <c r="CS16" s="363"/>
      <c r="CT16" s="363"/>
      <c r="CU16" s="363"/>
      <c r="CV16" s="363"/>
      <c r="CW16" s="363"/>
      <c r="CX16" s="363"/>
      <c r="CY16" s="363"/>
      <c r="CZ16" s="363"/>
      <c r="DA16" s="363"/>
      <c r="DB16" s="363"/>
      <c r="DC16" s="363"/>
      <c r="DD16" s="363"/>
      <c r="DE16" s="363"/>
      <c r="DF16" s="363"/>
      <c r="DG16" s="363"/>
      <c r="DH16" s="363"/>
      <c r="DI16" s="364">
        <f>DG16+DE16+DC16+DA16+CY16+CW16+CU16+CS16+CQ16+CO16+CM16+CK16</f>
        <v>0</v>
      </c>
      <c r="DJ16" s="363">
        <f>+DJ11+DJ14</f>
        <v>0</v>
      </c>
      <c r="DK16" s="365">
        <f>DK11+DK14</f>
        <v>0</v>
      </c>
      <c r="DL16" s="363">
        <f>+DL11+DL14</f>
        <v>0</v>
      </c>
      <c r="DM16" s="363">
        <f>+DM11+DM14</f>
        <v>0</v>
      </c>
      <c r="DN16" s="363">
        <f>+DN11+DN14</f>
        <v>812639000</v>
      </c>
      <c r="DO16" s="330"/>
      <c r="DP16" s="330"/>
      <c r="DQ16" s="330"/>
      <c r="DR16" s="330"/>
      <c r="DS16" s="330"/>
      <c r="DT16" s="330"/>
      <c r="DU16" s="330"/>
      <c r="DV16" s="330"/>
      <c r="DW16" s="330"/>
      <c r="DX16" s="330"/>
      <c r="DY16" s="330"/>
      <c r="DZ16" s="330"/>
      <c r="EA16" s="330"/>
      <c r="EB16" s="330"/>
      <c r="EC16" s="330"/>
      <c r="ED16" s="330"/>
      <c r="EE16" s="330"/>
      <c r="EF16" s="330"/>
      <c r="EG16" s="330"/>
      <c r="EH16" s="330"/>
      <c r="EI16" s="330"/>
      <c r="EJ16" s="330"/>
      <c r="EK16" s="330"/>
      <c r="EL16" s="330"/>
      <c r="EM16" s="331">
        <f>EK16+EI16+EG16+EE16+EC16+EA16+DY16+DW16+DU16+DS16+DQ16+DO16</f>
        <v>0</v>
      </c>
      <c r="EN16" s="332">
        <f>+EN11+EN14</f>
        <v>0</v>
      </c>
      <c r="EO16" s="333">
        <f>EO11+EO14</f>
        <v>0</v>
      </c>
      <c r="EP16" s="332">
        <f>+EP11+EP14</f>
        <v>0</v>
      </c>
      <c r="EQ16" s="332">
        <f>+EQ11+EQ14</f>
        <v>0</v>
      </c>
      <c r="ER16" s="334">
        <f t="shared" si="3"/>
        <v>0.52108168186140913</v>
      </c>
      <c r="ES16" s="291">
        <f t="shared" si="5"/>
        <v>0.50371399995909671</v>
      </c>
      <c r="ET16" s="292">
        <f t="shared" si="6"/>
        <v>0.50331805146553399</v>
      </c>
      <c r="EU16" s="293">
        <f t="shared" si="4"/>
        <v>0.7403355364143539</v>
      </c>
      <c r="EV16" s="294">
        <f t="shared" si="7"/>
        <v>0.49481750071190694</v>
      </c>
      <c r="EW16" s="454"/>
      <c r="EX16" s="458" t="s">
        <v>606</v>
      </c>
      <c r="EY16" s="458" t="s">
        <v>606</v>
      </c>
      <c r="EZ16" s="460"/>
      <c r="FA16" s="460"/>
      <c r="FB16" s="462"/>
    </row>
    <row r="17" spans="1:159" s="109" customFormat="1" ht="30.75" customHeight="1" x14ac:dyDescent="0.25">
      <c r="A17" s="453" t="s">
        <v>304</v>
      </c>
      <c r="B17" s="453">
        <v>2</v>
      </c>
      <c r="C17" s="453" t="s">
        <v>309</v>
      </c>
      <c r="D17" s="453" t="s">
        <v>266</v>
      </c>
      <c r="E17" s="453">
        <v>272</v>
      </c>
      <c r="F17" s="205" t="s">
        <v>40</v>
      </c>
      <c r="G17" s="276">
        <f>+AA17+BD17+BF17+CJ17+DN17</f>
        <v>29</v>
      </c>
      <c r="H17" s="322">
        <v>4</v>
      </c>
      <c r="I17" s="322"/>
      <c r="J17" s="322"/>
      <c r="K17" s="322"/>
      <c r="L17" s="322"/>
      <c r="M17" s="322"/>
      <c r="N17" s="322"/>
      <c r="O17" s="322"/>
      <c r="P17" s="322"/>
      <c r="Q17" s="322"/>
      <c r="R17" s="322"/>
      <c r="S17" s="322"/>
      <c r="T17" s="322"/>
      <c r="U17" s="322"/>
      <c r="V17" s="322"/>
      <c r="W17" s="322">
        <v>4</v>
      </c>
      <c r="X17" s="322">
        <v>4</v>
      </c>
      <c r="Y17" s="322">
        <v>4</v>
      </c>
      <c r="Z17" s="322">
        <v>4</v>
      </c>
      <c r="AA17" s="322">
        <v>4</v>
      </c>
      <c r="AB17" s="322">
        <v>8</v>
      </c>
      <c r="AC17" s="323">
        <v>0.2</v>
      </c>
      <c r="AD17" s="323">
        <v>0.2</v>
      </c>
      <c r="AE17" s="323">
        <v>0.25</v>
      </c>
      <c r="AF17" s="323">
        <v>0.25</v>
      </c>
      <c r="AG17" s="323">
        <v>0.55000000000000004</v>
      </c>
      <c r="AH17" s="323">
        <v>0.55000000000000004</v>
      </c>
      <c r="AI17" s="323">
        <v>0.6</v>
      </c>
      <c r="AJ17" s="323">
        <v>0.6</v>
      </c>
      <c r="AK17" s="323">
        <v>0.7</v>
      </c>
      <c r="AL17" s="323">
        <v>0.7</v>
      </c>
      <c r="AM17" s="323">
        <v>0.7</v>
      </c>
      <c r="AN17" s="323">
        <v>0.7</v>
      </c>
      <c r="AO17" s="323">
        <v>0.75</v>
      </c>
      <c r="AP17" s="323">
        <v>0.75</v>
      </c>
      <c r="AQ17" s="323">
        <v>0.85</v>
      </c>
      <c r="AR17" s="323">
        <v>0.85</v>
      </c>
      <c r="AS17" s="323">
        <v>1.05</v>
      </c>
      <c r="AT17" s="323">
        <v>1.05</v>
      </c>
      <c r="AU17" s="323">
        <v>0.85</v>
      </c>
      <c r="AV17" s="323">
        <v>0.85</v>
      </c>
      <c r="AW17" s="323">
        <v>0.6</v>
      </c>
      <c r="AX17" s="323">
        <v>0.6</v>
      </c>
      <c r="AY17" s="323">
        <v>0.9</v>
      </c>
      <c r="AZ17" s="323">
        <v>0.9</v>
      </c>
      <c r="BA17" s="322">
        <f>AY17+AW17+AU17+AS17+AQ17+AO17+AM17+AK17+AI17+AG17+AE17+AC17</f>
        <v>8</v>
      </c>
      <c r="BB17" s="322">
        <f t="shared" ref="BB17:BC21" si="15">AC17+AE17+AG17+AI17+AK17+AM17+AO17+AQ17+AS17+AU17+AW17+AY17</f>
        <v>7.9999999999999991</v>
      </c>
      <c r="BC17" s="322">
        <f t="shared" si="15"/>
        <v>7.9999999999999991</v>
      </c>
      <c r="BD17" s="322">
        <f>AE17+AG17+AI17+AK17+AM17+AO17+AQ17+AS17+AU17+AW17+AY17+AC17</f>
        <v>7.9999999999999991</v>
      </c>
      <c r="BE17" s="322">
        <f>AD17+AF17+AH17+AJ17+AL17+AN17+AP17+AR17+AT17+AV17+AX17+AZ17</f>
        <v>7.9999999999999991</v>
      </c>
      <c r="BF17" s="323">
        <v>6</v>
      </c>
      <c r="BG17" s="323">
        <v>0.2</v>
      </c>
      <c r="BH17" s="323">
        <v>0</v>
      </c>
      <c r="BI17" s="323">
        <v>0.25</v>
      </c>
      <c r="BJ17" s="323">
        <v>0.45</v>
      </c>
      <c r="BK17" s="323">
        <v>0.55000000000000004</v>
      </c>
      <c r="BL17" s="323">
        <v>0.55000000000000004</v>
      </c>
      <c r="BM17" s="323">
        <v>0.60000000000000009</v>
      </c>
      <c r="BN17" s="323">
        <v>0.6</v>
      </c>
      <c r="BO17" s="323">
        <v>0.7</v>
      </c>
      <c r="BP17" s="323">
        <v>0.7</v>
      </c>
      <c r="BQ17" s="323">
        <v>0.7</v>
      </c>
      <c r="BR17" s="323">
        <v>0.7</v>
      </c>
      <c r="BS17" s="323">
        <v>0.30000000000000004</v>
      </c>
      <c r="BT17" s="323">
        <v>0.3</v>
      </c>
      <c r="BU17" s="323">
        <v>0.2</v>
      </c>
      <c r="BV17" s="323">
        <v>0.2</v>
      </c>
      <c r="BW17" s="323">
        <v>0.6</v>
      </c>
      <c r="BX17" s="323">
        <v>0.6</v>
      </c>
      <c r="BY17" s="323">
        <v>0.6</v>
      </c>
      <c r="BZ17" s="322"/>
      <c r="CA17" s="323">
        <v>0.7</v>
      </c>
      <c r="CB17" s="322"/>
      <c r="CC17" s="323">
        <v>0.6</v>
      </c>
      <c r="CD17" s="322"/>
      <c r="CE17" s="323">
        <f>CC17+CA17+BY17+BW17+BU17+BS17+BQ17+BO17+BM17+BK17+BI17+BG17</f>
        <v>6</v>
      </c>
      <c r="CF17" s="323">
        <f t="shared" ref="CF17:CG21" si="16">+BG17+BI17+BK17+BM17+BO17+BQ17+BS17+BU17+BW17</f>
        <v>4.0999999999999996</v>
      </c>
      <c r="CG17" s="324">
        <f t="shared" si="16"/>
        <v>4.0999999999999996</v>
      </c>
      <c r="CH17" s="324">
        <f>CC17+CA17+BY17+BW17+BU17+BS17+BQ17+BO17+BM17+BK17+BI17+BG17</f>
        <v>6</v>
      </c>
      <c r="CI17" s="324">
        <f>+BH17+BJ17+BL17+BN17+BP17+BR17+BT17+BV17+BX17</f>
        <v>4.0999999999999996</v>
      </c>
      <c r="CJ17" s="366">
        <v>7</v>
      </c>
      <c r="CK17" s="366"/>
      <c r="CL17" s="366"/>
      <c r="CM17" s="366"/>
      <c r="CN17" s="366"/>
      <c r="CO17" s="366"/>
      <c r="CP17" s="366"/>
      <c r="CQ17" s="366"/>
      <c r="CR17" s="366"/>
      <c r="CS17" s="366"/>
      <c r="CT17" s="366"/>
      <c r="CU17" s="366"/>
      <c r="CV17" s="366"/>
      <c r="CW17" s="366"/>
      <c r="CX17" s="366"/>
      <c r="CY17" s="366"/>
      <c r="CZ17" s="366"/>
      <c r="DA17" s="366"/>
      <c r="DB17" s="366"/>
      <c r="DC17" s="366"/>
      <c r="DD17" s="366"/>
      <c r="DE17" s="366"/>
      <c r="DF17" s="366"/>
      <c r="DG17" s="366"/>
      <c r="DH17" s="366"/>
      <c r="DI17" s="366">
        <f>DG17+DE17+DC17+DA17+CY17+CW17+CU17+CS17+CQ17+CO17+CM17+CK17</f>
        <v>0</v>
      </c>
      <c r="DJ17" s="366">
        <f>CK17+CM17+CO17+CQ17</f>
        <v>0</v>
      </c>
      <c r="DK17" s="366">
        <f>CL17+CN17+CP17+CR17</f>
        <v>0</v>
      </c>
      <c r="DL17" s="325">
        <f>CM17+CO17+CQ17+CS17+CU17+CW17+CY17+DA17+DC17+DE17+DG17+CK17</f>
        <v>0</v>
      </c>
      <c r="DM17" s="366">
        <f>CL17+CN17+CP17+CR17</f>
        <v>0</v>
      </c>
      <c r="DN17" s="366">
        <v>4</v>
      </c>
      <c r="DO17" s="326"/>
      <c r="DP17" s="326"/>
      <c r="DQ17" s="326"/>
      <c r="DR17" s="326"/>
      <c r="DS17" s="326"/>
      <c r="DT17" s="326"/>
      <c r="DU17" s="326"/>
      <c r="DV17" s="326"/>
      <c r="DW17" s="326"/>
      <c r="DX17" s="326"/>
      <c r="DY17" s="326"/>
      <c r="DZ17" s="326"/>
      <c r="EA17" s="326"/>
      <c r="EB17" s="326"/>
      <c r="EC17" s="326"/>
      <c r="ED17" s="326"/>
      <c r="EE17" s="326"/>
      <c r="EF17" s="326"/>
      <c r="EG17" s="327"/>
      <c r="EH17" s="327"/>
      <c r="EI17" s="327"/>
      <c r="EJ17" s="327"/>
      <c r="EK17" s="327"/>
      <c r="EL17" s="327"/>
      <c r="EM17" s="327">
        <f>EK17+EI17+EG17+EE17+EC17+EA17+DY17+DW17+DU17+DS17+DQ17+DO17</f>
        <v>0</v>
      </c>
      <c r="EN17" s="327">
        <f t="shared" ref="EN17:EN22" si="17">DO17+DQ17+DS17+DU17</f>
        <v>0</v>
      </c>
      <c r="EO17" s="327">
        <f t="shared" ref="EO17:EO22" si="18">DP17+DR17+DT17+DV17</f>
        <v>0</v>
      </c>
      <c r="EP17" s="328">
        <f>DQ17+DS17+DU17+DW17+DY17+EA17+EC17+EE17+EG17+EI17+EK17+DO17</f>
        <v>0</v>
      </c>
      <c r="EQ17" s="327">
        <f>DP17+DR17+DT17+DV17</f>
        <v>0</v>
      </c>
      <c r="ER17" s="329">
        <f t="shared" si="3"/>
        <v>1</v>
      </c>
      <c r="ES17" s="295">
        <f t="shared" si="5"/>
        <v>1</v>
      </c>
      <c r="ET17" s="296">
        <f t="shared" si="6"/>
        <v>0.68333333333333324</v>
      </c>
      <c r="EU17" s="297">
        <f t="shared" si="4"/>
        <v>1</v>
      </c>
      <c r="EV17" s="296">
        <f t="shared" si="7"/>
        <v>0.55517241379310345</v>
      </c>
      <c r="EW17" s="454" t="s">
        <v>677</v>
      </c>
      <c r="EX17" s="458" t="s">
        <v>606</v>
      </c>
      <c r="EY17" s="458" t="s">
        <v>606</v>
      </c>
      <c r="EZ17" s="460" t="s">
        <v>559</v>
      </c>
      <c r="FA17" s="460" t="s">
        <v>560</v>
      </c>
      <c r="FB17" s="462"/>
      <c r="FC17" s="3"/>
    </row>
    <row r="18" spans="1:159" s="113" customFormat="1" ht="30.75" customHeight="1" x14ac:dyDescent="0.25">
      <c r="A18" s="453"/>
      <c r="B18" s="453"/>
      <c r="C18" s="453"/>
      <c r="D18" s="453"/>
      <c r="E18" s="453"/>
      <c r="F18" s="206" t="s">
        <v>3</v>
      </c>
      <c r="G18" s="272">
        <f>AA18+BE18+CH18+CJ18+DN18</f>
        <v>10004968232</v>
      </c>
      <c r="H18" s="107">
        <v>613840322</v>
      </c>
      <c r="I18" s="108"/>
      <c r="J18" s="108"/>
      <c r="K18" s="108"/>
      <c r="L18" s="108"/>
      <c r="M18" s="108"/>
      <c r="N18" s="108"/>
      <c r="O18" s="108"/>
      <c r="P18" s="108"/>
      <c r="Q18" s="108"/>
      <c r="R18" s="108"/>
      <c r="S18" s="108"/>
      <c r="T18" s="107"/>
      <c r="U18" s="119"/>
      <c r="V18" s="119"/>
      <c r="W18" s="107">
        <v>613840322</v>
      </c>
      <c r="X18" s="107">
        <v>613840322</v>
      </c>
      <c r="Y18" s="119">
        <v>670473105</v>
      </c>
      <c r="Z18" s="119">
        <v>826840322</v>
      </c>
      <c r="AA18" s="119">
        <v>670473105</v>
      </c>
      <c r="AB18" s="119">
        <v>1374057000</v>
      </c>
      <c r="AC18" s="108">
        <v>0</v>
      </c>
      <c r="AD18" s="108">
        <v>0</v>
      </c>
      <c r="AE18" s="119">
        <v>582050000</v>
      </c>
      <c r="AF18" s="108">
        <f>582050000-AD18</f>
        <v>582050000</v>
      </c>
      <c r="AG18" s="108">
        <v>539567000</v>
      </c>
      <c r="AH18" s="108">
        <f>1121617000-AF18-AD18</f>
        <v>539567000</v>
      </c>
      <c r="AI18" s="108">
        <v>94112000</v>
      </c>
      <c r="AJ18" s="108">
        <f>1215729000-AH18-AF18-AD18</f>
        <v>94112000</v>
      </c>
      <c r="AK18" s="108">
        <v>0</v>
      </c>
      <c r="AL18" s="108">
        <f>1215729000-AJ18-AH18-AF18-AD18</f>
        <v>0</v>
      </c>
      <c r="AM18" s="108">
        <v>0</v>
      </c>
      <c r="AN18" s="108">
        <v>0</v>
      </c>
      <c r="AO18" s="108">
        <v>0</v>
      </c>
      <c r="AP18" s="108">
        <v>24890000</v>
      </c>
      <c r="AQ18" s="108">
        <f>15755000+22212600</f>
        <v>37967600</v>
      </c>
      <c r="AR18" s="108">
        <v>0</v>
      </c>
      <c r="AS18" s="108">
        <f>15755000+22212600+15940314</f>
        <v>53907914</v>
      </c>
      <c r="AT18" s="108">
        <v>15763667</v>
      </c>
      <c r="AU18" s="108">
        <f>15755000+22212600</f>
        <v>37967600</v>
      </c>
      <c r="AV18" s="108">
        <v>42747866</v>
      </c>
      <c r="AW18" s="108">
        <v>22212600</v>
      </c>
      <c r="AX18" s="108">
        <v>26787667</v>
      </c>
      <c r="AY18" s="108">
        <v>22212600</v>
      </c>
      <c r="AZ18" s="108">
        <v>12430600</v>
      </c>
      <c r="BA18" s="117">
        <f>AY18+AW18+AU18+AS18+AQ18+AO18+AM18+AK18+AI18+AG18+AE18+AC18</f>
        <v>1389997314</v>
      </c>
      <c r="BB18" s="117">
        <f t="shared" si="15"/>
        <v>1389997314</v>
      </c>
      <c r="BC18" s="117">
        <f t="shared" si="15"/>
        <v>1338348800</v>
      </c>
      <c r="BD18" s="117">
        <f>AE18+AG18+AI18+AK18+AM18+AO18+AQ18+AS18+AU18+AW18+AY18+AC18</f>
        <v>1389997314</v>
      </c>
      <c r="BE18" s="117">
        <f>AD18+AF18+AH18+AJ18+AL18+AN18+AP18+AR18+AT18+AV18+AX18+AZ18</f>
        <v>1338348800</v>
      </c>
      <c r="BF18" s="117">
        <v>6130432000</v>
      </c>
      <c r="BG18" s="108">
        <v>1620441000</v>
      </c>
      <c r="BH18" s="108">
        <v>1835843000</v>
      </c>
      <c r="BI18" s="108">
        <v>0</v>
      </c>
      <c r="BJ18" s="108">
        <v>0</v>
      </c>
      <c r="BK18" s="108">
        <f>25000000+88827000</f>
        <v>113827000</v>
      </c>
      <c r="BL18" s="108">
        <v>0</v>
      </c>
      <c r="BM18" s="108">
        <v>450000000</v>
      </c>
      <c r="BN18" s="108">
        <v>0</v>
      </c>
      <c r="BO18" s="108">
        <v>0</v>
      </c>
      <c r="BP18" s="108">
        <v>0</v>
      </c>
      <c r="BQ18" s="108">
        <v>4034991000</v>
      </c>
      <c r="BR18" s="108">
        <v>90000000</v>
      </c>
      <c r="BS18" s="108">
        <v>0</v>
      </c>
      <c r="BT18" s="108">
        <v>-45866000</v>
      </c>
      <c r="BU18" s="108">
        <v>-60207700</v>
      </c>
      <c r="BV18" s="108">
        <v>0</v>
      </c>
      <c r="BW18" s="108">
        <v>-622145332</v>
      </c>
      <c r="BX18" s="108">
        <v>235812834</v>
      </c>
      <c r="BY18" s="108">
        <v>152842359</v>
      </c>
      <c r="BZ18" s="108"/>
      <c r="CA18" s="108">
        <v>0</v>
      </c>
      <c r="CB18" s="108"/>
      <c r="CC18" s="108">
        <v>0</v>
      </c>
      <c r="CD18" s="108"/>
      <c r="CE18" s="108">
        <f>CC18+CA18+BY18+BW18+BU18+BS18+BQ18+BO18+BM18+BK18+BI18+BG18</f>
        <v>5689748327</v>
      </c>
      <c r="CF18" s="108">
        <f t="shared" si="16"/>
        <v>5536905968</v>
      </c>
      <c r="CG18" s="107">
        <f t="shared" si="16"/>
        <v>2115789834</v>
      </c>
      <c r="CH18" s="107">
        <f>CC18+CA18+BY18+BW18+BU18+BS18+BQ18+BO18+BM18+BK18+BI18+BG18</f>
        <v>5689748327</v>
      </c>
      <c r="CI18" s="107">
        <f>+BH18+BJ18+BL18+BN18+BP18+BR18+BT18+BV18+BX18</f>
        <v>2115789834</v>
      </c>
      <c r="CJ18" s="108">
        <v>1515392000</v>
      </c>
      <c r="CK18" s="108"/>
      <c r="CL18" s="108"/>
      <c r="CM18" s="108"/>
      <c r="CN18" s="108"/>
      <c r="CO18" s="108"/>
      <c r="CP18" s="108"/>
      <c r="CQ18" s="108"/>
      <c r="CR18" s="108"/>
      <c r="CS18" s="108"/>
      <c r="CT18" s="108"/>
      <c r="CU18" s="108"/>
      <c r="CV18" s="108"/>
      <c r="CW18" s="108"/>
      <c r="CX18" s="108"/>
      <c r="CY18" s="108"/>
      <c r="CZ18" s="108"/>
      <c r="DA18" s="108"/>
      <c r="DB18" s="108"/>
      <c r="DC18" s="108"/>
      <c r="DD18" s="108"/>
      <c r="DE18" s="108"/>
      <c r="DF18" s="108"/>
      <c r="DG18" s="108"/>
      <c r="DH18" s="108"/>
      <c r="DI18" s="107">
        <f>DG18+DE18+DC18+DA18+CY18+CW18+CU18+CS18+CQ18+CO18+CM18+CK18</f>
        <v>0</v>
      </c>
      <c r="DJ18" s="117">
        <f>CK18+CM18+CO18+CQ18</f>
        <v>0</v>
      </c>
      <c r="DK18" s="117">
        <f>CL18+CN18+CP18+CR18</f>
        <v>0</v>
      </c>
      <c r="DL18" s="107">
        <f>CM18+CO18+CQ18+CS18+CU18+CW18+CY18+DA18+DC18+DE18+DG18+CK18</f>
        <v>0</v>
      </c>
      <c r="DM18" s="117">
        <f>CL18+CN18+CP18+CR18</f>
        <v>0</v>
      </c>
      <c r="DN18" s="108">
        <v>791006000</v>
      </c>
      <c r="DO18" s="110"/>
      <c r="DP18" s="110"/>
      <c r="DQ18" s="110"/>
      <c r="DR18" s="110"/>
      <c r="DS18" s="110"/>
      <c r="DT18" s="110"/>
      <c r="DU18" s="110"/>
      <c r="DV18" s="110"/>
      <c r="DW18" s="110"/>
      <c r="DX18" s="110"/>
      <c r="DY18" s="110"/>
      <c r="DZ18" s="110"/>
      <c r="EA18" s="110"/>
      <c r="EB18" s="110"/>
      <c r="EC18" s="110"/>
      <c r="ED18" s="110"/>
      <c r="EE18" s="110"/>
      <c r="EF18" s="110"/>
      <c r="EG18" s="110"/>
      <c r="EH18" s="110"/>
      <c r="EI18" s="110"/>
      <c r="EJ18" s="110"/>
      <c r="EK18" s="110"/>
      <c r="EL18" s="110"/>
      <c r="EM18" s="298">
        <f>EK18+EI18+EG18+EE18+EC18+EA18+DY18+DW18+DU18+DS18+DQ18+DO18</f>
        <v>0</v>
      </c>
      <c r="EN18" s="111">
        <f t="shared" si="17"/>
        <v>0</v>
      </c>
      <c r="EO18" s="111">
        <f t="shared" si="18"/>
        <v>0</v>
      </c>
      <c r="EP18" s="112">
        <f>DQ18+DS18+DU18+DW18+DY18+EA18+EC18+EE18+EG18+EI18+EK18+DO18</f>
        <v>0</v>
      </c>
      <c r="EQ18" s="111">
        <f>DP18+DR18+DT18+DV18</f>
        <v>0</v>
      </c>
      <c r="ER18" s="122">
        <f t="shared" si="3"/>
        <v>-0.37903175009275808</v>
      </c>
      <c r="ES18" s="285">
        <f t="shared" si="5"/>
        <v>0.38212493515837148</v>
      </c>
      <c r="ET18" s="286">
        <f t="shared" si="6"/>
        <v>0.37186000371225209</v>
      </c>
      <c r="EU18" s="287">
        <f t="shared" si="4"/>
        <v>0.53195100968675257</v>
      </c>
      <c r="EV18" s="286">
        <f t="shared" si="7"/>
        <v>0.41225635537830063</v>
      </c>
      <c r="EW18" s="454"/>
      <c r="EX18" s="458" t="s">
        <v>606</v>
      </c>
      <c r="EY18" s="458" t="s">
        <v>606</v>
      </c>
      <c r="EZ18" s="460"/>
      <c r="FA18" s="460"/>
      <c r="FB18" s="462"/>
    </row>
    <row r="19" spans="1:159" s="113" customFormat="1" ht="30.75" customHeight="1" x14ac:dyDescent="0.25">
      <c r="A19" s="453"/>
      <c r="B19" s="453"/>
      <c r="C19" s="453"/>
      <c r="D19" s="453"/>
      <c r="E19" s="453"/>
      <c r="F19" s="207" t="s">
        <v>216</v>
      </c>
      <c r="G19" s="273"/>
      <c r="H19" s="107"/>
      <c r="I19" s="108"/>
      <c r="J19" s="108"/>
      <c r="K19" s="108"/>
      <c r="L19" s="108"/>
      <c r="M19" s="108"/>
      <c r="N19" s="108"/>
      <c r="O19" s="108"/>
      <c r="P19" s="108"/>
      <c r="Q19" s="108"/>
      <c r="R19" s="108"/>
      <c r="S19" s="108"/>
      <c r="T19" s="107"/>
      <c r="U19" s="119"/>
      <c r="V19" s="119"/>
      <c r="W19" s="107"/>
      <c r="X19" s="107"/>
      <c r="Y19" s="107"/>
      <c r="Z19" s="119"/>
      <c r="AA19" s="119"/>
      <c r="AB19" s="119"/>
      <c r="AC19" s="108">
        <v>0</v>
      </c>
      <c r="AD19" s="108">
        <v>0</v>
      </c>
      <c r="AE19" s="119">
        <v>0</v>
      </c>
      <c r="AF19" s="108">
        <v>0</v>
      </c>
      <c r="AG19" s="108">
        <v>3498367</v>
      </c>
      <c r="AH19" s="108">
        <v>3498367</v>
      </c>
      <c r="AI19" s="108">
        <v>88785267</v>
      </c>
      <c r="AJ19" s="108">
        <f>92283634-AH19</f>
        <v>88785267</v>
      </c>
      <c r="AK19" s="108">
        <v>122743101</v>
      </c>
      <c r="AL19" s="108">
        <f>211528368-AJ19-AH19</f>
        <v>119244734</v>
      </c>
      <c r="AM19" s="108">
        <v>175067700</v>
      </c>
      <c r="AN19" s="108">
        <v>175067700</v>
      </c>
      <c r="AO19" s="108">
        <v>0</v>
      </c>
      <c r="AP19" s="108">
        <v>147283000</v>
      </c>
      <c r="AQ19" s="108">
        <v>0</v>
      </c>
      <c r="AR19" s="108">
        <v>142960000</v>
      </c>
      <c r="AS19" s="108">
        <v>0</v>
      </c>
      <c r="AT19" s="108">
        <v>149431400</v>
      </c>
      <c r="AU19" s="108">
        <v>0</v>
      </c>
      <c r="AV19" s="108">
        <v>147938000</v>
      </c>
      <c r="AW19" s="108">
        <v>0</v>
      </c>
      <c r="AX19" s="108">
        <v>139522000</v>
      </c>
      <c r="AY19" s="108">
        <v>0</v>
      </c>
      <c r="AZ19" s="108">
        <v>169754698</v>
      </c>
      <c r="BA19" s="117">
        <f>AY19+AW19+AU19+AS19+AQ19+AO19+AM19+AK19+AI19+AG19+AE19+AC19</f>
        <v>390094435</v>
      </c>
      <c r="BB19" s="117">
        <f t="shared" si="15"/>
        <v>390094435</v>
      </c>
      <c r="BC19" s="117">
        <f t="shared" si="15"/>
        <v>1283485166</v>
      </c>
      <c r="BD19" s="117">
        <f>AE19+AG19+AI19+AK19+AM19+AO19+AQ19+AS19+AU19+AW19+AY19+AC19</f>
        <v>390094435</v>
      </c>
      <c r="BE19" s="117">
        <f>AD19+AF19+AH19+AJ19+AL19+AN19+AP19+AR19+AT19+AV19+AX19+AZ19</f>
        <v>1283485166</v>
      </c>
      <c r="BF19" s="108">
        <v>0</v>
      </c>
      <c r="BG19" s="108">
        <v>0</v>
      </c>
      <c r="BH19" s="108">
        <v>0</v>
      </c>
      <c r="BI19" s="108"/>
      <c r="BJ19" s="108">
        <v>3828801</v>
      </c>
      <c r="BK19" s="108"/>
      <c r="BL19" s="108">
        <v>168435968</v>
      </c>
      <c r="BM19" s="108"/>
      <c r="BN19" s="108">
        <v>230989133</v>
      </c>
      <c r="BO19" s="108"/>
      <c r="BP19" s="108">
        <v>200317933</v>
      </c>
      <c r="BQ19" s="108"/>
      <c r="BR19" s="108">
        <v>220946000</v>
      </c>
      <c r="BS19" s="108"/>
      <c r="BT19" s="108">
        <v>196290000</v>
      </c>
      <c r="BU19" s="108">
        <v>0</v>
      </c>
      <c r="BV19" s="108">
        <v>209790500</v>
      </c>
      <c r="BW19" s="108">
        <v>0</v>
      </c>
      <c r="BX19" s="108">
        <v>188565633</v>
      </c>
      <c r="BY19" s="108"/>
      <c r="BZ19" s="108"/>
      <c r="CA19" s="108"/>
      <c r="CB19" s="108"/>
      <c r="CC19" s="108"/>
      <c r="CD19" s="108"/>
      <c r="CE19" s="108">
        <f>CC19+CA19+BY19+BW19+BU19+BS19+BQ19+BO19+BM19+BK19+BI19+BG19</f>
        <v>0</v>
      </c>
      <c r="CF19" s="108">
        <f t="shared" si="16"/>
        <v>0</v>
      </c>
      <c r="CG19" s="107">
        <f t="shared" si="16"/>
        <v>1419163968</v>
      </c>
      <c r="CH19" s="107">
        <f>CC19+CA19+BY19+BW19+BU19+BS19+BQ19+BO19+BM19+BK19+BI19+BG19</f>
        <v>0</v>
      </c>
      <c r="CI19" s="107">
        <f>+BH19+BJ19+BL19+BN19+BP19+BR19+BT19+BV19+BX19</f>
        <v>1419163968</v>
      </c>
      <c r="CJ19" s="108">
        <v>0</v>
      </c>
      <c r="CK19" s="108"/>
      <c r="CL19" s="108"/>
      <c r="CM19" s="108"/>
      <c r="CN19" s="108"/>
      <c r="CO19" s="108"/>
      <c r="CP19" s="108"/>
      <c r="CQ19" s="108"/>
      <c r="CR19" s="108"/>
      <c r="CS19" s="108"/>
      <c r="CT19" s="108"/>
      <c r="CU19" s="108"/>
      <c r="CV19" s="108"/>
      <c r="CW19" s="108"/>
      <c r="CX19" s="108"/>
      <c r="CY19" s="108"/>
      <c r="CZ19" s="108"/>
      <c r="DA19" s="108"/>
      <c r="DB19" s="108"/>
      <c r="DC19" s="108"/>
      <c r="DD19" s="108"/>
      <c r="DE19" s="108"/>
      <c r="DF19" s="108"/>
      <c r="DG19" s="108"/>
      <c r="DH19" s="108"/>
      <c r="DI19" s="107"/>
      <c r="DJ19" s="117"/>
      <c r="DK19" s="117"/>
      <c r="DL19" s="107"/>
      <c r="DM19" s="117"/>
      <c r="DN19" s="108">
        <v>0</v>
      </c>
      <c r="DO19" s="110"/>
      <c r="DP19" s="110"/>
      <c r="DQ19" s="110"/>
      <c r="DR19" s="110"/>
      <c r="DS19" s="110"/>
      <c r="DT19" s="110"/>
      <c r="DU19" s="110"/>
      <c r="DV19" s="110"/>
      <c r="DW19" s="110"/>
      <c r="DX19" s="110"/>
      <c r="DY19" s="110"/>
      <c r="DZ19" s="110"/>
      <c r="EA19" s="110"/>
      <c r="EB19" s="110"/>
      <c r="EC19" s="110"/>
      <c r="ED19" s="110"/>
      <c r="EE19" s="110"/>
      <c r="EF19" s="110"/>
      <c r="EG19" s="110"/>
      <c r="EH19" s="110"/>
      <c r="EI19" s="110"/>
      <c r="EJ19" s="110"/>
      <c r="EK19" s="110"/>
      <c r="EL19" s="110"/>
      <c r="EM19" s="298">
        <f>EI19+EG19+EE19+EC19+EA19+DY19+DW19+DU19+DS19+DQ19+DO19+EK19</f>
        <v>0</v>
      </c>
      <c r="EN19" s="111">
        <f t="shared" si="17"/>
        <v>0</v>
      </c>
      <c r="EO19" s="111">
        <f t="shared" si="18"/>
        <v>0</v>
      </c>
      <c r="EP19" s="107">
        <f>DQ19+DS19+DU19+DW19+DY19+EA19+EC19+EE19+EG19+EI19+EK19</f>
        <v>0</v>
      </c>
      <c r="EQ19" s="111">
        <f>DP19+DR19+DT19+DV19</f>
        <v>0</v>
      </c>
      <c r="ER19" s="122" t="e">
        <f t="shared" si="3"/>
        <v>#DIV/0!</v>
      </c>
      <c r="ES19" s="285" t="e">
        <f t="shared" si="5"/>
        <v>#DIV/0!</v>
      </c>
      <c r="ET19" s="286" t="e">
        <f t="shared" si="6"/>
        <v>#DIV/0!</v>
      </c>
      <c r="EU19" s="287">
        <f t="shared" si="4"/>
        <v>6.9281919748483469</v>
      </c>
      <c r="EV19" s="286" t="e">
        <f t="shared" si="7"/>
        <v>#DIV/0!</v>
      </c>
      <c r="EW19" s="454"/>
      <c r="EX19" s="458" t="s">
        <v>606</v>
      </c>
      <c r="EY19" s="458" t="s">
        <v>606</v>
      </c>
      <c r="EZ19" s="460"/>
      <c r="FA19" s="460"/>
      <c r="FB19" s="462"/>
    </row>
    <row r="20" spans="1:159" s="109" customFormat="1" ht="30.75" customHeight="1" x14ac:dyDescent="0.25">
      <c r="A20" s="453"/>
      <c r="B20" s="453"/>
      <c r="C20" s="453"/>
      <c r="D20" s="453"/>
      <c r="E20" s="453"/>
      <c r="F20" s="205" t="s">
        <v>41</v>
      </c>
      <c r="G20" s="277">
        <f>+AA20+BD20+BF20+CJ20+DN20</f>
        <v>0</v>
      </c>
      <c r="H20" s="299">
        <v>0</v>
      </c>
      <c r="I20" s="299"/>
      <c r="J20" s="299"/>
      <c r="K20" s="299"/>
      <c r="L20" s="299"/>
      <c r="M20" s="299"/>
      <c r="N20" s="299"/>
      <c r="O20" s="299"/>
      <c r="P20" s="299"/>
      <c r="Q20" s="299"/>
      <c r="R20" s="299"/>
      <c r="S20" s="299"/>
      <c r="T20" s="299"/>
      <c r="U20" s="299"/>
      <c r="V20" s="299"/>
      <c r="W20" s="299">
        <v>0</v>
      </c>
      <c r="X20" s="299">
        <v>0</v>
      </c>
      <c r="Y20" s="299">
        <v>0</v>
      </c>
      <c r="Z20" s="299">
        <v>0</v>
      </c>
      <c r="AA20" s="299">
        <v>0</v>
      </c>
      <c r="AB20" s="299">
        <v>0</v>
      </c>
      <c r="AC20" s="299">
        <v>0</v>
      </c>
      <c r="AD20" s="299">
        <v>0</v>
      </c>
      <c r="AE20" s="299">
        <v>0</v>
      </c>
      <c r="AF20" s="299">
        <v>0</v>
      </c>
      <c r="AG20" s="299">
        <v>0</v>
      </c>
      <c r="AH20" s="299">
        <v>0</v>
      </c>
      <c r="AI20" s="299">
        <v>0</v>
      </c>
      <c r="AJ20" s="299">
        <v>0</v>
      </c>
      <c r="AK20" s="299">
        <v>0</v>
      </c>
      <c r="AL20" s="299">
        <v>0</v>
      </c>
      <c r="AM20" s="299">
        <v>0</v>
      </c>
      <c r="AN20" s="299">
        <v>0</v>
      </c>
      <c r="AO20" s="299">
        <v>0</v>
      </c>
      <c r="AP20" s="299">
        <v>0</v>
      </c>
      <c r="AQ20" s="299">
        <v>0</v>
      </c>
      <c r="AR20" s="299">
        <v>0</v>
      </c>
      <c r="AS20" s="299">
        <v>0</v>
      </c>
      <c r="AT20" s="299">
        <v>0</v>
      </c>
      <c r="AU20" s="299">
        <v>0</v>
      </c>
      <c r="AV20" s="299">
        <v>0</v>
      </c>
      <c r="AW20" s="299">
        <v>0</v>
      </c>
      <c r="AX20" s="299">
        <v>0</v>
      </c>
      <c r="AY20" s="299">
        <v>0</v>
      </c>
      <c r="AZ20" s="299">
        <v>0</v>
      </c>
      <c r="BA20" s="299">
        <f>AY20+AW20+AU20+AS20+AQ20+AO20+AM20+AK20+AI20+AG20+AE20+AC20</f>
        <v>0</v>
      </c>
      <c r="BB20" s="299">
        <f t="shared" si="15"/>
        <v>0</v>
      </c>
      <c r="BC20" s="299">
        <f t="shared" si="15"/>
        <v>0</v>
      </c>
      <c r="BD20" s="299">
        <f>AE20+AG20+AI20+AK20+AM20+AO20+AQ20+AS20+AU20+AW20+AY20+AC20</f>
        <v>0</v>
      </c>
      <c r="BE20" s="299">
        <f>AD20+AF20+AH20+AJ20+AL20+AN20+AP20+AR20+AT20+AV20+AX20+AZ20</f>
        <v>0</v>
      </c>
      <c r="BF20" s="299">
        <v>0</v>
      </c>
      <c r="BG20" s="303">
        <v>0</v>
      </c>
      <c r="BH20" s="303">
        <v>0</v>
      </c>
      <c r="BI20" s="303">
        <v>0</v>
      </c>
      <c r="BJ20" s="303">
        <v>0</v>
      </c>
      <c r="BK20" s="303">
        <v>0</v>
      </c>
      <c r="BL20" s="303">
        <v>0</v>
      </c>
      <c r="BM20" s="303">
        <v>0</v>
      </c>
      <c r="BN20" s="303">
        <v>0</v>
      </c>
      <c r="BO20" s="303">
        <v>0</v>
      </c>
      <c r="BP20" s="303">
        <v>0</v>
      </c>
      <c r="BQ20" s="303">
        <v>0</v>
      </c>
      <c r="BR20" s="303">
        <v>0</v>
      </c>
      <c r="BS20" s="303">
        <v>0</v>
      </c>
      <c r="BT20" s="303">
        <v>0</v>
      </c>
      <c r="BU20" s="303">
        <v>0</v>
      </c>
      <c r="BV20" s="303">
        <v>0</v>
      </c>
      <c r="BW20" s="303">
        <v>0</v>
      </c>
      <c r="BX20" s="299">
        <v>0</v>
      </c>
      <c r="BY20" s="303">
        <v>0</v>
      </c>
      <c r="BZ20" s="299"/>
      <c r="CA20" s="303">
        <v>0</v>
      </c>
      <c r="CB20" s="299"/>
      <c r="CC20" s="303">
        <v>0</v>
      </c>
      <c r="CD20" s="299"/>
      <c r="CE20" s="303">
        <f>CC20+CA20+BY20+BW20+BU20+BS20+BQ20+BO20+BM20+BK20+BI20+BG20</f>
        <v>0</v>
      </c>
      <c r="CF20" s="302">
        <f t="shared" si="16"/>
        <v>0</v>
      </c>
      <c r="CG20" s="233">
        <f t="shared" si="16"/>
        <v>0</v>
      </c>
      <c r="CH20" s="230">
        <f>CC20+CA20+BY20+BW20+BU20+BS20+BQ20+BO20+BM20+BK20+BI20+BG20</f>
        <v>0</v>
      </c>
      <c r="CI20" s="233">
        <f>+BH20+BJ20+BL20+BN20+BP20+BR20+BT20+BV20+BX20</f>
        <v>0</v>
      </c>
      <c r="CJ20" s="215">
        <v>0</v>
      </c>
      <c r="CK20" s="215"/>
      <c r="CL20" s="215"/>
      <c r="CM20" s="215"/>
      <c r="CN20" s="215"/>
      <c r="CO20" s="215"/>
      <c r="CP20" s="215"/>
      <c r="CQ20" s="215"/>
      <c r="CR20" s="215"/>
      <c r="CS20" s="215"/>
      <c r="CT20" s="215"/>
      <c r="CU20" s="215"/>
      <c r="CV20" s="215"/>
      <c r="CW20" s="215"/>
      <c r="CX20" s="215"/>
      <c r="CY20" s="215"/>
      <c r="CZ20" s="215"/>
      <c r="DA20" s="215"/>
      <c r="DB20" s="215"/>
      <c r="DC20" s="215"/>
      <c r="DD20" s="215"/>
      <c r="DE20" s="215"/>
      <c r="DF20" s="215"/>
      <c r="DG20" s="215"/>
      <c r="DH20" s="215"/>
      <c r="DI20" s="215">
        <f>DE20+DC20+DA20+CY20+CW20+CU20+CS20+CQ20+CO20+CM20+CK20+DG20</f>
        <v>0</v>
      </c>
      <c r="DJ20" s="215">
        <f t="shared" ref="DJ20:DK23" si="19">CK20+CM20+CO20+CQ20</f>
        <v>0</v>
      </c>
      <c r="DK20" s="215">
        <f t="shared" si="19"/>
        <v>0</v>
      </c>
      <c r="DL20" s="230">
        <f>CM20+CO20+CQ20+CS20+CU20+CW20+CY20+DA20+DC20+DE20+DG20</f>
        <v>0</v>
      </c>
      <c r="DM20" s="215">
        <f>CL20+CN20+CP20+CR20</f>
        <v>0</v>
      </c>
      <c r="DN20" s="215">
        <v>0</v>
      </c>
      <c r="DO20" s="301"/>
      <c r="DP20" s="301"/>
      <c r="DQ20" s="301"/>
      <c r="DR20" s="301"/>
      <c r="DS20" s="301"/>
      <c r="DT20" s="301"/>
      <c r="DU20" s="301"/>
      <c r="DV20" s="301"/>
      <c r="DW20" s="301"/>
      <c r="DX20" s="301"/>
      <c r="DY20" s="301"/>
      <c r="DZ20" s="301"/>
      <c r="EA20" s="301"/>
      <c r="EB20" s="301"/>
      <c r="EC20" s="301"/>
      <c r="ED20" s="301"/>
      <c r="EE20" s="301"/>
      <c r="EF20" s="301"/>
      <c r="EG20" s="301"/>
      <c r="EH20" s="301"/>
      <c r="EI20" s="301"/>
      <c r="EJ20" s="301"/>
      <c r="EK20" s="301"/>
      <c r="EL20" s="301"/>
      <c r="EM20" s="299">
        <f>EI20+EG20+EE20+EC20+EA20+DY20+DW20+DU20+DS20+DQ20+DO20+EK20</f>
        <v>0</v>
      </c>
      <c r="EN20" s="114">
        <f t="shared" si="17"/>
        <v>0</v>
      </c>
      <c r="EO20" s="114">
        <f t="shared" si="18"/>
        <v>0</v>
      </c>
      <c r="EP20" s="96">
        <f>DQ20+DS20+DU20+DW20+DY20+EA20+EC20+EE20+EG20+EI20+EK20</f>
        <v>0</v>
      </c>
      <c r="EQ20" s="299">
        <f>DP20+DR20+DT20+DV20</f>
        <v>0</v>
      </c>
      <c r="ER20" s="122" t="e">
        <f t="shared" si="3"/>
        <v>#DIV/0!</v>
      </c>
      <c r="ES20" s="285" t="e">
        <f t="shared" si="5"/>
        <v>#DIV/0!</v>
      </c>
      <c r="ET20" s="286" t="e">
        <f t="shared" si="6"/>
        <v>#DIV/0!</v>
      </c>
      <c r="EU20" s="287" t="e">
        <f t="shared" si="4"/>
        <v>#DIV/0!</v>
      </c>
      <c r="EV20" s="286" t="e">
        <f t="shared" si="7"/>
        <v>#DIV/0!</v>
      </c>
      <c r="EW20" s="454"/>
      <c r="EX20" s="458" t="s">
        <v>606</v>
      </c>
      <c r="EY20" s="458" t="s">
        <v>606</v>
      </c>
      <c r="EZ20" s="460"/>
      <c r="FA20" s="460"/>
      <c r="FB20" s="462"/>
    </row>
    <row r="21" spans="1:159" s="109" customFormat="1" ht="30.75" customHeight="1" x14ac:dyDescent="0.25">
      <c r="A21" s="453"/>
      <c r="B21" s="453"/>
      <c r="C21" s="453"/>
      <c r="D21" s="453"/>
      <c r="E21" s="453"/>
      <c r="F21" s="206" t="s">
        <v>4</v>
      </c>
      <c r="G21" s="272">
        <f>AA21+BE21+CH21+CJ21+DN21</f>
        <v>224326701</v>
      </c>
      <c r="H21" s="107">
        <v>0</v>
      </c>
      <c r="I21" s="108">
        <v>0</v>
      </c>
      <c r="J21" s="108">
        <v>0</v>
      </c>
      <c r="K21" s="108">
        <v>0</v>
      </c>
      <c r="L21" s="108">
        <v>0</v>
      </c>
      <c r="M21" s="108">
        <v>0</v>
      </c>
      <c r="N21" s="108">
        <v>0</v>
      </c>
      <c r="O21" s="108">
        <v>0</v>
      </c>
      <c r="P21" s="108">
        <v>0</v>
      </c>
      <c r="Q21" s="108">
        <v>0</v>
      </c>
      <c r="R21" s="108">
        <v>0</v>
      </c>
      <c r="S21" s="108">
        <v>0</v>
      </c>
      <c r="T21" s="107">
        <v>0</v>
      </c>
      <c r="U21" s="119">
        <v>0</v>
      </c>
      <c r="V21" s="119">
        <v>0</v>
      </c>
      <c r="W21" s="107">
        <v>0</v>
      </c>
      <c r="X21" s="107">
        <v>0</v>
      </c>
      <c r="Y21" s="107">
        <v>0</v>
      </c>
      <c r="Z21" s="119">
        <v>0</v>
      </c>
      <c r="AA21" s="119">
        <v>0</v>
      </c>
      <c r="AB21" s="119">
        <v>220512384</v>
      </c>
      <c r="AC21" s="108">
        <v>62045867</v>
      </c>
      <c r="AD21" s="108">
        <v>62045867</v>
      </c>
      <c r="AE21" s="119">
        <v>68053533</v>
      </c>
      <c r="AF21" s="108">
        <f>130099400-AD21</f>
        <v>68053533</v>
      </c>
      <c r="AG21" s="108">
        <v>10948200</v>
      </c>
      <c r="AH21" s="108">
        <f>141047600-AF21-AD21</f>
        <v>10948200</v>
      </c>
      <c r="AI21" s="108">
        <v>8101667</v>
      </c>
      <c r="AJ21" s="108">
        <f>149149267-AH21-AF21-AD21</f>
        <v>8101667</v>
      </c>
      <c r="AK21" s="108">
        <v>15903967</v>
      </c>
      <c r="AL21" s="108">
        <f>165053234-AJ21-AH21-AF21-AD21</f>
        <v>15903967</v>
      </c>
      <c r="AM21" s="108">
        <v>5571367</v>
      </c>
      <c r="AN21" s="108">
        <v>5571367</v>
      </c>
      <c r="AO21" s="108">
        <v>0</v>
      </c>
      <c r="AP21" s="108">
        <v>0</v>
      </c>
      <c r="AQ21" s="108">
        <v>49887783</v>
      </c>
      <c r="AR21" s="108">
        <v>0</v>
      </c>
      <c r="AS21" s="108">
        <v>0</v>
      </c>
      <c r="AT21" s="108">
        <v>0</v>
      </c>
      <c r="AU21" s="108">
        <v>0</v>
      </c>
      <c r="AV21" s="108">
        <v>0</v>
      </c>
      <c r="AW21" s="108">
        <v>0</v>
      </c>
      <c r="AX21" s="108">
        <v>0</v>
      </c>
      <c r="AY21" s="108">
        <v>0</v>
      </c>
      <c r="AZ21" s="108"/>
      <c r="BA21" s="117">
        <f>AY21+AW21+AU21+AS21+AQ21+AO21+AM21+AK21+AI21+AG21+AE21+AC21</f>
        <v>220512384</v>
      </c>
      <c r="BB21" s="117">
        <f t="shared" si="15"/>
        <v>220512384</v>
      </c>
      <c r="BC21" s="117">
        <f t="shared" si="15"/>
        <v>170624601</v>
      </c>
      <c r="BD21" s="117">
        <f>AE21+AG21+AI21+AK21+AM21+AO21+AQ21+AS21+AU21+AW21+AY21+AC21</f>
        <v>220512384</v>
      </c>
      <c r="BE21" s="117">
        <f>AD21+AF21+AH21+AJ21+AL21+AN21+AP21+AR21+AT21+AV21+AX21+AZ21</f>
        <v>170624601</v>
      </c>
      <c r="BF21" s="108">
        <v>54863634</v>
      </c>
      <c r="BG21" s="108">
        <v>9071666</v>
      </c>
      <c r="BH21" s="108">
        <v>0</v>
      </c>
      <c r="BI21" s="108">
        <v>45791968</v>
      </c>
      <c r="BJ21" s="108">
        <v>45990566</v>
      </c>
      <c r="BK21" s="108"/>
      <c r="BL21" s="108">
        <v>0</v>
      </c>
      <c r="BM21" s="108"/>
      <c r="BN21" s="108">
        <v>0</v>
      </c>
      <c r="BO21" s="108"/>
      <c r="BP21" s="108">
        <v>0</v>
      </c>
      <c r="BQ21" s="108"/>
      <c r="BR21" s="108">
        <v>0</v>
      </c>
      <c r="BS21" s="108">
        <v>0</v>
      </c>
      <c r="BT21" s="108">
        <v>7711535</v>
      </c>
      <c r="BU21" s="108">
        <v>0</v>
      </c>
      <c r="BV21" s="108">
        <v>0</v>
      </c>
      <c r="BW21" s="108">
        <v>-1161534</v>
      </c>
      <c r="BX21" s="108">
        <v>-2157135</v>
      </c>
      <c r="BY21" s="108"/>
      <c r="BZ21" s="108"/>
      <c r="CA21" s="108"/>
      <c r="CB21" s="108"/>
      <c r="CC21" s="108"/>
      <c r="CD21" s="108"/>
      <c r="CE21" s="108">
        <f>CC21+CA21+BY21+BW21+BU21+BS21+BQ21+BO21+BM21+BK21+BI21+BG21</f>
        <v>53702100</v>
      </c>
      <c r="CF21" s="108">
        <f t="shared" si="16"/>
        <v>53702100</v>
      </c>
      <c r="CG21" s="107">
        <f t="shared" si="16"/>
        <v>51544966</v>
      </c>
      <c r="CH21" s="107">
        <f>CC21+CA21+BY21+BW21+BU21+BS21+BQ21+BO21+BM21+BK21+BI21+BG21</f>
        <v>53702100</v>
      </c>
      <c r="CI21" s="107">
        <f>+BH21+BJ21+BL21+BN21+BP21+BR21+BT21+BV21+BX21</f>
        <v>51544966</v>
      </c>
      <c r="CJ21" s="108">
        <v>0</v>
      </c>
      <c r="CK21" s="108"/>
      <c r="CL21" s="108"/>
      <c r="CM21" s="108"/>
      <c r="CN21" s="108"/>
      <c r="CO21" s="108"/>
      <c r="CP21" s="108"/>
      <c r="CQ21" s="108"/>
      <c r="CR21" s="108"/>
      <c r="CS21" s="108"/>
      <c r="CT21" s="108"/>
      <c r="CU21" s="108"/>
      <c r="CV21" s="108"/>
      <c r="CW21" s="108"/>
      <c r="CX21" s="108"/>
      <c r="CY21" s="108"/>
      <c r="CZ21" s="108"/>
      <c r="DA21" s="108"/>
      <c r="DB21" s="108"/>
      <c r="DC21" s="108"/>
      <c r="DD21" s="108"/>
      <c r="DE21" s="108"/>
      <c r="DF21" s="108"/>
      <c r="DG21" s="108"/>
      <c r="DH21" s="108"/>
      <c r="DI21" s="107">
        <f>DE21+DC21+DA21+CY21+CW21+CU21+CS21+CQ21+CO21+CM21+CK21+DG21</f>
        <v>0</v>
      </c>
      <c r="DJ21" s="117">
        <f t="shared" si="19"/>
        <v>0</v>
      </c>
      <c r="DK21" s="117">
        <f t="shared" si="19"/>
        <v>0</v>
      </c>
      <c r="DL21" s="107">
        <f>CM21+CO21+CQ21+CS21+CU21+CW21+CY21+DA21+DC21+DE21+DG21</f>
        <v>0</v>
      </c>
      <c r="DM21" s="117">
        <f>CL21+CN21+CP21+CR21</f>
        <v>0</v>
      </c>
      <c r="DN21" s="108">
        <v>0</v>
      </c>
      <c r="DO21" s="115"/>
      <c r="DP21" s="115"/>
      <c r="DQ21" s="115"/>
      <c r="DR21" s="115"/>
      <c r="DS21" s="115"/>
      <c r="DT21" s="115"/>
      <c r="DU21" s="115"/>
      <c r="DV21" s="115"/>
      <c r="DW21" s="115"/>
      <c r="DX21" s="115"/>
      <c r="DY21" s="115"/>
      <c r="DZ21" s="115"/>
      <c r="EA21" s="115"/>
      <c r="EB21" s="115"/>
      <c r="EC21" s="115"/>
      <c r="ED21" s="115"/>
      <c r="EE21" s="115"/>
      <c r="EF21" s="115"/>
      <c r="EG21" s="115"/>
      <c r="EH21" s="115"/>
      <c r="EI21" s="115"/>
      <c r="EJ21" s="115"/>
      <c r="EK21" s="115"/>
      <c r="EL21" s="115"/>
      <c r="EM21" s="299">
        <f>EI21+EG21+EE21+EC21+EA21+DY21+DW21+DU21+DS21+DQ21+DO21+EK21</f>
        <v>0</v>
      </c>
      <c r="EN21" s="111">
        <f t="shared" si="17"/>
        <v>0</v>
      </c>
      <c r="EO21" s="111">
        <f t="shared" si="18"/>
        <v>0</v>
      </c>
      <c r="EP21" s="107">
        <f>DQ21+DS21+DU21+DW21+DY21+EA21+EC21+EE21+EG21+EI21+EK21+DO21</f>
        <v>0</v>
      </c>
      <c r="EQ21" s="111">
        <f>DP21+DR21+DT21+DV21</f>
        <v>0</v>
      </c>
      <c r="ER21" s="122">
        <f t="shared" si="3"/>
        <v>1.857143226113054</v>
      </c>
      <c r="ES21" s="285">
        <f t="shared" si="5"/>
        <v>0.95983147772619692</v>
      </c>
      <c r="ET21" s="286">
        <f t="shared" si="6"/>
        <v>0.95983147772619692</v>
      </c>
      <c r="EU21" s="287">
        <f t="shared" si="4"/>
        <v>0.81020361783661288</v>
      </c>
      <c r="EV21" s="286">
        <f t="shared" si="7"/>
        <v>0.99038396236210868</v>
      </c>
      <c r="EW21" s="454"/>
      <c r="EX21" s="458" t="s">
        <v>606</v>
      </c>
      <c r="EY21" s="458" t="s">
        <v>606</v>
      </c>
      <c r="EZ21" s="460"/>
      <c r="FA21" s="460"/>
      <c r="FB21" s="462"/>
    </row>
    <row r="22" spans="1:159" s="109" customFormat="1" ht="30.75" customHeight="1" thickBot="1" x14ac:dyDescent="0.3">
      <c r="A22" s="453"/>
      <c r="B22" s="453"/>
      <c r="C22" s="453"/>
      <c r="D22" s="453"/>
      <c r="E22" s="453"/>
      <c r="F22" s="205" t="s">
        <v>42</v>
      </c>
      <c r="G22" s="278">
        <f>+G17+G20</f>
        <v>29</v>
      </c>
      <c r="H22" s="318">
        <f>+H17+H19</f>
        <v>4</v>
      </c>
      <c r="I22" s="318"/>
      <c r="J22" s="318"/>
      <c r="K22" s="318"/>
      <c r="L22" s="318"/>
      <c r="M22" s="318"/>
      <c r="N22" s="318"/>
      <c r="O22" s="318"/>
      <c r="P22" s="318"/>
      <c r="Q22" s="318"/>
      <c r="R22" s="318"/>
      <c r="S22" s="318"/>
      <c r="T22" s="318"/>
      <c r="U22" s="318"/>
      <c r="V22" s="318"/>
      <c r="W22" s="318">
        <f>+W17+W19</f>
        <v>4</v>
      </c>
      <c r="X22" s="318">
        <f>+X17+X19</f>
        <v>4</v>
      </c>
      <c r="Y22" s="318">
        <f t="shared" ref="Y22:AM22" si="20">+Y17+Y20</f>
        <v>4</v>
      </c>
      <c r="Z22" s="318">
        <f t="shared" si="20"/>
        <v>4</v>
      </c>
      <c r="AA22" s="318">
        <f t="shared" si="20"/>
        <v>4</v>
      </c>
      <c r="AB22" s="318">
        <f t="shared" si="20"/>
        <v>8</v>
      </c>
      <c r="AC22" s="318">
        <f t="shared" si="20"/>
        <v>0.2</v>
      </c>
      <c r="AD22" s="318">
        <f t="shared" si="20"/>
        <v>0.2</v>
      </c>
      <c r="AE22" s="318">
        <f t="shared" si="20"/>
        <v>0.25</v>
      </c>
      <c r="AF22" s="318">
        <f t="shared" si="20"/>
        <v>0.25</v>
      </c>
      <c r="AG22" s="318">
        <f t="shared" si="20"/>
        <v>0.55000000000000004</v>
      </c>
      <c r="AH22" s="318">
        <f t="shared" si="20"/>
        <v>0.55000000000000004</v>
      </c>
      <c r="AI22" s="318">
        <f t="shared" si="20"/>
        <v>0.6</v>
      </c>
      <c r="AJ22" s="318">
        <f t="shared" si="20"/>
        <v>0.6</v>
      </c>
      <c r="AK22" s="318">
        <f t="shared" si="20"/>
        <v>0.7</v>
      </c>
      <c r="AL22" s="318">
        <f t="shared" si="20"/>
        <v>0.7</v>
      </c>
      <c r="AM22" s="318">
        <f t="shared" si="20"/>
        <v>0.7</v>
      </c>
      <c r="AN22" s="318">
        <f>+AN17+AN20</f>
        <v>0.7</v>
      </c>
      <c r="AO22" s="318">
        <f t="shared" ref="AO22:AQ23" si="21">+AO17+AO20</f>
        <v>0.75</v>
      </c>
      <c r="AP22" s="318">
        <f t="shared" si="21"/>
        <v>0.75</v>
      </c>
      <c r="AQ22" s="318">
        <f t="shared" si="21"/>
        <v>0.85</v>
      </c>
      <c r="AR22" s="318">
        <f>+AR17+AR20</f>
        <v>0.85</v>
      </c>
      <c r="AS22" s="318">
        <f t="shared" ref="AS22:AU23" si="22">+AS17+AS20</f>
        <v>1.05</v>
      </c>
      <c r="AT22" s="318">
        <f t="shared" si="22"/>
        <v>1.05</v>
      </c>
      <c r="AU22" s="318">
        <f t="shared" si="22"/>
        <v>0.85</v>
      </c>
      <c r="AV22" s="318">
        <f t="shared" ref="AV22:AZ23" si="23">+AV17+AV20</f>
        <v>0.85</v>
      </c>
      <c r="AW22" s="318">
        <f t="shared" si="23"/>
        <v>0.6</v>
      </c>
      <c r="AX22" s="318">
        <f t="shared" si="23"/>
        <v>0.6</v>
      </c>
      <c r="AY22" s="318">
        <f t="shared" si="23"/>
        <v>0.9</v>
      </c>
      <c r="AZ22" s="318">
        <f t="shared" si="23"/>
        <v>0.9</v>
      </c>
      <c r="BA22" s="318">
        <f t="shared" ref="BA22:BE23" si="24">+BA17+BA20</f>
        <v>8</v>
      </c>
      <c r="BB22" s="318">
        <f>+BB17+BB20</f>
        <v>7.9999999999999991</v>
      </c>
      <c r="BC22" s="318">
        <f t="shared" si="24"/>
        <v>7.9999999999999991</v>
      </c>
      <c r="BD22" s="318">
        <f t="shared" si="24"/>
        <v>7.9999999999999991</v>
      </c>
      <c r="BE22" s="318">
        <f t="shared" si="24"/>
        <v>7.9999999999999991</v>
      </c>
      <c r="BF22" s="318">
        <f t="shared" ref="BF22:CD22" si="25">+BF17+BF20</f>
        <v>6</v>
      </c>
      <c r="BG22" s="318">
        <f t="shared" si="25"/>
        <v>0.2</v>
      </c>
      <c r="BH22" s="318">
        <f t="shared" si="25"/>
        <v>0</v>
      </c>
      <c r="BI22" s="318">
        <f t="shared" si="25"/>
        <v>0.25</v>
      </c>
      <c r="BJ22" s="318">
        <f>+BJ17+BJ20</f>
        <v>0.45</v>
      </c>
      <c r="BK22" s="318">
        <f t="shared" si="25"/>
        <v>0.55000000000000004</v>
      </c>
      <c r="BL22" s="318">
        <f t="shared" si="25"/>
        <v>0.55000000000000004</v>
      </c>
      <c r="BM22" s="318">
        <f t="shared" si="25"/>
        <v>0.60000000000000009</v>
      </c>
      <c r="BN22" s="318">
        <f t="shared" si="25"/>
        <v>0.6</v>
      </c>
      <c r="BO22" s="318">
        <f t="shared" si="25"/>
        <v>0.7</v>
      </c>
      <c r="BP22" s="318">
        <f t="shared" si="25"/>
        <v>0.7</v>
      </c>
      <c r="BQ22" s="318">
        <f t="shared" si="25"/>
        <v>0.7</v>
      </c>
      <c r="BR22" s="318">
        <f t="shared" si="25"/>
        <v>0.7</v>
      </c>
      <c r="BS22" s="318">
        <f t="shared" si="25"/>
        <v>0.30000000000000004</v>
      </c>
      <c r="BT22" s="318">
        <f t="shared" si="25"/>
        <v>0.3</v>
      </c>
      <c r="BU22" s="318">
        <f t="shared" si="25"/>
        <v>0.2</v>
      </c>
      <c r="BV22" s="318">
        <f t="shared" si="25"/>
        <v>0.2</v>
      </c>
      <c r="BW22" s="318">
        <f t="shared" si="25"/>
        <v>0.6</v>
      </c>
      <c r="BX22" s="318">
        <f t="shared" si="25"/>
        <v>0.6</v>
      </c>
      <c r="BY22" s="318">
        <f t="shared" si="25"/>
        <v>0.6</v>
      </c>
      <c r="BZ22" s="318">
        <f t="shared" si="25"/>
        <v>0</v>
      </c>
      <c r="CA22" s="318">
        <f t="shared" si="25"/>
        <v>0.7</v>
      </c>
      <c r="CB22" s="318">
        <f t="shared" si="25"/>
        <v>0</v>
      </c>
      <c r="CC22" s="318">
        <f t="shared" si="25"/>
        <v>0.6</v>
      </c>
      <c r="CD22" s="318">
        <f t="shared" si="25"/>
        <v>0</v>
      </c>
      <c r="CE22" s="318">
        <f>+CE17+CE20</f>
        <v>6</v>
      </c>
      <c r="CF22" s="318">
        <f t="shared" ref="CE22:CI23" si="26">+CF17+CF20</f>
        <v>4.0999999999999996</v>
      </c>
      <c r="CG22" s="318">
        <f t="shared" si="26"/>
        <v>4.0999999999999996</v>
      </c>
      <c r="CH22" s="380">
        <f t="shared" si="26"/>
        <v>6</v>
      </c>
      <c r="CI22" s="380">
        <f t="shared" si="26"/>
        <v>4.0999999999999996</v>
      </c>
      <c r="CJ22" s="367">
        <v>8</v>
      </c>
      <c r="CK22" s="367"/>
      <c r="CL22" s="367"/>
      <c r="CM22" s="367"/>
      <c r="CN22" s="367"/>
      <c r="CO22" s="367"/>
      <c r="CP22" s="367"/>
      <c r="CQ22" s="367"/>
      <c r="CR22" s="367"/>
      <c r="CS22" s="367"/>
      <c r="CT22" s="367"/>
      <c r="CU22" s="367"/>
      <c r="CV22" s="367"/>
      <c r="CW22" s="367"/>
      <c r="CX22" s="367"/>
      <c r="CY22" s="367"/>
      <c r="CZ22" s="367"/>
      <c r="DA22" s="367"/>
      <c r="DB22" s="367"/>
      <c r="DC22" s="367"/>
      <c r="DD22" s="367"/>
      <c r="DE22" s="367"/>
      <c r="DF22" s="367"/>
      <c r="DG22" s="367"/>
      <c r="DH22" s="367"/>
      <c r="DI22" s="367">
        <f>DE22+DC22+DA22+CY22+CW22+CU22+CS22+CQ22+CO22+CM22+CK22+DG22</f>
        <v>0</v>
      </c>
      <c r="DJ22" s="367">
        <f t="shared" si="19"/>
        <v>0</v>
      </c>
      <c r="DK22" s="367">
        <f t="shared" si="19"/>
        <v>0</v>
      </c>
      <c r="DL22" s="368">
        <f>CM22+CO22+CQ22+CS22+CU22+CW22+CY22+DA22+DC22+DE22+DG22+CK22</f>
        <v>0</v>
      </c>
      <c r="DM22" s="367">
        <f>CL22+CN22+CP22+CR22</f>
        <v>0</v>
      </c>
      <c r="DN22" s="367">
        <v>4</v>
      </c>
      <c r="DO22" s="317"/>
      <c r="DP22" s="317"/>
      <c r="DQ22" s="317"/>
      <c r="DR22" s="317"/>
      <c r="DS22" s="317"/>
      <c r="DT22" s="317"/>
      <c r="DU22" s="317"/>
      <c r="DV22" s="317"/>
      <c r="DW22" s="317"/>
      <c r="DX22" s="317"/>
      <c r="DY22" s="317"/>
      <c r="DZ22" s="317"/>
      <c r="EA22" s="317"/>
      <c r="EB22" s="317"/>
      <c r="EC22" s="317"/>
      <c r="ED22" s="317"/>
      <c r="EE22" s="317"/>
      <c r="EF22" s="317"/>
      <c r="EG22" s="317"/>
      <c r="EH22" s="317"/>
      <c r="EI22" s="317"/>
      <c r="EJ22" s="317"/>
      <c r="EK22" s="317"/>
      <c r="EL22" s="317"/>
      <c r="EM22" s="318">
        <f>EI22+EG22+EE22+EC22+EA22+DY22+DW22+DU22+DS22+DQ22+DO22+EK22</f>
        <v>0</v>
      </c>
      <c r="EN22" s="319">
        <f t="shared" si="17"/>
        <v>0</v>
      </c>
      <c r="EO22" s="319">
        <f t="shared" si="18"/>
        <v>0</v>
      </c>
      <c r="EP22" s="320">
        <f>DQ22+DS22+DU22+DW22+DY22+EA22+EC22+EE22+EG22+EI22+EK22+DO22</f>
        <v>0</v>
      </c>
      <c r="EQ22" s="319">
        <f>DR22+DT22+DV22+DP22</f>
        <v>0</v>
      </c>
      <c r="ER22" s="321">
        <f t="shared" si="3"/>
        <v>1</v>
      </c>
      <c r="ES22" s="288">
        <f t="shared" si="5"/>
        <v>1</v>
      </c>
      <c r="ET22" s="289">
        <f t="shared" si="6"/>
        <v>0.68333333333333324</v>
      </c>
      <c r="EU22" s="290">
        <f t="shared" si="4"/>
        <v>1</v>
      </c>
      <c r="EV22" s="289">
        <f t="shared" si="7"/>
        <v>0.55517241379310345</v>
      </c>
      <c r="EW22" s="454"/>
      <c r="EX22" s="458" t="s">
        <v>606</v>
      </c>
      <c r="EY22" s="458" t="s">
        <v>606</v>
      </c>
      <c r="EZ22" s="460"/>
      <c r="FA22" s="460"/>
      <c r="FB22" s="462"/>
    </row>
    <row r="23" spans="1:159" s="116" customFormat="1" ht="30.75" customHeight="1" thickBot="1" x14ac:dyDescent="0.3">
      <c r="A23" s="453"/>
      <c r="B23" s="453"/>
      <c r="C23" s="453"/>
      <c r="D23" s="453"/>
      <c r="E23" s="453"/>
      <c r="F23" s="206" t="s">
        <v>44</v>
      </c>
      <c r="G23" s="275">
        <f>+G18+G21</f>
        <v>10229294933</v>
      </c>
      <c r="H23" s="364">
        <f>+H18+H20</f>
        <v>613840322</v>
      </c>
      <c r="I23" s="363"/>
      <c r="J23" s="363"/>
      <c r="K23" s="363"/>
      <c r="L23" s="363"/>
      <c r="M23" s="363"/>
      <c r="N23" s="363"/>
      <c r="O23" s="363"/>
      <c r="P23" s="363"/>
      <c r="Q23" s="363"/>
      <c r="R23" s="363"/>
      <c r="S23" s="363"/>
      <c r="T23" s="364"/>
      <c r="U23" s="381"/>
      <c r="V23" s="381"/>
      <c r="W23" s="364">
        <f>+W18+W20</f>
        <v>613840322</v>
      </c>
      <c r="X23" s="364">
        <f>+X18+X20</f>
        <v>613840322</v>
      </c>
      <c r="Y23" s="364">
        <f t="shared" ref="Y23:AM23" si="27">+Y18+Y21</f>
        <v>670473105</v>
      </c>
      <c r="Z23" s="381">
        <f t="shared" si="27"/>
        <v>826840322</v>
      </c>
      <c r="AA23" s="381">
        <f t="shared" si="27"/>
        <v>670473105</v>
      </c>
      <c r="AB23" s="381">
        <f t="shared" si="27"/>
        <v>1594569384</v>
      </c>
      <c r="AC23" s="381">
        <f t="shared" si="27"/>
        <v>62045867</v>
      </c>
      <c r="AD23" s="363">
        <f t="shared" si="27"/>
        <v>62045867</v>
      </c>
      <c r="AE23" s="381">
        <f t="shared" si="27"/>
        <v>650103533</v>
      </c>
      <c r="AF23" s="363">
        <f t="shared" si="27"/>
        <v>650103533</v>
      </c>
      <c r="AG23" s="363">
        <f t="shared" si="27"/>
        <v>550515200</v>
      </c>
      <c r="AH23" s="363">
        <f t="shared" si="27"/>
        <v>550515200</v>
      </c>
      <c r="AI23" s="363">
        <f t="shared" si="27"/>
        <v>102213667</v>
      </c>
      <c r="AJ23" s="363">
        <f t="shared" si="27"/>
        <v>102213667</v>
      </c>
      <c r="AK23" s="363">
        <f t="shared" si="27"/>
        <v>15903967</v>
      </c>
      <c r="AL23" s="363">
        <f>+AL18+AL21</f>
        <v>15903967</v>
      </c>
      <c r="AM23" s="363">
        <f t="shared" si="27"/>
        <v>5571367</v>
      </c>
      <c r="AN23" s="363">
        <f>+AN18+AN21</f>
        <v>5571367</v>
      </c>
      <c r="AO23" s="363">
        <f t="shared" si="21"/>
        <v>0</v>
      </c>
      <c r="AP23" s="363">
        <f t="shared" si="21"/>
        <v>24890000</v>
      </c>
      <c r="AQ23" s="363">
        <f t="shared" si="21"/>
        <v>87855383</v>
      </c>
      <c r="AR23" s="363">
        <f>+AR18+AR21</f>
        <v>0</v>
      </c>
      <c r="AS23" s="363">
        <f t="shared" si="22"/>
        <v>53907914</v>
      </c>
      <c r="AT23" s="363">
        <f t="shared" si="22"/>
        <v>15763667</v>
      </c>
      <c r="AU23" s="363">
        <f t="shared" si="22"/>
        <v>37967600</v>
      </c>
      <c r="AV23" s="363">
        <f t="shared" si="23"/>
        <v>42747866</v>
      </c>
      <c r="AW23" s="363">
        <f t="shared" si="23"/>
        <v>22212600</v>
      </c>
      <c r="AX23" s="363">
        <f t="shared" si="23"/>
        <v>26787667</v>
      </c>
      <c r="AY23" s="363">
        <f t="shared" si="23"/>
        <v>22212600</v>
      </c>
      <c r="AZ23" s="363">
        <f t="shared" si="23"/>
        <v>12430600</v>
      </c>
      <c r="BA23" s="365">
        <f t="shared" si="24"/>
        <v>1610509698</v>
      </c>
      <c r="BB23" s="365">
        <f t="shared" si="24"/>
        <v>1610509698</v>
      </c>
      <c r="BC23" s="365">
        <f t="shared" si="24"/>
        <v>1508973401</v>
      </c>
      <c r="BD23" s="365">
        <f t="shared" si="24"/>
        <v>1610509698</v>
      </c>
      <c r="BE23" s="365">
        <f t="shared" si="24"/>
        <v>1508973401</v>
      </c>
      <c r="BF23" s="365">
        <f t="shared" ref="BF23:CD23" si="28">+BF18+BF21</f>
        <v>6185295634</v>
      </c>
      <c r="BG23" s="365">
        <f t="shared" si="28"/>
        <v>1629512666</v>
      </c>
      <c r="BH23" s="365">
        <f>+BH18+BH21</f>
        <v>1835843000</v>
      </c>
      <c r="BI23" s="365">
        <f t="shared" si="28"/>
        <v>45791968</v>
      </c>
      <c r="BJ23" s="365">
        <f>+BJ18+BJ21</f>
        <v>45990566</v>
      </c>
      <c r="BK23" s="365">
        <f t="shared" si="28"/>
        <v>113827000</v>
      </c>
      <c r="BL23" s="365">
        <f t="shared" si="28"/>
        <v>0</v>
      </c>
      <c r="BM23" s="365">
        <f t="shared" si="28"/>
        <v>450000000</v>
      </c>
      <c r="BN23" s="365">
        <f t="shared" si="28"/>
        <v>0</v>
      </c>
      <c r="BO23" s="365">
        <f t="shared" si="28"/>
        <v>0</v>
      </c>
      <c r="BP23" s="365">
        <f t="shared" si="28"/>
        <v>0</v>
      </c>
      <c r="BQ23" s="365">
        <f t="shared" si="28"/>
        <v>4034991000</v>
      </c>
      <c r="BR23" s="365">
        <f t="shared" si="28"/>
        <v>90000000</v>
      </c>
      <c r="BS23" s="365">
        <f t="shared" si="28"/>
        <v>0</v>
      </c>
      <c r="BT23" s="365">
        <f t="shared" si="28"/>
        <v>-38154465</v>
      </c>
      <c r="BU23" s="365">
        <f t="shared" si="28"/>
        <v>-60207700</v>
      </c>
      <c r="BV23" s="365">
        <f t="shared" si="28"/>
        <v>0</v>
      </c>
      <c r="BW23" s="365">
        <f t="shared" si="28"/>
        <v>-623306866</v>
      </c>
      <c r="BX23" s="365">
        <f t="shared" si="28"/>
        <v>233655699</v>
      </c>
      <c r="BY23" s="365">
        <f t="shared" si="28"/>
        <v>152842359</v>
      </c>
      <c r="BZ23" s="365">
        <f t="shared" si="28"/>
        <v>0</v>
      </c>
      <c r="CA23" s="365">
        <f t="shared" si="28"/>
        <v>0</v>
      </c>
      <c r="CB23" s="365">
        <f t="shared" si="28"/>
        <v>0</v>
      </c>
      <c r="CC23" s="365">
        <f t="shared" si="28"/>
        <v>0</v>
      </c>
      <c r="CD23" s="365">
        <f t="shared" si="28"/>
        <v>0</v>
      </c>
      <c r="CE23" s="365">
        <f t="shared" si="26"/>
        <v>5743450427</v>
      </c>
      <c r="CF23" s="365">
        <f t="shared" si="26"/>
        <v>5590608068</v>
      </c>
      <c r="CG23" s="365">
        <f t="shared" si="26"/>
        <v>2167334800</v>
      </c>
      <c r="CH23" s="364">
        <f t="shared" si="26"/>
        <v>5743450427</v>
      </c>
      <c r="CI23" s="364">
        <f t="shared" si="26"/>
        <v>2167334800</v>
      </c>
      <c r="CJ23" s="363">
        <v>1515392000</v>
      </c>
      <c r="CK23" s="363"/>
      <c r="CL23" s="363"/>
      <c r="CM23" s="363"/>
      <c r="CN23" s="363"/>
      <c r="CO23" s="363"/>
      <c r="CP23" s="363"/>
      <c r="CQ23" s="363"/>
      <c r="CR23" s="363"/>
      <c r="CS23" s="363"/>
      <c r="CT23" s="363"/>
      <c r="CU23" s="363"/>
      <c r="CV23" s="363"/>
      <c r="CW23" s="363"/>
      <c r="CX23" s="363"/>
      <c r="CY23" s="363"/>
      <c r="CZ23" s="363"/>
      <c r="DA23" s="363"/>
      <c r="DB23" s="363"/>
      <c r="DC23" s="363"/>
      <c r="DD23" s="363"/>
      <c r="DE23" s="363"/>
      <c r="DF23" s="363"/>
      <c r="DG23" s="363"/>
      <c r="DH23" s="363"/>
      <c r="DI23" s="364">
        <f>DE23+DC23+DA23+CY23+CW23+CU23+CS23+CQ23+CO23+CM23+CK23+DG23</f>
        <v>0</v>
      </c>
      <c r="DJ23" s="365">
        <f t="shared" si="19"/>
        <v>0</v>
      </c>
      <c r="DK23" s="365">
        <f t="shared" si="19"/>
        <v>0</v>
      </c>
      <c r="DL23" s="364">
        <f>CM23+CO23+CQ23+CS23+CU23+CW23+CY23+DA23+DC23+DE23+DG23+CK23</f>
        <v>0</v>
      </c>
      <c r="DM23" s="365">
        <f>CN23+CP23+CR23+CL23</f>
        <v>0</v>
      </c>
      <c r="DN23" s="363">
        <v>791006000</v>
      </c>
      <c r="DO23" s="330"/>
      <c r="DP23" s="330"/>
      <c r="DQ23" s="330"/>
      <c r="DR23" s="330"/>
      <c r="DS23" s="330"/>
      <c r="DT23" s="330"/>
      <c r="DU23" s="330"/>
      <c r="DV23" s="330"/>
      <c r="DW23" s="330"/>
      <c r="DX23" s="330"/>
      <c r="DY23" s="330"/>
      <c r="DZ23" s="330"/>
      <c r="EA23" s="330"/>
      <c r="EB23" s="330"/>
      <c r="EC23" s="330"/>
      <c r="ED23" s="330"/>
      <c r="EE23" s="330"/>
      <c r="EF23" s="330"/>
      <c r="EG23" s="330"/>
      <c r="EH23" s="330"/>
      <c r="EI23" s="330"/>
      <c r="EJ23" s="330"/>
      <c r="EK23" s="330"/>
      <c r="EL23" s="330"/>
      <c r="EM23" s="331">
        <f>EK23+EI23+EG23+EE23+EC23+EA23+DY23+DW23+DU23+DS23+DQ23+DO23</f>
        <v>0</v>
      </c>
      <c r="EN23" s="332">
        <f>+EN18+EN21</f>
        <v>0</v>
      </c>
      <c r="EO23" s="333">
        <f>EO18+EO21</f>
        <v>0</v>
      </c>
      <c r="EP23" s="332">
        <f>+EP18+EP21</f>
        <v>0</v>
      </c>
      <c r="EQ23" s="332">
        <f>+EQ18+EQ21</f>
        <v>0</v>
      </c>
      <c r="ER23" s="334">
        <f t="shared" si="3"/>
        <v>-0.37486463208637266</v>
      </c>
      <c r="ES23" s="291">
        <f t="shared" si="5"/>
        <v>0.38767425182344228</v>
      </c>
      <c r="ET23" s="292">
        <f t="shared" si="6"/>
        <v>0.37735762283441049</v>
      </c>
      <c r="EU23" s="293">
        <f t="shared" si="4"/>
        <v>0.54145540601382369</v>
      </c>
      <c r="EV23" s="294">
        <f t="shared" si="7"/>
        <v>0.42493459563641656</v>
      </c>
      <c r="EW23" s="454"/>
      <c r="EX23" s="458" t="s">
        <v>606</v>
      </c>
      <c r="EY23" s="458" t="s">
        <v>606</v>
      </c>
      <c r="EZ23" s="460"/>
      <c r="FA23" s="460"/>
      <c r="FB23" s="462"/>
    </row>
    <row r="24" spans="1:159" s="3" customFormat="1" ht="30.75" customHeight="1" x14ac:dyDescent="0.25">
      <c r="A24" s="453" t="s">
        <v>304</v>
      </c>
      <c r="B24" s="453">
        <v>3</v>
      </c>
      <c r="C24" s="453" t="s">
        <v>568</v>
      </c>
      <c r="D24" s="453" t="s">
        <v>266</v>
      </c>
      <c r="E24" s="453">
        <v>272</v>
      </c>
      <c r="F24" s="205" t="s">
        <v>40</v>
      </c>
      <c r="G24" s="276">
        <f>+AA24+BD24+BF24+CJ24+DN24</f>
        <v>8</v>
      </c>
      <c r="H24" s="322">
        <v>1</v>
      </c>
      <c r="I24" s="322"/>
      <c r="J24" s="322"/>
      <c r="K24" s="322"/>
      <c r="L24" s="322"/>
      <c r="M24" s="322"/>
      <c r="N24" s="322"/>
      <c r="O24" s="322"/>
      <c r="P24" s="322"/>
      <c r="Q24" s="322"/>
      <c r="R24" s="322"/>
      <c r="S24" s="322"/>
      <c r="T24" s="322"/>
      <c r="U24" s="322"/>
      <c r="V24" s="322"/>
      <c r="W24" s="322">
        <v>1</v>
      </c>
      <c r="X24" s="322">
        <v>1</v>
      </c>
      <c r="Y24" s="322">
        <v>1</v>
      </c>
      <c r="Z24" s="322">
        <v>1</v>
      </c>
      <c r="AA24" s="322">
        <v>1</v>
      </c>
      <c r="AB24" s="322">
        <v>2</v>
      </c>
      <c r="AC24" s="323">
        <v>0.17</v>
      </c>
      <c r="AD24" s="323">
        <v>0.15</v>
      </c>
      <c r="AE24" s="323">
        <v>0.17</v>
      </c>
      <c r="AF24" s="323">
        <v>0.11</v>
      </c>
      <c r="AG24" s="323">
        <v>0.17</v>
      </c>
      <c r="AH24" s="323">
        <v>0.1</v>
      </c>
      <c r="AI24" s="323">
        <v>0.17</v>
      </c>
      <c r="AJ24" s="323">
        <v>0.15</v>
      </c>
      <c r="AK24" s="323">
        <v>0.14000000000000001</v>
      </c>
      <c r="AL24" s="323">
        <v>0.14000000000000001</v>
      </c>
      <c r="AM24" s="323">
        <v>0.17</v>
      </c>
      <c r="AN24" s="323">
        <v>0.35</v>
      </c>
      <c r="AO24" s="323">
        <v>0.17</v>
      </c>
      <c r="AP24" s="323">
        <v>0.26</v>
      </c>
      <c r="AQ24" s="323">
        <v>0.17</v>
      </c>
      <c r="AR24" s="323">
        <v>0.13</v>
      </c>
      <c r="AS24" s="323">
        <v>0.17</v>
      </c>
      <c r="AT24" s="323">
        <v>0.17</v>
      </c>
      <c r="AU24" s="323">
        <v>0.17</v>
      </c>
      <c r="AV24" s="323">
        <v>0.21</v>
      </c>
      <c r="AW24" s="323">
        <v>0.17</v>
      </c>
      <c r="AX24" s="323">
        <v>0.17</v>
      </c>
      <c r="AY24" s="323">
        <v>0.16</v>
      </c>
      <c r="AZ24" s="323">
        <v>0.06</v>
      </c>
      <c r="BA24" s="335">
        <f>AY24+AW24+AU24+AS24+AQ24+AO24+AM24+AK24+AI24+AG24+AE24+AC24</f>
        <v>1.9999999999999996</v>
      </c>
      <c r="BB24" s="335">
        <f t="shared" ref="BB24:BC28" si="29">AC24+AE24+AG24+AI24+AK24+AM24+AO24+AQ24+AS24+AU24+AW24+AY24</f>
        <v>1.9999999999999998</v>
      </c>
      <c r="BC24" s="335">
        <f t="shared" si="29"/>
        <v>2</v>
      </c>
      <c r="BD24" s="335">
        <f>AE24+AG24+AI24+AK24+AM24+AO24+AQ24+AS24+AU24+AW24+AY24+AC24</f>
        <v>1.9999999999999998</v>
      </c>
      <c r="BE24" s="335">
        <f>AD24+AF24+AH24+AJ24+AL24+AN24+AP24+AR24+AT24+AV24+AX24+AZ24</f>
        <v>2</v>
      </c>
      <c r="BF24" s="322">
        <v>2</v>
      </c>
      <c r="BG24" s="323">
        <v>0.17</v>
      </c>
      <c r="BH24" s="323">
        <v>0</v>
      </c>
      <c r="BI24" s="323">
        <v>0.17</v>
      </c>
      <c r="BJ24" s="323">
        <v>0.33</v>
      </c>
      <c r="BK24" s="323">
        <v>0.17</v>
      </c>
      <c r="BL24" s="323">
        <v>0.17</v>
      </c>
      <c r="BM24" s="323">
        <v>0.17</v>
      </c>
      <c r="BN24" s="323">
        <v>0.17</v>
      </c>
      <c r="BO24" s="323">
        <v>0.14000000000000001</v>
      </c>
      <c r="BP24" s="323">
        <v>0.14000000000000001</v>
      </c>
      <c r="BQ24" s="323">
        <v>0.18</v>
      </c>
      <c r="BR24" s="323">
        <v>0.17</v>
      </c>
      <c r="BS24" s="323">
        <v>0.17</v>
      </c>
      <c r="BT24" s="323">
        <v>0.19</v>
      </c>
      <c r="BU24" s="323">
        <v>0.17</v>
      </c>
      <c r="BV24" s="323">
        <v>0.17</v>
      </c>
      <c r="BW24" s="323">
        <v>0.17</v>
      </c>
      <c r="BX24" s="323">
        <v>0.17</v>
      </c>
      <c r="BY24" s="323">
        <v>0.17</v>
      </c>
      <c r="BZ24" s="323"/>
      <c r="CA24" s="323">
        <v>0.17</v>
      </c>
      <c r="CB24" s="323"/>
      <c r="CC24" s="323">
        <v>0.15</v>
      </c>
      <c r="CD24" s="323"/>
      <c r="CE24" s="323">
        <f>CC24+CA24+BY24+BW24+BU24+BS24+BQ24+BO24+BM24+BK24+BI24+BG24</f>
        <v>1.9999999999999996</v>
      </c>
      <c r="CF24" s="323">
        <f t="shared" ref="CF24:CG28" si="30">+BG24+BI24+BK24+BM24+BO24+BQ24+BS24+BU24+BW24</f>
        <v>1.5099999999999998</v>
      </c>
      <c r="CG24" s="324">
        <f t="shared" si="30"/>
        <v>1.51</v>
      </c>
      <c r="CH24" s="324">
        <f>CC24+CA24+BY24+BW24+BU24+BS24+BQ24+BO24+BM24+BK24+BI24+BG24</f>
        <v>1.9999999999999996</v>
      </c>
      <c r="CI24" s="324">
        <f>+BH24+BJ24+BL24+BN24+BP24+BR24+BT24+BV24+BX24</f>
        <v>1.51</v>
      </c>
      <c r="CJ24" s="366">
        <v>2</v>
      </c>
      <c r="CK24" s="366"/>
      <c r="CL24" s="366"/>
      <c r="CM24" s="366"/>
      <c r="CN24" s="366"/>
      <c r="CO24" s="366"/>
      <c r="CP24" s="366"/>
      <c r="CQ24" s="366"/>
      <c r="CR24" s="366"/>
      <c r="CS24" s="366"/>
      <c r="CT24" s="366"/>
      <c r="CU24" s="366"/>
      <c r="CV24" s="366"/>
      <c r="CW24" s="366"/>
      <c r="CX24" s="366"/>
      <c r="CY24" s="366"/>
      <c r="CZ24" s="366"/>
      <c r="DA24" s="366"/>
      <c r="DB24" s="366"/>
      <c r="DC24" s="366"/>
      <c r="DD24" s="366"/>
      <c r="DE24" s="366"/>
      <c r="DF24" s="366"/>
      <c r="DG24" s="366"/>
      <c r="DH24" s="366"/>
      <c r="DI24" s="366">
        <v>0</v>
      </c>
      <c r="DJ24" s="366">
        <v>0</v>
      </c>
      <c r="DK24" s="366">
        <v>0</v>
      </c>
      <c r="DL24" s="325">
        <v>0</v>
      </c>
      <c r="DM24" s="366">
        <v>0</v>
      </c>
      <c r="DN24" s="366">
        <v>1</v>
      </c>
      <c r="DO24" s="336"/>
      <c r="DP24" s="336"/>
      <c r="DQ24" s="336"/>
      <c r="DR24" s="336"/>
      <c r="DS24" s="336"/>
      <c r="DT24" s="336"/>
      <c r="DU24" s="336"/>
      <c r="DV24" s="336"/>
      <c r="DW24" s="336"/>
      <c r="DX24" s="336"/>
      <c r="DY24" s="336"/>
      <c r="DZ24" s="336"/>
      <c r="EA24" s="336"/>
      <c r="EB24" s="336"/>
      <c r="EC24" s="336"/>
      <c r="ED24" s="336"/>
      <c r="EE24" s="336"/>
      <c r="EF24" s="336"/>
      <c r="EG24" s="337"/>
      <c r="EH24" s="337"/>
      <c r="EI24" s="337"/>
      <c r="EJ24" s="337"/>
      <c r="EK24" s="337"/>
      <c r="EL24" s="337"/>
      <c r="EM24" s="382">
        <f>EK24+EI24+EG24+EE24+EC24+EA24+DY24+DW24+DU24+DS24+DQ24+DO24</f>
        <v>0</v>
      </c>
      <c r="EN24" s="337">
        <f t="shared" ref="EN24:EN29" si="31">DO24+DQ24+DS24+DU24</f>
        <v>0</v>
      </c>
      <c r="EO24" s="337">
        <f t="shared" ref="EO24:EO29" si="32">DP24+DR24+DT24+DV24</f>
        <v>0</v>
      </c>
      <c r="EP24" s="338">
        <f>DQ24+DS24+DU24+DW24+DY24+EA24+EC24+EE24+EG24+EI24+EK24+DO24</f>
        <v>0</v>
      </c>
      <c r="EQ24" s="337">
        <f>DP24+DR24+DT24+DV24</f>
        <v>0</v>
      </c>
      <c r="ER24" s="329">
        <f t="shared" si="3"/>
        <v>1</v>
      </c>
      <c r="ES24" s="295">
        <f t="shared" si="5"/>
        <v>1.0000000000000002</v>
      </c>
      <c r="ET24" s="296">
        <f t="shared" si="6"/>
        <v>0.75500000000000023</v>
      </c>
      <c r="EU24" s="297">
        <f t="shared" si="4"/>
        <v>1</v>
      </c>
      <c r="EV24" s="296">
        <f t="shared" si="7"/>
        <v>0.56374999999999997</v>
      </c>
      <c r="EW24" s="461" t="s">
        <v>679</v>
      </c>
      <c r="EX24" s="455" t="s">
        <v>606</v>
      </c>
      <c r="EY24" s="455" t="s">
        <v>606</v>
      </c>
      <c r="EZ24" s="460" t="s">
        <v>561</v>
      </c>
      <c r="FA24" s="460" t="s">
        <v>560</v>
      </c>
      <c r="FB24" s="451"/>
    </row>
    <row r="25" spans="1:159" s="56" customFormat="1" ht="30.75" customHeight="1" x14ac:dyDescent="0.25">
      <c r="A25" s="453"/>
      <c r="B25" s="453"/>
      <c r="C25" s="453"/>
      <c r="D25" s="453"/>
      <c r="E25" s="453"/>
      <c r="F25" s="206" t="s">
        <v>3</v>
      </c>
      <c r="G25" s="272">
        <f>AA25+BE25+CH25+CJ25+DN25</f>
        <v>13960187494</v>
      </c>
      <c r="H25" s="107">
        <v>1412790000</v>
      </c>
      <c r="I25" s="108"/>
      <c r="J25" s="108"/>
      <c r="K25" s="108"/>
      <c r="L25" s="108"/>
      <c r="M25" s="108"/>
      <c r="N25" s="108"/>
      <c r="O25" s="108"/>
      <c r="P25" s="108"/>
      <c r="Q25" s="108"/>
      <c r="R25" s="108"/>
      <c r="S25" s="108"/>
      <c r="T25" s="107"/>
      <c r="U25" s="119"/>
      <c r="V25" s="119"/>
      <c r="W25" s="107">
        <v>1412790000</v>
      </c>
      <c r="X25" s="107">
        <v>1412790000</v>
      </c>
      <c r="Y25" s="107">
        <v>1326141063</v>
      </c>
      <c r="Z25" s="119">
        <v>1399790000</v>
      </c>
      <c r="AA25" s="119">
        <v>1326141063</v>
      </c>
      <c r="AB25" s="119">
        <v>2973776000</v>
      </c>
      <c r="AC25" s="119">
        <v>0</v>
      </c>
      <c r="AD25" s="119">
        <v>0</v>
      </c>
      <c r="AE25" s="119">
        <v>408790000</v>
      </c>
      <c r="AF25" s="119">
        <f>408790000-AD25</f>
        <v>408790000</v>
      </c>
      <c r="AG25" s="119">
        <v>1385154150</v>
      </c>
      <c r="AH25" s="119">
        <f>(1793944150-AF25-AD25)</f>
        <v>1385154150</v>
      </c>
      <c r="AI25" s="119">
        <v>557630000</v>
      </c>
      <c r="AJ25" s="119">
        <f>1942784150-AH25-AF25-AD25</f>
        <v>148840000</v>
      </c>
      <c r="AK25" s="108">
        <v>0</v>
      </c>
      <c r="AL25" s="108">
        <f>1942784150-AJ25-AH25-AF25-AD25+5000000</f>
        <v>5000000</v>
      </c>
      <c r="AM25" s="108">
        <v>244731564</v>
      </c>
      <c r="AN25" s="108">
        <v>244731564</v>
      </c>
      <c r="AO25" s="108">
        <v>0</v>
      </c>
      <c r="AP25" s="108">
        <v>0</v>
      </c>
      <c r="AQ25" s="108">
        <v>62546600</v>
      </c>
      <c r="AR25" s="108">
        <v>0</v>
      </c>
      <c r="AS25" s="108">
        <f>62546600+16124316</f>
        <v>78670916</v>
      </c>
      <c r="AT25" s="108">
        <v>13226834</v>
      </c>
      <c r="AU25" s="108">
        <f>5737286+62546600</f>
        <v>68283886</v>
      </c>
      <c r="AV25" s="108">
        <v>37553138</v>
      </c>
      <c r="AW25" s="108">
        <v>62546600</v>
      </c>
      <c r="AX25" s="108">
        <v>81644647</v>
      </c>
      <c r="AY25" s="108">
        <v>62546600</v>
      </c>
      <c r="AZ25" s="108">
        <v>357168990</v>
      </c>
      <c r="BA25" s="107">
        <f>AY25+AW25+AU25+AS25+AQ25+AO25+AM25+AK25+AI25+AG25+AE25+AC25</f>
        <v>2930900316</v>
      </c>
      <c r="BB25" s="107">
        <f t="shared" si="29"/>
        <v>2930900316</v>
      </c>
      <c r="BC25" s="107">
        <f t="shared" si="29"/>
        <v>2682109323</v>
      </c>
      <c r="BD25" s="107">
        <f>AE25+AG25+AI25+AK25+AM25+AO25+AQ25+AS25+AU25+AW25+AY25+AC25</f>
        <v>2930900316</v>
      </c>
      <c r="BE25" s="107">
        <f>AD25+AF25+AH25+AJ25+AL25+AN25+AP25+AR25+AT25+AV25+AX25+AZ25</f>
        <v>2682109323</v>
      </c>
      <c r="BF25" s="107">
        <v>3364237000</v>
      </c>
      <c r="BG25" s="108">
        <v>2599004000</v>
      </c>
      <c r="BH25" s="108">
        <v>2534638908</v>
      </c>
      <c r="BI25" s="108">
        <v>0</v>
      </c>
      <c r="BJ25" s="108">
        <v>0</v>
      </c>
      <c r="BK25" s="108">
        <v>599096000</v>
      </c>
      <c r="BL25" s="108">
        <v>50000000</v>
      </c>
      <c r="BM25" s="108">
        <v>81137000</v>
      </c>
      <c r="BN25" s="108">
        <v>0</v>
      </c>
      <c r="BO25" s="108">
        <v>0</v>
      </c>
      <c r="BP25" s="108">
        <v>162596000</v>
      </c>
      <c r="BQ25" s="108">
        <v>85000000</v>
      </c>
      <c r="BR25" s="108">
        <v>0</v>
      </c>
      <c r="BS25" s="108">
        <v>0</v>
      </c>
      <c r="BT25" s="108">
        <v>0</v>
      </c>
      <c r="BU25" s="108">
        <v>50000000</v>
      </c>
      <c r="BV25" s="108">
        <v>0</v>
      </c>
      <c r="BW25" s="108">
        <v>103669108</v>
      </c>
      <c r="BX25" s="108">
        <v>80893000</v>
      </c>
      <c r="BY25" s="108">
        <v>0</v>
      </c>
      <c r="BZ25" s="108"/>
      <c r="CA25" s="108">
        <v>0</v>
      </c>
      <c r="CB25" s="108"/>
      <c r="CC25" s="108">
        <v>0</v>
      </c>
      <c r="CD25" s="108"/>
      <c r="CE25" s="108">
        <f>CC25+CA25+BY25+BW25+BU25+BS25+BQ25+BO25+BM25+BK25+BI25+BG25</f>
        <v>3517906108</v>
      </c>
      <c r="CF25" s="108">
        <f t="shared" si="30"/>
        <v>3517906108</v>
      </c>
      <c r="CG25" s="107">
        <f t="shared" si="30"/>
        <v>2828127908</v>
      </c>
      <c r="CH25" s="107">
        <f>CC25+CA25+BY25+BW25+BU25+BS25+BQ25+BO25+BM25+BK25+BI25+BG25</f>
        <v>3517906108</v>
      </c>
      <c r="CI25" s="107">
        <f>+BH25+BJ25+BL25+BN25+BP25+BR25+BT25+BV25+BX25</f>
        <v>2828127908</v>
      </c>
      <c r="CJ25" s="108">
        <v>4321368000</v>
      </c>
      <c r="CK25" s="108"/>
      <c r="CL25" s="108"/>
      <c r="CM25" s="108"/>
      <c r="CN25" s="108"/>
      <c r="CO25" s="108"/>
      <c r="CP25" s="108"/>
      <c r="CQ25" s="108"/>
      <c r="CR25" s="108"/>
      <c r="CS25" s="108"/>
      <c r="CT25" s="108"/>
      <c r="CU25" s="108"/>
      <c r="CV25" s="108"/>
      <c r="CW25" s="108"/>
      <c r="CX25" s="108"/>
      <c r="CY25" s="108"/>
      <c r="CZ25" s="108"/>
      <c r="DA25" s="108"/>
      <c r="DB25" s="108"/>
      <c r="DC25" s="108"/>
      <c r="DD25" s="108"/>
      <c r="DE25" s="108"/>
      <c r="DF25" s="108"/>
      <c r="DG25" s="108"/>
      <c r="DH25" s="108"/>
      <c r="DI25" s="107">
        <v>0</v>
      </c>
      <c r="DJ25" s="117">
        <v>0</v>
      </c>
      <c r="DK25" s="117">
        <v>0</v>
      </c>
      <c r="DL25" s="107">
        <v>0</v>
      </c>
      <c r="DM25" s="117">
        <v>0</v>
      </c>
      <c r="DN25" s="108">
        <v>2112663000</v>
      </c>
      <c r="DO25" s="67"/>
      <c r="DP25" s="67"/>
      <c r="DQ25" s="67"/>
      <c r="DR25" s="67"/>
      <c r="DS25" s="67"/>
      <c r="DT25" s="67"/>
      <c r="DU25" s="67"/>
      <c r="DV25" s="67"/>
      <c r="DW25" s="67"/>
      <c r="DX25" s="67"/>
      <c r="DY25" s="67"/>
      <c r="DZ25" s="67"/>
      <c r="EA25" s="67"/>
      <c r="EB25" s="67"/>
      <c r="EC25" s="67"/>
      <c r="ED25" s="67"/>
      <c r="EE25" s="67"/>
      <c r="EF25" s="67"/>
      <c r="EG25" s="67"/>
      <c r="EH25" s="67"/>
      <c r="EI25" s="67"/>
      <c r="EJ25" s="67"/>
      <c r="EK25" s="67"/>
      <c r="EL25" s="67"/>
      <c r="EM25" s="305">
        <f>EK25+EI25+EG25+EE25+EC25+EA25+DY25+DW25+DU25+DS25+DQ25+DO25</f>
        <v>0</v>
      </c>
      <c r="EN25" s="87">
        <f t="shared" si="31"/>
        <v>0</v>
      </c>
      <c r="EO25" s="87">
        <f t="shared" si="32"/>
        <v>0</v>
      </c>
      <c r="EP25" s="88">
        <f>DQ25+DS25+DU25+DW25+DY25+EA25+EC25+EE25+EG25+EI25+EK25+DO25</f>
        <v>0</v>
      </c>
      <c r="EQ25" s="87">
        <f>DP25+DR25+DT25+DV25</f>
        <v>0</v>
      </c>
      <c r="ER25" s="122">
        <f t="shared" si="3"/>
        <v>0.78029995203585623</v>
      </c>
      <c r="ES25" s="285">
        <f t="shared" si="5"/>
        <v>0.80392364695823204</v>
      </c>
      <c r="ET25" s="286">
        <f t="shared" si="6"/>
        <v>0.80392364695823204</v>
      </c>
      <c r="EU25" s="287">
        <f t="shared" si="4"/>
        <v>0.8710319558660492</v>
      </c>
      <c r="EV25" s="286">
        <f t="shared" si="7"/>
        <v>0.489705335042114</v>
      </c>
      <c r="EW25" s="461"/>
      <c r="EX25" s="456" t="s">
        <v>606</v>
      </c>
      <c r="EY25" s="456" t="s">
        <v>606</v>
      </c>
      <c r="EZ25" s="460"/>
      <c r="FA25" s="460"/>
      <c r="FB25" s="451"/>
    </row>
    <row r="26" spans="1:159" s="56" customFormat="1" ht="30.75" customHeight="1" x14ac:dyDescent="0.25">
      <c r="A26" s="453"/>
      <c r="B26" s="453"/>
      <c r="C26" s="453"/>
      <c r="D26" s="453"/>
      <c r="E26" s="453"/>
      <c r="F26" s="207" t="s">
        <v>216</v>
      </c>
      <c r="G26" s="273"/>
      <c r="H26" s="383"/>
      <c r="I26" s="108"/>
      <c r="J26" s="108"/>
      <c r="K26" s="108"/>
      <c r="L26" s="108"/>
      <c r="M26" s="108"/>
      <c r="N26" s="108"/>
      <c r="O26" s="108"/>
      <c r="P26" s="108"/>
      <c r="Q26" s="108"/>
      <c r="R26" s="108"/>
      <c r="S26" s="108"/>
      <c r="T26" s="107"/>
      <c r="U26" s="119"/>
      <c r="V26" s="119"/>
      <c r="W26" s="383"/>
      <c r="X26" s="383"/>
      <c r="Y26" s="383"/>
      <c r="Z26" s="119"/>
      <c r="AA26" s="119"/>
      <c r="AB26" s="119"/>
      <c r="AC26" s="108">
        <v>0</v>
      </c>
      <c r="AD26" s="108">
        <v>0</v>
      </c>
      <c r="AE26" s="119">
        <v>0</v>
      </c>
      <c r="AF26" s="108">
        <v>0</v>
      </c>
      <c r="AG26" s="108">
        <v>38410320</v>
      </c>
      <c r="AH26" s="108">
        <v>38410320</v>
      </c>
      <c r="AI26" s="108">
        <f>121559153-AG26</f>
        <v>83148833</v>
      </c>
      <c r="AJ26" s="108">
        <f>121559153-AH26</f>
        <v>83148833</v>
      </c>
      <c r="AK26" s="108">
        <v>253856212</v>
      </c>
      <c r="AL26" s="108">
        <f>375415365-AJ26-AH26-AF26-AD26-5062267</f>
        <v>248793945</v>
      </c>
      <c r="AM26" s="108">
        <v>303351665</v>
      </c>
      <c r="AN26" s="108">
        <v>303351665</v>
      </c>
      <c r="AO26" s="108">
        <v>0</v>
      </c>
      <c r="AP26" s="108">
        <v>207894550</v>
      </c>
      <c r="AQ26" s="108">
        <v>0</v>
      </c>
      <c r="AR26" s="108">
        <v>206559350</v>
      </c>
      <c r="AS26" s="108">
        <v>0</v>
      </c>
      <c r="AT26" s="108">
        <v>243123239</v>
      </c>
      <c r="AU26" s="108">
        <v>0</v>
      </c>
      <c r="AV26" s="108">
        <v>245622893</v>
      </c>
      <c r="AW26" s="108">
        <v>0</v>
      </c>
      <c r="AX26" s="108">
        <v>192872568</v>
      </c>
      <c r="AY26" s="108">
        <v>0</v>
      </c>
      <c r="AZ26" s="108">
        <v>365953417.93756247</v>
      </c>
      <c r="BA26" s="107">
        <f>AY26+AW26+AU26+AS26+AQ26+AO26+AM26+AK26+AI26+AG26+AE26+AC26</f>
        <v>678767030</v>
      </c>
      <c r="BB26" s="107">
        <f t="shared" si="29"/>
        <v>678767030</v>
      </c>
      <c r="BC26" s="107">
        <f t="shared" si="29"/>
        <v>2135730780.9375625</v>
      </c>
      <c r="BD26" s="107">
        <f>AE26+AG26+AI26+AK26+AM26+AO26+AQ26+AS26+AU26+AW26+AY26+AC26</f>
        <v>678767030</v>
      </c>
      <c r="BE26" s="107">
        <f>AD26+AF26+AH26+AJ26+AL26+AN26+AP26+AR26+AT26+AV26+AX26+AZ26</f>
        <v>2135730780.9375625</v>
      </c>
      <c r="BF26" s="108">
        <v>0</v>
      </c>
      <c r="BG26" s="108">
        <v>0</v>
      </c>
      <c r="BH26" s="108">
        <v>0</v>
      </c>
      <c r="BI26" s="108"/>
      <c r="BJ26" s="108">
        <v>9067333</v>
      </c>
      <c r="BK26" s="108"/>
      <c r="BL26" s="108">
        <v>212285736</v>
      </c>
      <c r="BM26" s="108"/>
      <c r="BN26" s="108">
        <v>373279828</v>
      </c>
      <c r="BO26" s="108"/>
      <c r="BP26" s="108">
        <v>298553561</v>
      </c>
      <c r="BQ26" s="108"/>
      <c r="BR26" s="108">
        <v>269039206</v>
      </c>
      <c r="BS26" s="108"/>
      <c r="BT26" s="108">
        <v>234759900</v>
      </c>
      <c r="BU26" s="108">
        <v>0</v>
      </c>
      <c r="BV26" s="108">
        <v>270020995</v>
      </c>
      <c r="BW26" s="108">
        <v>0</v>
      </c>
      <c r="BX26" s="108">
        <v>282708373</v>
      </c>
      <c r="BY26" s="108"/>
      <c r="BZ26" s="108"/>
      <c r="CA26" s="108"/>
      <c r="CB26" s="108"/>
      <c r="CC26" s="108"/>
      <c r="CD26" s="108"/>
      <c r="CE26" s="108">
        <f>CC26+CA26+BY26+BW26+BU26+BS26+BQ26+BO26+BM26+BK26+BI26+BG26</f>
        <v>0</v>
      </c>
      <c r="CF26" s="108">
        <f t="shared" si="30"/>
        <v>0</v>
      </c>
      <c r="CG26" s="107">
        <f t="shared" si="30"/>
        <v>1949714932</v>
      </c>
      <c r="CH26" s="107">
        <f>CC26+CA26+BY26+BW26+BU26+BS26+BQ26+BO26+BM26+BK26+BI26+BG26</f>
        <v>0</v>
      </c>
      <c r="CI26" s="107">
        <f>+BH26+BJ26+BL26+BN26+BP26+BR26+BT26+BV26+BX26</f>
        <v>1949714932</v>
      </c>
      <c r="CJ26" s="108">
        <v>0</v>
      </c>
      <c r="CK26" s="108"/>
      <c r="CL26" s="108"/>
      <c r="CM26" s="108"/>
      <c r="CN26" s="108"/>
      <c r="CO26" s="108"/>
      <c r="CP26" s="108"/>
      <c r="CQ26" s="108"/>
      <c r="CR26" s="108"/>
      <c r="CS26" s="108"/>
      <c r="CT26" s="108"/>
      <c r="CU26" s="108"/>
      <c r="CV26" s="108"/>
      <c r="CW26" s="108"/>
      <c r="CX26" s="108"/>
      <c r="CY26" s="108"/>
      <c r="CZ26" s="108"/>
      <c r="DA26" s="108"/>
      <c r="DB26" s="108"/>
      <c r="DC26" s="108"/>
      <c r="DD26" s="108"/>
      <c r="DE26" s="108"/>
      <c r="DF26" s="108"/>
      <c r="DG26" s="108"/>
      <c r="DH26" s="108"/>
      <c r="DI26" s="107"/>
      <c r="DJ26" s="117"/>
      <c r="DK26" s="117"/>
      <c r="DL26" s="107"/>
      <c r="DM26" s="117"/>
      <c r="DN26" s="108">
        <v>0</v>
      </c>
      <c r="DO26" s="67"/>
      <c r="DP26" s="67"/>
      <c r="DQ26" s="67"/>
      <c r="DR26" s="67"/>
      <c r="DS26" s="67"/>
      <c r="DT26" s="67"/>
      <c r="DU26" s="67"/>
      <c r="DV26" s="67"/>
      <c r="DW26" s="67"/>
      <c r="DX26" s="67"/>
      <c r="DY26" s="67"/>
      <c r="DZ26" s="67"/>
      <c r="EA26" s="67"/>
      <c r="EB26" s="67"/>
      <c r="EC26" s="67"/>
      <c r="ED26" s="67"/>
      <c r="EE26" s="67"/>
      <c r="EF26" s="67"/>
      <c r="EG26" s="67"/>
      <c r="EH26" s="67"/>
      <c r="EI26" s="67"/>
      <c r="EJ26" s="67"/>
      <c r="EK26" s="67"/>
      <c r="EL26" s="67"/>
      <c r="EM26" s="305">
        <f>EI26+EG26+EE26+EC26+EA26+DY26+DW26+DU26+DS26+DQ26+DO26+EK26</f>
        <v>0</v>
      </c>
      <c r="EN26" s="87">
        <f t="shared" si="31"/>
        <v>0</v>
      </c>
      <c r="EO26" s="87">
        <f t="shared" si="32"/>
        <v>0</v>
      </c>
      <c r="EP26" s="85">
        <f>DQ26+DS26+DU26+DW26+DY26+EA26+EC26+EE26+EG26+EI26+EK26</f>
        <v>0</v>
      </c>
      <c r="EQ26" s="87">
        <f>DP26+DR26+DT26+DV26</f>
        <v>0</v>
      </c>
      <c r="ER26" s="122" t="e">
        <f t="shared" si="3"/>
        <v>#DIV/0!</v>
      </c>
      <c r="ES26" s="285" t="e">
        <f t="shared" si="5"/>
        <v>#DIV/0!</v>
      </c>
      <c r="ET26" s="286" t="e">
        <f t="shared" si="6"/>
        <v>#DIV/0!</v>
      </c>
      <c r="EU26" s="287">
        <f t="shared" si="4"/>
        <v>6.0189218573824403</v>
      </c>
      <c r="EV26" s="286" t="e">
        <f t="shared" si="7"/>
        <v>#DIV/0!</v>
      </c>
      <c r="EW26" s="461"/>
      <c r="EX26" s="456" t="s">
        <v>606</v>
      </c>
      <c r="EY26" s="456" t="s">
        <v>606</v>
      </c>
      <c r="EZ26" s="460"/>
      <c r="FA26" s="460"/>
      <c r="FB26" s="451"/>
    </row>
    <row r="27" spans="1:159" s="3" customFormat="1" ht="30.75" customHeight="1" x14ac:dyDescent="0.25">
      <c r="A27" s="453"/>
      <c r="B27" s="453"/>
      <c r="C27" s="453"/>
      <c r="D27" s="453"/>
      <c r="E27" s="453"/>
      <c r="F27" s="205" t="s">
        <v>41</v>
      </c>
      <c r="G27" s="277">
        <f>+AA27+BD27+BF27+CJ27+DN27</f>
        <v>0</v>
      </c>
      <c r="H27" s="107">
        <v>0</v>
      </c>
      <c r="I27" s="299"/>
      <c r="J27" s="299"/>
      <c r="K27" s="299"/>
      <c r="L27" s="299"/>
      <c r="M27" s="299"/>
      <c r="N27" s="299"/>
      <c r="O27" s="299"/>
      <c r="P27" s="299"/>
      <c r="Q27" s="299"/>
      <c r="R27" s="299"/>
      <c r="S27" s="299"/>
      <c r="T27" s="299"/>
      <c r="U27" s="299"/>
      <c r="V27" s="299"/>
      <c r="W27" s="107">
        <v>0</v>
      </c>
      <c r="X27" s="107">
        <v>0</v>
      </c>
      <c r="Y27" s="107">
        <v>0</v>
      </c>
      <c r="Z27" s="107">
        <v>0</v>
      </c>
      <c r="AA27" s="107">
        <v>0</v>
      </c>
      <c r="AB27" s="299">
        <v>0</v>
      </c>
      <c r="AC27" s="299">
        <v>0</v>
      </c>
      <c r="AD27" s="299">
        <v>0</v>
      </c>
      <c r="AE27" s="299">
        <v>0</v>
      </c>
      <c r="AF27" s="299">
        <v>0</v>
      </c>
      <c r="AG27" s="299">
        <v>0</v>
      </c>
      <c r="AH27" s="299">
        <v>0</v>
      </c>
      <c r="AI27" s="299">
        <v>0</v>
      </c>
      <c r="AJ27" s="299">
        <v>0</v>
      </c>
      <c r="AK27" s="299">
        <v>0</v>
      </c>
      <c r="AL27" s="299">
        <v>0</v>
      </c>
      <c r="AM27" s="299">
        <v>0</v>
      </c>
      <c r="AN27" s="299">
        <v>0</v>
      </c>
      <c r="AO27" s="299">
        <v>0</v>
      </c>
      <c r="AP27" s="299">
        <v>0</v>
      </c>
      <c r="AQ27" s="299">
        <v>0</v>
      </c>
      <c r="AR27" s="299">
        <v>0</v>
      </c>
      <c r="AS27" s="299">
        <v>0</v>
      </c>
      <c r="AT27" s="299">
        <v>0</v>
      </c>
      <c r="AU27" s="299">
        <v>0</v>
      </c>
      <c r="AV27" s="299">
        <v>0</v>
      </c>
      <c r="AW27" s="299">
        <v>0</v>
      </c>
      <c r="AX27" s="299">
        <v>0</v>
      </c>
      <c r="AY27" s="299">
        <v>0</v>
      </c>
      <c r="AZ27" s="299">
        <v>0</v>
      </c>
      <c r="BA27" s="120">
        <f>AY27+AW27+AU27+AS27+AQ27+AO27+AM27+AK27+AI27+AG27+AE27+AC27</f>
        <v>0</v>
      </c>
      <c r="BB27" s="120">
        <f t="shared" si="29"/>
        <v>0</v>
      </c>
      <c r="BC27" s="120">
        <f t="shared" si="29"/>
        <v>0</v>
      </c>
      <c r="BD27" s="120">
        <f>AE27+AG27+AI27+AK27+AM27+AO27+AQ27+AS27+AU27+AW27+AY27+AC27</f>
        <v>0</v>
      </c>
      <c r="BE27" s="120">
        <f>AD27+AF27+AH27+AJ27+AL27+AN27+AP27+AR27+AT27+AV27+AX27+AZ27</f>
        <v>0</v>
      </c>
      <c r="BF27" s="299">
        <v>0</v>
      </c>
      <c r="BG27" s="299">
        <v>0</v>
      </c>
      <c r="BH27" s="299">
        <v>0</v>
      </c>
      <c r="BI27" s="299">
        <v>0</v>
      </c>
      <c r="BJ27" s="299">
        <v>0</v>
      </c>
      <c r="BK27" s="299">
        <v>0</v>
      </c>
      <c r="BL27" s="299">
        <v>0</v>
      </c>
      <c r="BM27" s="299">
        <v>0</v>
      </c>
      <c r="BN27" s="299">
        <v>0</v>
      </c>
      <c r="BO27" s="299">
        <v>0</v>
      </c>
      <c r="BP27" s="299">
        <v>0</v>
      </c>
      <c r="BQ27" s="299">
        <v>0</v>
      </c>
      <c r="BR27" s="299">
        <v>0</v>
      </c>
      <c r="BS27" s="299">
        <v>0</v>
      </c>
      <c r="BT27" s="299">
        <v>0</v>
      </c>
      <c r="BU27" s="299">
        <v>0</v>
      </c>
      <c r="BV27" s="299">
        <v>0</v>
      </c>
      <c r="BW27" s="299">
        <v>0</v>
      </c>
      <c r="BX27" s="299">
        <v>0</v>
      </c>
      <c r="BY27" s="299">
        <v>0</v>
      </c>
      <c r="BZ27" s="299"/>
      <c r="CA27" s="299">
        <v>0</v>
      </c>
      <c r="CB27" s="299"/>
      <c r="CC27" s="299">
        <v>0</v>
      </c>
      <c r="CD27" s="299"/>
      <c r="CE27" s="303">
        <f>CC27+CA27+BY27+BW27+BU27+BS27+BQ27+BO27+BM27+BK27+BI27+BG27</f>
        <v>0</v>
      </c>
      <c r="CF27" s="302">
        <f t="shared" si="30"/>
        <v>0</v>
      </c>
      <c r="CG27" s="233">
        <f t="shared" si="30"/>
        <v>0</v>
      </c>
      <c r="CH27" s="230">
        <f>CC27+CA27+BY27+BW27+BU27+BS27+BQ27+BO27+BM27+BK27+BI27+BG27</f>
        <v>0</v>
      </c>
      <c r="CI27" s="233">
        <f>+BH27+BJ27+BL27+BN27+BP27+BR27+BT27+BV27+BX27</f>
        <v>0</v>
      </c>
      <c r="CJ27" s="32">
        <v>0</v>
      </c>
      <c r="CK27" s="32"/>
      <c r="CL27" s="32"/>
      <c r="CM27" s="32"/>
      <c r="CN27" s="32"/>
      <c r="CO27" s="32"/>
      <c r="CP27" s="32"/>
      <c r="CQ27" s="32"/>
      <c r="CR27" s="32"/>
      <c r="CS27" s="32"/>
      <c r="CT27" s="32"/>
      <c r="CU27" s="32"/>
      <c r="CV27" s="32"/>
      <c r="CW27" s="32"/>
      <c r="CX27" s="32"/>
      <c r="CY27" s="32"/>
      <c r="CZ27" s="32"/>
      <c r="DA27" s="32"/>
      <c r="DB27" s="32"/>
      <c r="DC27" s="32"/>
      <c r="DD27" s="32"/>
      <c r="DE27" s="32"/>
      <c r="DF27" s="32"/>
      <c r="DG27" s="32"/>
      <c r="DH27" s="32"/>
      <c r="DI27" s="32">
        <v>0</v>
      </c>
      <c r="DJ27" s="32">
        <v>0</v>
      </c>
      <c r="DK27" s="32">
        <v>0</v>
      </c>
      <c r="DL27" s="121">
        <v>0</v>
      </c>
      <c r="DM27" s="32">
        <v>0</v>
      </c>
      <c r="DN27" s="32">
        <v>0</v>
      </c>
      <c r="DO27" s="306"/>
      <c r="DP27" s="306"/>
      <c r="DQ27" s="306"/>
      <c r="DR27" s="306"/>
      <c r="DS27" s="306"/>
      <c r="DT27" s="306"/>
      <c r="DU27" s="306"/>
      <c r="DV27" s="306"/>
      <c r="DW27" s="306"/>
      <c r="DX27" s="306"/>
      <c r="DY27" s="306"/>
      <c r="DZ27" s="306"/>
      <c r="EA27" s="306"/>
      <c r="EB27" s="306"/>
      <c r="EC27" s="306"/>
      <c r="ED27" s="306"/>
      <c r="EE27" s="306"/>
      <c r="EF27" s="306"/>
      <c r="EG27" s="306"/>
      <c r="EH27" s="306"/>
      <c r="EI27" s="306"/>
      <c r="EJ27" s="306"/>
      <c r="EK27" s="306"/>
      <c r="EL27" s="306"/>
      <c r="EM27" s="304">
        <f>EI27+EG27+EE27+EC27+EA27+DY27+DW27+DU27+DS27+DQ27+DO27+EK27</f>
        <v>0</v>
      </c>
      <c r="EN27" s="89">
        <f t="shared" si="31"/>
        <v>0</v>
      </c>
      <c r="EO27" s="89">
        <f t="shared" si="32"/>
        <v>0</v>
      </c>
      <c r="EP27" s="90">
        <f>DQ27+DS27+DU27+DW27+DY27+EA27+EC27+EE27+EG27+EI27+EK27</f>
        <v>0</v>
      </c>
      <c r="EQ27" s="304">
        <f>DP27+DR27+DT27+DV27</f>
        <v>0</v>
      </c>
      <c r="ER27" s="122" t="e">
        <f t="shared" si="3"/>
        <v>#DIV/0!</v>
      </c>
      <c r="ES27" s="285" t="e">
        <f t="shared" si="5"/>
        <v>#DIV/0!</v>
      </c>
      <c r="ET27" s="286" t="e">
        <f t="shared" si="6"/>
        <v>#DIV/0!</v>
      </c>
      <c r="EU27" s="287" t="e">
        <f t="shared" si="4"/>
        <v>#DIV/0!</v>
      </c>
      <c r="EV27" s="286" t="e">
        <f t="shared" si="7"/>
        <v>#DIV/0!</v>
      </c>
      <c r="EW27" s="461"/>
      <c r="EX27" s="456" t="s">
        <v>606</v>
      </c>
      <c r="EY27" s="456" t="s">
        <v>606</v>
      </c>
      <c r="EZ27" s="460"/>
      <c r="FA27" s="460"/>
      <c r="FB27" s="451"/>
    </row>
    <row r="28" spans="1:159" s="3" customFormat="1" ht="30.75" customHeight="1" x14ac:dyDescent="0.25">
      <c r="A28" s="453"/>
      <c r="B28" s="453"/>
      <c r="C28" s="453"/>
      <c r="D28" s="453"/>
      <c r="E28" s="453"/>
      <c r="F28" s="206" t="s">
        <v>4</v>
      </c>
      <c r="G28" s="272">
        <f>AA28+BE28+CH28+CJ28+DN28</f>
        <v>1043945993</v>
      </c>
      <c r="H28" s="299">
        <v>0</v>
      </c>
      <c r="I28" s="108">
        <v>0</v>
      </c>
      <c r="J28" s="108">
        <v>0</v>
      </c>
      <c r="K28" s="108">
        <v>0</v>
      </c>
      <c r="L28" s="108">
        <v>0</v>
      </c>
      <c r="M28" s="108">
        <v>0</v>
      </c>
      <c r="N28" s="108">
        <v>0</v>
      </c>
      <c r="O28" s="108">
        <v>0</v>
      </c>
      <c r="P28" s="108">
        <v>0</v>
      </c>
      <c r="Q28" s="108">
        <v>0</v>
      </c>
      <c r="R28" s="108">
        <v>0</v>
      </c>
      <c r="S28" s="108">
        <v>0</v>
      </c>
      <c r="T28" s="107">
        <v>0</v>
      </c>
      <c r="U28" s="119">
        <v>0</v>
      </c>
      <c r="V28" s="119">
        <v>0</v>
      </c>
      <c r="W28" s="299">
        <v>0</v>
      </c>
      <c r="X28" s="299">
        <v>0</v>
      </c>
      <c r="Y28" s="299">
        <v>0</v>
      </c>
      <c r="Z28" s="119">
        <v>0</v>
      </c>
      <c r="AA28" s="119">
        <v>0</v>
      </c>
      <c r="AB28" s="119">
        <v>592742679</v>
      </c>
      <c r="AC28" s="108">
        <v>91072667</v>
      </c>
      <c r="AD28" s="108">
        <v>91072667</v>
      </c>
      <c r="AE28" s="108">
        <f>205477567-AC28</f>
        <v>114404900</v>
      </c>
      <c r="AF28" s="108">
        <f>205477567-AD28</f>
        <v>114404900</v>
      </c>
      <c r="AG28" s="108">
        <v>43650195</v>
      </c>
      <c r="AH28" s="108">
        <f>249127762-AF28-AD28</f>
        <v>43650195</v>
      </c>
      <c r="AI28" s="108">
        <v>52211433</v>
      </c>
      <c r="AJ28" s="108">
        <f>301339195-AH28-AF28-AD28</f>
        <v>52211433</v>
      </c>
      <c r="AK28" s="108">
        <v>38507889</v>
      </c>
      <c r="AL28" s="108">
        <f>339847084-AJ28-AH28-AF28-AD28</f>
        <v>38507889</v>
      </c>
      <c r="AM28" s="108">
        <v>92916500</v>
      </c>
      <c r="AN28" s="108">
        <v>91626500</v>
      </c>
      <c r="AO28" s="108">
        <v>63971107</v>
      </c>
      <c r="AP28" s="108">
        <v>0</v>
      </c>
      <c r="AQ28" s="108">
        <v>16343157</v>
      </c>
      <c r="AR28" s="108">
        <v>100496560</v>
      </c>
      <c r="AS28" s="108">
        <f>23000000+56664831</f>
        <v>79664831</v>
      </c>
      <c r="AT28" s="108">
        <v>809200</v>
      </c>
      <c r="AU28" s="108">
        <v>0</v>
      </c>
      <c r="AV28" s="108">
        <v>12817727</v>
      </c>
      <c r="AW28" s="108">
        <v>-1342800</v>
      </c>
      <c r="AX28" s="108">
        <v>29874112</v>
      </c>
      <c r="AY28" s="108">
        <v>0</v>
      </c>
      <c r="AZ28" s="108">
        <v>9604961</v>
      </c>
      <c r="BA28" s="107">
        <f>AY28+AW28+AU28+AS28+AQ28+AO28+AM28+AK28+AI28+AG28+AE28+AC28</f>
        <v>591399879</v>
      </c>
      <c r="BB28" s="107">
        <f t="shared" si="29"/>
        <v>591399879</v>
      </c>
      <c r="BC28" s="107">
        <f t="shared" si="29"/>
        <v>585076144</v>
      </c>
      <c r="BD28" s="107">
        <f>AE28+AG28+AI28+AK28+AM28+AO28+AQ28+AS28+AU28+AW28+AY28+AC28</f>
        <v>591399879</v>
      </c>
      <c r="BE28" s="107">
        <f>AD28+AF28+AH28+AJ28+AL28+AN28+AP28+AR28+AT28+AV28+AX28+AZ28</f>
        <v>585076144</v>
      </c>
      <c r="BF28" s="108">
        <v>459991982</v>
      </c>
      <c r="BG28" s="108">
        <v>34305183</v>
      </c>
      <c r="BH28" s="108">
        <v>0</v>
      </c>
      <c r="BI28" s="108">
        <f>101870690- 1122133</f>
        <v>100748557</v>
      </c>
      <c r="BJ28" s="108">
        <v>71062834</v>
      </c>
      <c r="BK28" s="108">
        <v>62175676</v>
      </c>
      <c r="BL28" s="108">
        <v>0</v>
      </c>
      <c r="BM28" s="108">
        <v>99000000</v>
      </c>
      <c r="BN28" s="108">
        <v>0</v>
      </c>
      <c r="BO28" s="108">
        <v>22023119</v>
      </c>
      <c r="BP28" s="108">
        <v>0</v>
      </c>
      <c r="BQ28" s="108">
        <v>102726512</v>
      </c>
      <c r="BR28" s="108">
        <v>0</v>
      </c>
      <c r="BS28" s="108">
        <f>35867683+1122133</f>
        <v>36989816</v>
      </c>
      <c r="BT28" s="108">
        <v>387807015</v>
      </c>
      <c r="BU28" s="108">
        <v>2023119</v>
      </c>
      <c r="BV28" s="108">
        <v>0</v>
      </c>
      <c r="BW28" s="108">
        <v>-1122133</v>
      </c>
      <c r="BX28" s="108">
        <v>-133055649</v>
      </c>
      <c r="BY28" s="108"/>
      <c r="BZ28" s="108"/>
      <c r="CA28" s="108"/>
      <c r="CB28" s="108"/>
      <c r="CC28" s="108"/>
      <c r="CD28" s="108"/>
      <c r="CE28" s="108">
        <f>CC28+CA28+BY28+BW28+BU28+BS28+BQ28+BO28+BM28+BK28+BI28+BG28</f>
        <v>458869849</v>
      </c>
      <c r="CF28" s="108">
        <f t="shared" si="30"/>
        <v>458869849</v>
      </c>
      <c r="CG28" s="107">
        <f t="shared" si="30"/>
        <v>325814200</v>
      </c>
      <c r="CH28" s="107">
        <f>CC28+CA28+BY28+BW28+BU28+BS28+BQ28+BO28+BM28+BK28+BI28+BG28</f>
        <v>458869849</v>
      </c>
      <c r="CI28" s="107">
        <f>+BH28+BJ28+BL28+BN28+BP28+BR28+BT28+BV28+BX28</f>
        <v>325814200</v>
      </c>
      <c r="CJ28" s="108">
        <v>0</v>
      </c>
      <c r="CK28" s="108"/>
      <c r="CL28" s="108"/>
      <c r="CM28" s="108"/>
      <c r="CN28" s="108"/>
      <c r="CO28" s="108"/>
      <c r="CP28" s="108"/>
      <c r="CQ28" s="108"/>
      <c r="CR28" s="108"/>
      <c r="CS28" s="108"/>
      <c r="CT28" s="108"/>
      <c r="CU28" s="108"/>
      <c r="CV28" s="108"/>
      <c r="CW28" s="108"/>
      <c r="CX28" s="108"/>
      <c r="CY28" s="108"/>
      <c r="CZ28" s="108"/>
      <c r="DA28" s="108"/>
      <c r="DB28" s="108"/>
      <c r="DC28" s="108"/>
      <c r="DD28" s="108"/>
      <c r="DE28" s="108"/>
      <c r="DF28" s="108"/>
      <c r="DG28" s="108"/>
      <c r="DH28" s="108"/>
      <c r="DI28" s="107">
        <v>0</v>
      </c>
      <c r="DJ28" s="117">
        <v>0</v>
      </c>
      <c r="DK28" s="117">
        <v>0</v>
      </c>
      <c r="DL28" s="107">
        <v>0</v>
      </c>
      <c r="DM28" s="117">
        <v>0</v>
      </c>
      <c r="DN28" s="108">
        <v>0</v>
      </c>
      <c r="DO28" s="66"/>
      <c r="DP28" s="66"/>
      <c r="DQ28" s="66"/>
      <c r="DR28" s="66"/>
      <c r="DS28" s="66"/>
      <c r="DT28" s="66"/>
      <c r="DU28" s="66"/>
      <c r="DV28" s="66"/>
      <c r="DW28" s="66"/>
      <c r="DX28" s="66"/>
      <c r="DY28" s="66"/>
      <c r="DZ28" s="66"/>
      <c r="EA28" s="66"/>
      <c r="EB28" s="66"/>
      <c r="EC28" s="66"/>
      <c r="ED28" s="66"/>
      <c r="EE28" s="66"/>
      <c r="EF28" s="66"/>
      <c r="EG28" s="66"/>
      <c r="EH28" s="66"/>
      <c r="EI28" s="66"/>
      <c r="EJ28" s="66"/>
      <c r="EK28" s="66"/>
      <c r="EL28" s="66"/>
      <c r="EM28" s="304">
        <f>EI28+EG28+EE28+EC28+EA28+DY28+DW28+DU28+DS28+DQ28+DO28+EK28</f>
        <v>0</v>
      </c>
      <c r="EN28" s="87">
        <f t="shared" si="31"/>
        <v>0</v>
      </c>
      <c r="EO28" s="87">
        <f t="shared" si="32"/>
        <v>0</v>
      </c>
      <c r="EP28" s="85">
        <f>DQ28+DS28+DU28+DW28+DY28+EA28+EC28+EE28+EG28+EI28+EK28+DO28</f>
        <v>0</v>
      </c>
      <c r="EQ28" s="87">
        <f>DP28+DR28+DT28+DV28</f>
        <v>0</v>
      </c>
      <c r="ER28" s="122">
        <f t="shared" si="3"/>
        <v>118.57386691238918</v>
      </c>
      <c r="ES28" s="285">
        <f t="shared" si="5"/>
        <v>0.71003619154763864</v>
      </c>
      <c r="ET28" s="286">
        <f t="shared" si="6"/>
        <v>0.71003619154763864</v>
      </c>
      <c r="EU28" s="287">
        <f t="shared" si="4"/>
        <v>0.86729182010661554</v>
      </c>
      <c r="EV28" s="286">
        <f t="shared" si="7"/>
        <v>0.87254546701440328</v>
      </c>
      <c r="EW28" s="461"/>
      <c r="EX28" s="456" t="s">
        <v>606</v>
      </c>
      <c r="EY28" s="456" t="s">
        <v>606</v>
      </c>
      <c r="EZ28" s="460"/>
      <c r="FA28" s="460"/>
      <c r="FB28" s="451"/>
    </row>
    <row r="29" spans="1:159" s="3" customFormat="1" ht="30.75" customHeight="1" thickBot="1" x14ac:dyDescent="0.3">
      <c r="A29" s="453"/>
      <c r="B29" s="453"/>
      <c r="C29" s="453"/>
      <c r="D29" s="453"/>
      <c r="E29" s="453"/>
      <c r="F29" s="205" t="s">
        <v>42</v>
      </c>
      <c r="G29" s="278">
        <f>+G24+G27</f>
        <v>8</v>
      </c>
      <c r="H29" s="384">
        <f>+H24+H27</f>
        <v>1</v>
      </c>
      <c r="I29" s="318"/>
      <c r="J29" s="318"/>
      <c r="K29" s="318"/>
      <c r="L29" s="318"/>
      <c r="M29" s="318"/>
      <c r="N29" s="318"/>
      <c r="O29" s="318"/>
      <c r="P29" s="318"/>
      <c r="Q29" s="318"/>
      <c r="R29" s="318"/>
      <c r="S29" s="318"/>
      <c r="T29" s="318"/>
      <c r="U29" s="318"/>
      <c r="V29" s="318"/>
      <c r="W29" s="384">
        <f t="shared" ref="W29:AK29" si="33">+W24+W27</f>
        <v>1</v>
      </c>
      <c r="X29" s="384">
        <f t="shared" si="33"/>
        <v>1</v>
      </c>
      <c r="Y29" s="384">
        <f t="shared" si="33"/>
        <v>1</v>
      </c>
      <c r="Z29" s="384">
        <f t="shared" si="33"/>
        <v>1</v>
      </c>
      <c r="AA29" s="384">
        <f t="shared" si="33"/>
        <v>1</v>
      </c>
      <c r="AB29" s="384">
        <f t="shared" si="33"/>
        <v>2</v>
      </c>
      <c r="AC29" s="384">
        <f t="shared" si="33"/>
        <v>0.17</v>
      </c>
      <c r="AD29" s="384">
        <f t="shared" si="33"/>
        <v>0.15</v>
      </c>
      <c r="AE29" s="384">
        <f t="shared" si="33"/>
        <v>0.17</v>
      </c>
      <c r="AF29" s="384">
        <f t="shared" si="33"/>
        <v>0.11</v>
      </c>
      <c r="AG29" s="384">
        <f t="shared" si="33"/>
        <v>0.17</v>
      </c>
      <c r="AH29" s="384">
        <f t="shared" si="33"/>
        <v>0.1</v>
      </c>
      <c r="AI29" s="384">
        <f t="shared" si="33"/>
        <v>0.17</v>
      </c>
      <c r="AJ29" s="384">
        <f t="shared" si="33"/>
        <v>0.15</v>
      </c>
      <c r="AK29" s="384">
        <f t="shared" si="33"/>
        <v>0.14000000000000001</v>
      </c>
      <c r="AL29" s="384">
        <f t="shared" ref="AL29:AZ29" si="34">+AL24+AL27</f>
        <v>0.14000000000000001</v>
      </c>
      <c r="AM29" s="384">
        <f t="shared" si="34"/>
        <v>0.17</v>
      </c>
      <c r="AN29" s="384">
        <f t="shared" si="34"/>
        <v>0.35</v>
      </c>
      <c r="AO29" s="384">
        <f t="shared" si="34"/>
        <v>0.17</v>
      </c>
      <c r="AP29" s="384">
        <f t="shared" si="34"/>
        <v>0.26</v>
      </c>
      <c r="AQ29" s="384">
        <f t="shared" si="34"/>
        <v>0.17</v>
      </c>
      <c r="AR29" s="384">
        <f t="shared" si="34"/>
        <v>0.13</v>
      </c>
      <c r="AS29" s="384">
        <f t="shared" si="34"/>
        <v>0.17</v>
      </c>
      <c r="AT29" s="384">
        <f t="shared" si="34"/>
        <v>0.17</v>
      </c>
      <c r="AU29" s="384">
        <f t="shared" si="34"/>
        <v>0.17</v>
      </c>
      <c r="AV29" s="384">
        <f t="shared" si="34"/>
        <v>0.21</v>
      </c>
      <c r="AW29" s="384">
        <f t="shared" si="34"/>
        <v>0.17</v>
      </c>
      <c r="AX29" s="384">
        <f t="shared" si="34"/>
        <v>0.17</v>
      </c>
      <c r="AY29" s="384">
        <f t="shared" si="34"/>
        <v>0.16</v>
      </c>
      <c r="AZ29" s="384">
        <f t="shared" si="34"/>
        <v>0.06</v>
      </c>
      <c r="BA29" s="384">
        <f t="shared" ref="BA29:BE30" si="35">+BA24+BA27</f>
        <v>1.9999999999999996</v>
      </c>
      <c r="BB29" s="318">
        <f t="shared" si="35"/>
        <v>1.9999999999999998</v>
      </c>
      <c r="BC29" s="318">
        <f t="shared" si="35"/>
        <v>2</v>
      </c>
      <c r="BD29" s="318">
        <f t="shared" si="35"/>
        <v>1.9999999999999998</v>
      </c>
      <c r="BE29" s="318">
        <f t="shared" si="35"/>
        <v>2</v>
      </c>
      <c r="BF29" s="318">
        <f t="shared" ref="BF29:BI30" si="36">+BF24+BF27</f>
        <v>2</v>
      </c>
      <c r="BG29" s="318">
        <f t="shared" si="36"/>
        <v>0.17</v>
      </c>
      <c r="BH29" s="318">
        <f t="shared" si="36"/>
        <v>0</v>
      </c>
      <c r="BI29" s="318">
        <f t="shared" si="36"/>
        <v>0.17</v>
      </c>
      <c r="BJ29" s="318">
        <f>+BJ24+BJ27</f>
        <v>0.33</v>
      </c>
      <c r="BK29" s="318">
        <f t="shared" ref="BK29:CI29" si="37">+BK24+BK27</f>
        <v>0.17</v>
      </c>
      <c r="BL29" s="318">
        <f t="shared" si="37"/>
        <v>0.17</v>
      </c>
      <c r="BM29" s="318">
        <f t="shared" si="37"/>
        <v>0.17</v>
      </c>
      <c r="BN29" s="318">
        <f t="shared" si="37"/>
        <v>0.17</v>
      </c>
      <c r="BO29" s="318">
        <f t="shared" si="37"/>
        <v>0.14000000000000001</v>
      </c>
      <c r="BP29" s="318">
        <f t="shared" si="37"/>
        <v>0.14000000000000001</v>
      </c>
      <c r="BQ29" s="318">
        <f t="shared" si="37"/>
        <v>0.18</v>
      </c>
      <c r="BR29" s="318">
        <f t="shared" si="37"/>
        <v>0.17</v>
      </c>
      <c r="BS29" s="318">
        <f t="shared" si="37"/>
        <v>0.17</v>
      </c>
      <c r="BT29" s="318">
        <f t="shared" si="37"/>
        <v>0.19</v>
      </c>
      <c r="BU29" s="318">
        <f t="shared" si="37"/>
        <v>0.17</v>
      </c>
      <c r="BV29" s="318">
        <f t="shared" si="37"/>
        <v>0.17</v>
      </c>
      <c r="BW29" s="318">
        <f t="shared" si="37"/>
        <v>0.17</v>
      </c>
      <c r="BX29" s="318">
        <f t="shared" si="37"/>
        <v>0.17</v>
      </c>
      <c r="BY29" s="318">
        <f t="shared" si="37"/>
        <v>0.17</v>
      </c>
      <c r="BZ29" s="318">
        <f t="shared" si="37"/>
        <v>0</v>
      </c>
      <c r="CA29" s="318">
        <f t="shared" si="37"/>
        <v>0.17</v>
      </c>
      <c r="CB29" s="318">
        <f t="shared" si="37"/>
        <v>0</v>
      </c>
      <c r="CC29" s="318">
        <f t="shared" si="37"/>
        <v>0.15</v>
      </c>
      <c r="CD29" s="318">
        <f t="shared" si="37"/>
        <v>0</v>
      </c>
      <c r="CE29" s="318">
        <f t="shared" si="37"/>
        <v>1.9999999999999996</v>
      </c>
      <c r="CF29" s="318">
        <f t="shared" si="37"/>
        <v>1.5099999999999998</v>
      </c>
      <c r="CG29" s="318">
        <f t="shared" si="37"/>
        <v>1.51</v>
      </c>
      <c r="CH29" s="318">
        <f t="shared" si="37"/>
        <v>1.9999999999999996</v>
      </c>
      <c r="CI29" s="318">
        <f t="shared" si="37"/>
        <v>1.51</v>
      </c>
      <c r="CJ29" s="367">
        <f>+CJ24+CJ27</f>
        <v>2</v>
      </c>
      <c r="CK29" s="367"/>
      <c r="CL29" s="367"/>
      <c r="CM29" s="367"/>
      <c r="CN29" s="367"/>
      <c r="CO29" s="367"/>
      <c r="CP29" s="367"/>
      <c r="CQ29" s="367"/>
      <c r="CR29" s="367"/>
      <c r="CS29" s="367"/>
      <c r="CT29" s="367"/>
      <c r="CU29" s="367"/>
      <c r="CV29" s="367"/>
      <c r="CW29" s="367"/>
      <c r="CX29" s="367"/>
      <c r="CY29" s="367"/>
      <c r="CZ29" s="367"/>
      <c r="DA29" s="367"/>
      <c r="DB29" s="367"/>
      <c r="DC29" s="367"/>
      <c r="DD29" s="367"/>
      <c r="DE29" s="367"/>
      <c r="DF29" s="367"/>
      <c r="DG29" s="367"/>
      <c r="DH29" s="367"/>
      <c r="DI29" s="367">
        <v>0</v>
      </c>
      <c r="DJ29" s="367">
        <v>0</v>
      </c>
      <c r="DK29" s="367">
        <v>0</v>
      </c>
      <c r="DL29" s="368">
        <v>0</v>
      </c>
      <c r="DM29" s="367">
        <v>0</v>
      </c>
      <c r="DN29" s="367">
        <f>+DN24+DN27</f>
        <v>1</v>
      </c>
      <c r="DO29" s="348"/>
      <c r="DP29" s="348"/>
      <c r="DQ29" s="348"/>
      <c r="DR29" s="348"/>
      <c r="DS29" s="348"/>
      <c r="DT29" s="348"/>
      <c r="DU29" s="348"/>
      <c r="DV29" s="348"/>
      <c r="DW29" s="348"/>
      <c r="DX29" s="348"/>
      <c r="DY29" s="348"/>
      <c r="DZ29" s="348"/>
      <c r="EA29" s="348"/>
      <c r="EB29" s="348"/>
      <c r="EC29" s="348"/>
      <c r="ED29" s="348"/>
      <c r="EE29" s="348"/>
      <c r="EF29" s="348"/>
      <c r="EG29" s="348"/>
      <c r="EH29" s="348"/>
      <c r="EI29" s="348"/>
      <c r="EJ29" s="348"/>
      <c r="EK29" s="348"/>
      <c r="EL29" s="348"/>
      <c r="EM29" s="339">
        <f>EI29+EG29+EE29+EC29+EA29+DY29+DW29+DU29+DS29+DQ29+DO29+EK29</f>
        <v>0</v>
      </c>
      <c r="EN29" s="340">
        <f t="shared" si="31"/>
        <v>0</v>
      </c>
      <c r="EO29" s="340">
        <f t="shared" si="32"/>
        <v>0</v>
      </c>
      <c r="EP29" s="341">
        <f>DQ29+DS29+DU29+DW29+DY29+EA29+EC29+EE29+EG29+EI29+EK29+DO29</f>
        <v>0</v>
      </c>
      <c r="EQ29" s="340">
        <f>DR29+DT29+DV29+DP29</f>
        <v>0</v>
      </c>
      <c r="ER29" s="321">
        <f t="shared" si="3"/>
        <v>1</v>
      </c>
      <c r="ES29" s="288">
        <f t="shared" si="5"/>
        <v>1.0000000000000002</v>
      </c>
      <c r="ET29" s="289">
        <f t="shared" si="6"/>
        <v>0.75500000000000023</v>
      </c>
      <c r="EU29" s="290">
        <f t="shared" si="4"/>
        <v>1</v>
      </c>
      <c r="EV29" s="289">
        <f t="shared" si="7"/>
        <v>0.56374999999999997</v>
      </c>
      <c r="EW29" s="461"/>
      <c r="EX29" s="456" t="s">
        <v>606</v>
      </c>
      <c r="EY29" s="456" t="s">
        <v>606</v>
      </c>
      <c r="EZ29" s="460"/>
      <c r="FA29" s="460"/>
      <c r="FB29" s="451"/>
    </row>
    <row r="30" spans="1:159" s="29" customFormat="1" ht="30.75" customHeight="1" thickBot="1" x14ac:dyDescent="0.3">
      <c r="A30" s="453"/>
      <c r="B30" s="453"/>
      <c r="C30" s="453"/>
      <c r="D30" s="453"/>
      <c r="E30" s="453"/>
      <c r="F30" s="206" t="s">
        <v>44</v>
      </c>
      <c r="G30" s="275">
        <f>+G25+G28</f>
        <v>15004133487</v>
      </c>
      <c r="H30" s="363">
        <f>+H25+H28</f>
        <v>1412790000</v>
      </c>
      <c r="I30" s="363"/>
      <c r="J30" s="363"/>
      <c r="K30" s="363"/>
      <c r="L30" s="363"/>
      <c r="M30" s="363"/>
      <c r="N30" s="363"/>
      <c r="O30" s="363"/>
      <c r="P30" s="363"/>
      <c r="Q30" s="363"/>
      <c r="R30" s="363"/>
      <c r="S30" s="363"/>
      <c r="T30" s="364"/>
      <c r="U30" s="381"/>
      <c r="V30" s="381"/>
      <c r="W30" s="363">
        <f t="shared" ref="W30:AK30" si="38">+W25+W28</f>
        <v>1412790000</v>
      </c>
      <c r="X30" s="363">
        <f t="shared" si="38"/>
        <v>1412790000</v>
      </c>
      <c r="Y30" s="363">
        <f t="shared" si="38"/>
        <v>1326141063</v>
      </c>
      <c r="Z30" s="363">
        <f t="shared" si="38"/>
        <v>1399790000</v>
      </c>
      <c r="AA30" s="363">
        <f t="shared" si="38"/>
        <v>1326141063</v>
      </c>
      <c r="AB30" s="363">
        <f t="shared" si="38"/>
        <v>3566518679</v>
      </c>
      <c r="AC30" s="363">
        <f t="shared" si="38"/>
        <v>91072667</v>
      </c>
      <c r="AD30" s="363">
        <f t="shared" si="38"/>
        <v>91072667</v>
      </c>
      <c r="AE30" s="363">
        <f t="shared" si="38"/>
        <v>523194900</v>
      </c>
      <c r="AF30" s="363">
        <f t="shared" si="38"/>
        <v>523194900</v>
      </c>
      <c r="AG30" s="363">
        <f t="shared" si="38"/>
        <v>1428804345</v>
      </c>
      <c r="AH30" s="363">
        <f t="shared" si="38"/>
        <v>1428804345</v>
      </c>
      <c r="AI30" s="363">
        <f t="shared" si="38"/>
        <v>609841433</v>
      </c>
      <c r="AJ30" s="363">
        <f t="shared" si="38"/>
        <v>201051433</v>
      </c>
      <c r="AK30" s="363">
        <f t="shared" si="38"/>
        <v>38507889</v>
      </c>
      <c r="AL30" s="363">
        <f t="shared" ref="AL30:AZ30" si="39">+AL25+AL28</f>
        <v>43507889</v>
      </c>
      <c r="AM30" s="363">
        <f t="shared" si="39"/>
        <v>337648064</v>
      </c>
      <c r="AN30" s="363">
        <f t="shared" si="39"/>
        <v>336358064</v>
      </c>
      <c r="AO30" s="363">
        <f t="shared" si="39"/>
        <v>63971107</v>
      </c>
      <c r="AP30" s="363">
        <f t="shared" si="39"/>
        <v>0</v>
      </c>
      <c r="AQ30" s="363">
        <f t="shared" si="39"/>
        <v>78889757</v>
      </c>
      <c r="AR30" s="363">
        <f t="shared" si="39"/>
        <v>100496560</v>
      </c>
      <c r="AS30" s="363">
        <f t="shared" si="39"/>
        <v>158335747</v>
      </c>
      <c r="AT30" s="363">
        <f t="shared" si="39"/>
        <v>14036034</v>
      </c>
      <c r="AU30" s="363">
        <f t="shared" si="39"/>
        <v>68283886</v>
      </c>
      <c r="AV30" s="363">
        <f t="shared" si="39"/>
        <v>50370865</v>
      </c>
      <c r="AW30" s="363">
        <f t="shared" si="39"/>
        <v>61203800</v>
      </c>
      <c r="AX30" s="363">
        <f t="shared" si="39"/>
        <v>111518759</v>
      </c>
      <c r="AY30" s="363">
        <f t="shared" si="39"/>
        <v>62546600</v>
      </c>
      <c r="AZ30" s="363">
        <f t="shared" si="39"/>
        <v>366773951</v>
      </c>
      <c r="BA30" s="364">
        <f t="shared" si="35"/>
        <v>3522300195</v>
      </c>
      <c r="BB30" s="365">
        <f t="shared" si="35"/>
        <v>3522300195</v>
      </c>
      <c r="BC30" s="365">
        <f t="shared" si="35"/>
        <v>3267185467</v>
      </c>
      <c r="BD30" s="365">
        <f t="shared" si="35"/>
        <v>3522300195</v>
      </c>
      <c r="BE30" s="365">
        <f t="shared" si="35"/>
        <v>3267185467</v>
      </c>
      <c r="BF30" s="365">
        <f t="shared" si="36"/>
        <v>3824228982</v>
      </c>
      <c r="BG30" s="365">
        <f t="shared" si="36"/>
        <v>2633309183</v>
      </c>
      <c r="BH30" s="365">
        <f t="shared" si="36"/>
        <v>2534638908</v>
      </c>
      <c r="BI30" s="365">
        <f t="shared" si="36"/>
        <v>100748557</v>
      </c>
      <c r="BJ30" s="365">
        <f>+BJ25+BJ28</f>
        <v>71062834</v>
      </c>
      <c r="BK30" s="365">
        <f t="shared" ref="BK30:CI30" si="40">+BK25+BK28</f>
        <v>661271676</v>
      </c>
      <c r="BL30" s="365">
        <f t="shared" si="40"/>
        <v>50000000</v>
      </c>
      <c r="BM30" s="365">
        <f t="shared" si="40"/>
        <v>180137000</v>
      </c>
      <c r="BN30" s="365">
        <f t="shared" si="40"/>
        <v>0</v>
      </c>
      <c r="BO30" s="365">
        <f t="shared" si="40"/>
        <v>22023119</v>
      </c>
      <c r="BP30" s="365">
        <f t="shared" si="40"/>
        <v>162596000</v>
      </c>
      <c r="BQ30" s="365">
        <f t="shared" si="40"/>
        <v>187726512</v>
      </c>
      <c r="BR30" s="365">
        <f t="shared" si="40"/>
        <v>0</v>
      </c>
      <c r="BS30" s="365">
        <f t="shared" si="40"/>
        <v>36989816</v>
      </c>
      <c r="BT30" s="365">
        <f t="shared" si="40"/>
        <v>387807015</v>
      </c>
      <c r="BU30" s="365">
        <f t="shared" si="40"/>
        <v>52023119</v>
      </c>
      <c r="BV30" s="365">
        <f t="shared" si="40"/>
        <v>0</v>
      </c>
      <c r="BW30" s="365">
        <f t="shared" si="40"/>
        <v>102546975</v>
      </c>
      <c r="BX30" s="365">
        <f t="shared" si="40"/>
        <v>-52162649</v>
      </c>
      <c r="BY30" s="365">
        <f t="shared" si="40"/>
        <v>0</v>
      </c>
      <c r="BZ30" s="365">
        <f t="shared" si="40"/>
        <v>0</v>
      </c>
      <c r="CA30" s="365">
        <f t="shared" si="40"/>
        <v>0</v>
      </c>
      <c r="CB30" s="365">
        <f t="shared" si="40"/>
        <v>0</v>
      </c>
      <c r="CC30" s="365">
        <f t="shared" si="40"/>
        <v>0</v>
      </c>
      <c r="CD30" s="365">
        <f t="shared" si="40"/>
        <v>0</v>
      </c>
      <c r="CE30" s="365">
        <f t="shared" si="40"/>
        <v>3976775957</v>
      </c>
      <c r="CF30" s="365">
        <f t="shared" si="40"/>
        <v>3976775957</v>
      </c>
      <c r="CG30" s="365">
        <f t="shared" si="40"/>
        <v>3153942108</v>
      </c>
      <c r="CH30" s="365">
        <f t="shared" si="40"/>
        <v>3976775957</v>
      </c>
      <c r="CI30" s="365">
        <f t="shared" si="40"/>
        <v>3153942108</v>
      </c>
      <c r="CJ30" s="365">
        <f>+CJ25+CJ28</f>
        <v>4321368000</v>
      </c>
      <c r="CK30" s="363"/>
      <c r="CL30" s="363"/>
      <c r="CM30" s="363"/>
      <c r="CN30" s="363"/>
      <c r="CO30" s="363"/>
      <c r="CP30" s="363"/>
      <c r="CQ30" s="363"/>
      <c r="CR30" s="363"/>
      <c r="CS30" s="363"/>
      <c r="CT30" s="363"/>
      <c r="CU30" s="363"/>
      <c r="CV30" s="363"/>
      <c r="CW30" s="363"/>
      <c r="CX30" s="363"/>
      <c r="CY30" s="363"/>
      <c r="CZ30" s="363"/>
      <c r="DA30" s="363"/>
      <c r="DB30" s="363"/>
      <c r="DC30" s="363"/>
      <c r="DD30" s="363"/>
      <c r="DE30" s="363"/>
      <c r="DF30" s="363"/>
      <c r="DG30" s="363"/>
      <c r="DH30" s="363"/>
      <c r="DI30" s="364">
        <v>0</v>
      </c>
      <c r="DJ30" s="365">
        <v>0</v>
      </c>
      <c r="DK30" s="365">
        <v>0</v>
      </c>
      <c r="DL30" s="364">
        <v>0</v>
      </c>
      <c r="DM30" s="365">
        <v>0</v>
      </c>
      <c r="DN30" s="365">
        <f>+DN25+DN28</f>
        <v>2112663000</v>
      </c>
      <c r="DO30" s="385"/>
      <c r="DP30" s="385"/>
      <c r="DQ30" s="385"/>
      <c r="DR30" s="385"/>
      <c r="DS30" s="385"/>
      <c r="DT30" s="385"/>
      <c r="DU30" s="385"/>
      <c r="DV30" s="385"/>
      <c r="DW30" s="385"/>
      <c r="DX30" s="385"/>
      <c r="DY30" s="385"/>
      <c r="DZ30" s="385"/>
      <c r="EA30" s="385"/>
      <c r="EB30" s="385"/>
      <c r="EC30" s="385"/>
      <c r="ED30" s="385"/>
      <c r="EE30" s="385"/>
      <c r="EF30" s="385"/>
      <c r="EG30" s="385"/>
      <c r="EH30" s="385"/>
      <c r="EI30" s="385"/>
      <c r="EJ30" s="385"/>
      <c r="EK30" s="385"/>
      <c r="EL30" s="385"/>
      <c r="EM30" s="343">
        <f>EK30+EI30+EG30+EE30+EC30+EA30+DY30+DW30+DU30+DS30+DQ30+DO30</f>
        <v>0</v>
      </c>
      <c r="EN30" s="344">
        <f>+EN25+EN28</f>
        <v>0</v>
      </c>
      <c r="EO30" s="345">
        <f>EO25+EO28</f>
        <v>0</v>
      </c>
      <c r="EP30" s="344">
        <f>+EP25+EP28</f>
        <v>0</v>
      </c>
      <c r="EQ30" s="344">
        <f>+EQ25+EQ28</f>
        <v>0</v>
      </c>
      <c r="ER30" s="334">
        <f t="shared" si="3"/>
        <v>-0.50867077258983018</v>
      </c>
      <c r="ES30" s="291">
        <f t="shared" si="5"/>
        <v>0.79309021732752338</v>
      </c>
      <c r="ET30" s="292">
        <f t="shared" si="6"/>
        <v>0.79309021732752338</v>
      </c>
      <c r="EU30" s="293">
        <f t="shared" si="4"/>
        <v>0.87059053430743183</v>
      </c>
      <c r="EV30" s="294">
        <f t="shared" si="7"/>
        <v>0.51634228959056183</v>
      </c>
      <c r="EW30" s="461"/>
      <c r="EX30" s="457" t="s">
        <v>606</v>
      </c>
      <c r="EY30" s="457" t="s">
        <v>606</v>
      </c>
      <c r="EZ30" s="460"/>
      <c r="FA30" s="460"/>
      <c r="FB30" s="451"/>
    </row>
    <row r="31" spans="1:159" s="3" customFormat="1" ht="30.75" customHeight="1" x14ac:dyDescent="0.25">
      <c r="A31" s="453" t="s">
        <v>305</v>
      </c>
      <c r="B31" s="453">
        <v>4</v>
      </c>
      <c r="C31" s="453" t="s">
        <v>310</v>
      </c>
      <c r="D31" s="453" t="s">
        <v>266</v>
      </c>
      <c r="E31" s="453">
        <v>269</v>
      </c>
      <c r="F31" s="205" t="s">
        <v>40</v>
      </c>
      <c r="G31" s="279">
        <f>+AA31+BE31+BF31+CJ31+DN31</f>
        <v>4700</v>
      </c>
      <c r="H31" s="342">
        <v>491</v>
      </c>
      <c r="I31" s="327"/>
      <c r="J31" s="327"/>
      <c r="K31" s="327"/>
      <c r="L31" s="327"/>
      <c r="M31" s="327"/>
      <c r="N31" s="327"/>
      <c r="O31" s="327"/>
      <c r="P31" s="327"/>
      <c r="Q31" s="327"/>
      <c r="R31" s="327"/>
      <c r="S31" s="327"/>
      <c r="T31" s="327"/>
      <c r="U31" s="327"/>
      <c r="V31" s="327"/>
      <c r="W31" s="342">
        <v>491</v>
      </c>
      <c r="X31" s="342">
        <v>491</v>
      </c>
      <c r="Y31" s="327">
        <v>491</v>
      </c>
      <c r="Z31" s="342">
        <v>491</v>
      </c>
      <c r="AA31" s="327">
        <v>491</v>
      </c>
      <c r="AB31" s="327">
        <v>893</v>
      </c>
      <c r="AC31" s="327">
        <v>15</v>
      </c>
      <c r="AD31" s="327">
        <v>36</v>
      </c>
      <c r="AE31" s="327">
        <v>18</v>
      </c>
      <c r="AF31" s="327">
        <v>16</v>
      </c>
      <c r="AG31" s="327">
        <v>90</v>
      </c>
      <c r="AH31" s="327">
        <v>104</v>
      </c>
      <c r="AI31" s="327">
        <v>97</v>
      </c>
      <c r="AJ31" s="327">
        <v>116</v>
      </c>
      <c r="AK31" s="327">
        <v>97</v>
      </c>
      <c r="AL31" s="327">
        <v>76</v>
      </c>
      <c r="AM31" s="327">
        <v>97</v>
      </c>
      <c r="AN31" s="327">
        <v>115</v>
      </c>
      <c r="AO31" s="327">
        <v>97</v>
      </c>
      <c r="AP31" s="327">
        <v>96</v>
      </c>
      <c r="AQ31" s="327">
        <v>97</v>
      </c>
      <c r="AR31" s="327">
        <v>102</v>
      </c>
      <c r="AS31" s="327">
        <v>97</v>
      </c>
      <c r="AT31" s="327">
        <v>96</v>
      </c>
      <c r="AU31" s="327">
        <v>97</v>
      </c>
      <c r="AV31" s="327">
        <v>69</v>
      </c>
      <c r="AW31" s="327">
        <v>91</v>
      </c>
      <c r="AX31" s="327">
        <v>65</v>
      </c>
      <c r="AY31" s="327">
        <v>4</v>
      </c>
      <c r="AZ31" s="327">
        <v>6</v>
      </c>
      <c r="BA31" s="342">
        <f>AY31+AW31+AU31+AS31+AQ31+AO31+AM31+AK31+AI31+AG31+AE31+AC31</f>
        <v>897</v>
      </c>
      <c r="BB31" s="342">
        <f t="shared" ref="BB31:BC34" si="41">AC31+AE31+AG31+AI31+AK31+AM31+AO31+AQ31+AS31+AU31+AW31+AY31</f>
        <v>897</v>
      </c>
      <c r="BC31" s="342">
        <f t="shared" si="41"/>
        <v>897</v>
      </c>
      <c r="BD31" s="342">
        <f>AE31+AG31+AI31+AK31+AM31+AO31+AQ31+AS31+AU31+AW31+AY31+AC31</f>
        <v>897</v>
      </c>
      <c r="BE31" s="342">
        <f>AD31+AF31+AH31+AJ31+AL31+AN31+AP31+AR31+AT31+AV31+AX31+AZ31</f>
        <v>897</v>
      </c>
      <c r="BF31" s="342">
        <v>1272</v>
      </c>
      <c r="BG31" s="342">
        <v>0</v>
      </c>
      <c r="BH31" s="342">
        <v>11</v>
      </c>
      <c r="BI31" s="342">
        <v>102</v>
      </c>
      <c r="BJ31" s="342">
        <v>129</v>
      </c>
      <c r="BK31" s="342">
        <v>130</v>
      </c>
      <c r="BL31" s="342">
        <v>109</v>
      </c>
      <c r="BM31" s="342">
        <v>130</v>
      </c>
      <c r="BN31" s="342">
        <v>115</v>
      </c>
      <c r="BO31" s="342">
        <v>130</v>
      </c>
      <c r="BP31" s="342">
        <v>194</v>
      </c>
      <c r="BQ31" s="342">
        <v>130</v>
      </c>
      <c r="BR31" s="342">
        <v>127</v>
      </c>
      <c r="BS31" s="342">
        <v>130</v>
      </c>
      <c r="BT31" s="342">
        <v>138</v>
      </c>
      <c r="BU31" s="342">
        <v>130</v>
      </c>
      <c r="BV31" s="342">
        <v>117</v>
      </c>
      <c r="BW31" s="342">
        <v>130</v>
      </c>
      <c r="BX31" s="342">
        <v>142</v>
      </c>
      <c r="BY31" s="327">
        <v>130</v>
      </c>
      <c r="BZ31" s="342"/>
      <c r="CA31" s="327">
        <v>130</v>
      </c>
      <c r="CB31" s="342"/>
      <c r="CC31" s="342">
        <v>0</v>
      </c>
      <c r="CD31" s="342"/>
      <c r="CE31" s="323">
        <f>CC31+CA31+BY31+BW31+BU31+BS31+BQ31+BO31+BM31+BK31+BI31+BG31</f>
        <v>1272</v>
      </c>
      <c r="CF31" s="323">
        <f t="shared" ref="CF31:CG35" si="42">+BG31+BI31+BK31+BM31+BO31+BQ31+BS31+BU31+BW31</f>
        <v>1012</v>
      </c>
      <c r="CG31" s="324">
        <f t="shared" si="42"/>
        <v>1082</v>
      </c>
      <c r="CH31" s="324">
        <f>CC31+CA31+BY31+BW31+BU31+BS31+BQ31+BO31+BM31+BK31+BI31+BG31</f>
        <v>1272</v>
      </c>
      <c r="CI31" s="324">
        <f>+BH31+BJ31+BL31+BN31+BP31+BR31+BT31+BV31+BX31</f>
        <v>1082</v>
      </c>
      <c r="CJ31" s="369">
        <v>1585</v>
      </c>
      <c r="CK31" s="369"/>
      <c r="CL31" s="369"/>
      <c r="CM31" s="369"/>
      <c r="CN31" s="369"/>
      <c r="CO31" s="369"/>
      <c r="CP31" s="369"/>
      <c r="CQ31" s="369"/>
      <c r="CR31" s="369"/>
      <c r="CS31" s="369"/>
      <c r="CT31" s="369"/>
      <c r="CU31" s="369"/>
      <c r="CV31" s="369"/>
      <c r="CW31" s="369"/>
      <c r="CX31" s="369"/>
      <c r="CY31" s="369"/>
      <c r="CZ31" s="369"/>
      <c r="DA31" s="369"/>
      <c r="DB31" s="369"/>
      <c r="DC31" s="369"/>
      <c r="DD31" s="369"/>
      <c r="DE31" s="369"/>
      <c r="DF31" s="369"/>
      <c r="DG31" s="369"/>
      <c r="DH31" s="369"/>
      <c r="DI31" s="369">
        <v>0</v>
      </c>
      <c r="DJ31" s="369">
        <v>0</v>
      </c>
      <c r="DK31" s="369">
        <v>0</v>
      </c>
      <c r="DL31" s="369">
        <v>0</v>
      </c>
      <c r="DM31" s="369">
        <v>0</v>
      </c>
      <c r="DN31" s="369">
        <v>455</v>
      </c>
      <c r="DO31" s="336"/>
      <c r="DP31" s="336"/>
      <c r="DQ31" s="336"/>
      <c r="DR31" s="336"/>
      <c r="DS31" s="336"/>
      <c r="DT31" s="336"/>
      <c r="DU31" s="336"/>
      <c r="DV31" s="336"/>
      <c r="DW31" s="336"/>
      <c r="DX31" s="336"/>
      <c r="DY31" s="336"/>
      <c r="DZ31" s="336"/>
      <c r="EA31" s="336"/>
      <c r="EB31" s="336"/>
      <c r="EC31" s="336"/>
      <c r="ED31" s="336"/>
      <c r="EE31" s="336"/>
      <c r="EF31" s="336"/>
      <c r="EG31" s="337"/>
      <c r="EH31" s="337"/>
      <c r="EI31" s="337"/>
      <c r="EJ31" s="337"/>
      <c r="EK31" s="337"/>
      <c r="EL31" s="337"/>
      <c r="EM31" s="382">
        <f>EK31+EI31+EG31+EE31+EC31+EA31+DY31+DW31+DU31+DS31+DQ31+DO31</f>
        <v>0</v>
      </c>
      <c r="EN31" s="337">
        <f t="shared" ref="EN31:EN36" si="43">DO31+DQ31+DS31+DU31</f>
        <v>0</v>
      </c>
      <c r="EO31" s="337">
        <f t="shared" ref="EO31:EO36" si="44">DP31+DR31+DT31+DV31</f>
        <v>0</v>
      </c>
      <c r="EP31" s="338">
        <f>DQ31+DS31+DU31+DW31+DY31+EA31+EC31+EE31+EG31+EI31+EK31+DO31</f>
        <v>0</v>
      </c>
      <c r="EQ31" s="337">
        <f>DP31+DR31+DT31+DV31</f>
        <v>0</v>
      </c>
      <c r="ER31" s="329">
        <f t="shared" si="3"/>
        <v>1.0923076923076922</v>
      </c>
      <c r="ES31" s="295">
        <f t="shared" si="5"/>
        <v>1.0691699604743083</v>
      </c>
      <c r="ET31" s="296">
        <f t="shared" si="6"/>
        <v>0.85062893081761004</v>
      </c>
      <c r="EU31" s="297">
        <f t="shared" si="4"/>
        <v>1.0291666666666666</v>
      </c>
      <c r="EV31" s="296">
        <f t="shared" si="7"/>
        <v>0.52553191489361706</v>
      </c>
      <c r="EW31" s="454" t="s">
        <v>678</v>
      </c>
      <c r="EX31" s="455" t="s">
        <v>606</v>
      </c>
      <c r="EY31" s="455" t="s">
        <v>606</v>
      </c>
      <c r="EZ31" s="458" t="s">
        <v>563</v>
      </c>
      <c r="FA31" s="459" t="s">
        <v>564</v>
      </c>
      <c r="FB31" s="451"/>
    </row>
    <row r="32" spans="1:159" s="56" customFormat="1" ht="30.75" customHeight="1" x14ac:dyDescent="0.25">
      <c r="A32" s="453"/>
      <c r="B32" s="453"/>
      <c r="C32" s="453"/>
      <c r="D32" s="453"/>
      <c r="E32" s="453"/>
      <c r="F32" s="206" t="s">
        <v>3</v>
      </c>
      <c r="G32" s="272">
        <f>AA32+BE32+CH32+CJ32+DN32</f>
        <v>6644685898</v>
      </c>
      <c r="H32" s="108">
        <v>621054131</v>
      </c>
      <c r="I32" s="108"/>
      <c r="J32" s="108"/>
      <c r="K32" s="108"/>
      <c r="L32" s="108"/>
      <c r="M32" s="108"/>
      <c r="N32" s="108"/>
      <c r="O32" s="108"/>
      <c r="P32" s="108"/>
      <c r="Q32" s="108"/>
      <c r="R32" s="108"/>
      <c r="S32" s="108"/>
      <c r="T32" s="107"/>
      <c r="U32" s="119"/>
      <c r="V32" s="119"/>
      <c r="W32" s="108">
        <v>621054131</v>
      </c>
      <c r="X32" s="108">
        <v>621054131</v>
      </c>
      <c r="Y32" s="119">
        <v>535986131</v>
      </c>
      <c r="Z32" s="108">
        <v>556054131</v>
      </c>
      <c r="AA32" s="119">
        <v>535986131</v>
      </c>
      <c r="AB32" s="119">
        <v>1480481000</v>
      </c>
      <c r="AC32" s="108">
        <v>0</v>
      </c>
      <c r="AD32" s="119">
        <v>0</v>
      </c>
      <c r="AE32" s="119">
        <v>740287000</v>
      </c>
      <c r="AF32" s="119">
        <f>740287000-AD32</f>
        <v>740287000</v>
      </c>
      <c r="AG32" s="119">
        <v>261288000</v>
      </c>
      <c r="AH32" s="119">
        <f>1001575000-AF32-AD32</f>
        <v>261288000</v>
      </c>
      <c r="AI32" s="119">
        <v>0</v>
      </c>
      <c r="AJ32" s="119">
        <f>1001575000-AH32-AF32-AD32</f>
        <v>0</v>
      </c>
      <c r="AK32" s="108">
        <v>0</v>
      </c>
      <c r="AL32" s="108">
        <f>1001575000-AJ32-AH32-AF32-AD32</f>
        <v>0</v>
      </c>
      <c r="AM32" s="108">
        <v>150666666.66666666</v>
      </c>
      <c r="AN32" s="108">
        <v>150000000</v>
      </c>
      <c r="AO32" s="108">
        <v>0</v>
      </c>
      <c r="AP32" s="108">
        <v>0</v>
      </c>
      <c r="AQ32" s="108">
        <f>150666666.666667+5381200</f>
        <v>156047866.66666701</v>
      </c>
      <c r="AR32" s="108">
        <v>0</v>
      </c>
      <c r="AS32" s="108">
        <f>150666666.666667+5381200+107000000</f>
        <v>263047866.66666701</v>
      </c>
      <c r="AT32" s="108">
        <v>0</v>
      </c>
      <c r="AU32" s="108">
        <v>5381200</v>
      </c>
      <c r="AV32" s="108">
        <v>12393667</v>
      </c>
      <c r="AW32" s="108">
        <v>5381200</v>
      </c>
      <c r="AX32" s="108">
        <v>355319167</v>
      </c>
      <c r="AY32" s="108">
        <v>5381200</v>
      </c>
      <c r="AZ32" s="108">
        <v>67733833</v>
      </c>
      <c r="BA32" s="107">
        <f>AY32+AW32+AU32+AS32+AQ32+AO32+AM32+AK32+AI32+AG32+AE32+AC32</f>
        <v>1587481000.0000005</v>
      </c>
      <c r="BB32" s="107">
        <f t="shared" si="41"/>
        <v>1587481000.0000007</v>
      </c>
      <c r="BC32" s="107">
        <f t="shared" si="41"/>
        <v>1587021667</v>
      </c>
      <c r="BD32" s="107">
        <f>AE32+AG32+AI32+AK32+AM32+AO32+AQ32+AS32+AU32+AW32+AY32+AC32</f>
        <v>1587481000.0000007</v>
      </c>
      <c r="BE32" s="107">
        <f>AD32+AF32+AH32+AJ32+AL32+AN32+AP32+AR32+AT32+AV32+AX32+AZ32</f>
        <v>1587021667</v>
      </c>
      <c r="BF32" s="107">
        <v>1617058000</v>
      </c>
      <c r="BG32" s="108">
        <v>1100730000</v>
      </c>
      <c r="BH32" s="108">
        <v>1097940000</v>
      </c>
      <c r="BI32" s="108">
        <v>0</v>
      </c>
      <c r="BJ32" s="108">
        <v>0</v>
      </c>
      <c r="BK32" s="108">
        <v>136319000</v>
      </c>
      <c r="BL32" s="108">
        <v>0</v>
      </c>
      <c r="BM32" s="108">
        <v>340009000</v>
      </c>
      <c r="BN32" s="108">
        <v>0</v>
      </c>
      <c r="BO32" s="108">
        <v>0</v>
      </c>
      <c r="BP32" s="108">
        <v>0</v>
      </c>
      <c r="BQ32" s="108">
        <v>40000000</v>
      </c>
      <c r="BR32" s="108">
        <v>0</v>
      </c>
      <c r="BS32" s="108">
        <v>0</v>
      </c>
      <c r="BT32" s="108">
        <v>0</v>
      </c>
      <c r="BU32" s="108">
        <v>0</v>
      </c>
      <c r="BV32" s="108">
        <v>0</v>
      </c>
      <c r="BW32" s="108">
        <f>281095100-82000000</f>
        <v>199095100</v>
      </c>
      <c r="BX32" s="108">
        <v>40000000</v>
      </c>
      <c r="BY32" s="108">
        <v>0</v>
      </c>
      <c r="BZ32" s="108"/>
      <c r="CA32" s="108">
        <v>0</v>
      </c>
      <c r="CB32" s="108"/>
      <c r="CC32" s="108">
        <v>0</v>
      </c>
      <c r="CD32" s="108"/>
      <c r="CE32" s="108">
        <f>CC32+CA32+BY32+BW32+BU32+BS32+BQ32+BO32+BM32+BK32+BI32+BG32</f>
        <v>1816153100</v>
      </c>
      <c r="CF32" s="108">
        <f t="shared" si="42"/>
        <v>1816153100</v>
      </c>
      <c r="CG32" s="107">
        <f t="shared" si="42"/>
        <v>1137940000</v>
      </c>
      <c r="CH32" s="107">
        <f>CC32+CA32+BY32+BW32+BU32+BS32+BQ32+BO32+BM32+BK32+BI32+BG32</f>
        <v>1816153100</v>
      </c>
      <c r="CI32" s="107">
        <f>+BH32+BJ32+BL32+BN32+BP32+BR32+BT32+BV32+BX32</f>
        <v>1137940000</v>
      </c>
      <c r="CJ32" s="108">
        <v>1710164000</v>
      </c>
      <c r="CK32" s="108"/>
      <c r="CL32" s="108"/>
      <c r="CM32" s="108"/>
      <c r="CN32" s="108"/>
      <c r="CO32" s="108"/>
      <c r="CP32" s="108"/>
      <c r="CQ32" s="108"/>
      <c r="CR32" s="108"/>
      <c r="CS32" s="108"/>
      <c r="CT32" s="108"/>
      <c r="CU32" s="108"/>
      <c r="CV32" s="108"/>
      <c r="CW32" s="108"/>
      <c r="CX32" s="108"/>
      <c r="CY32" s="108"/>
      <c r="CZ32" s="108"/>
      <c r="DA32" s="108"/>
      <c r="DB32" s="108"/>
      <c r="DC32" s="108"/>
      <c r="DD32" s="108"/>
      <c r="DE32" s="108"/>
      <c r="DF32" s="108"/>
      <c r="DG32" s="108"/>
      <c r="DH32" s="108"/>
      <c r="DI32" s="107">
        <v>0</v>
      </c>
      <c r="DJ32" s="117">
        <v>0</v>
      </c>
      <c r="DK32" s="117">
        <v>0</v>
      </c>
      <c r="DL32" s="107">
        <v>0</v>
      </c>
      <c r="DM32" s="117">
        <v>0</v>
      </c>
      <c r="DN32" s="108">
        <v>995361000</v>
      </c>
      <c r="DO32" s="67"/>
      <c r="DP32" s="67"/>
      <c r="DQ32" s="67"/>
      <c r="DR32" s="67"/>
      <c r="DS32" s="67"/>
      <c r="DT32" s="67"/>
      <c r="DU32" s="67"/>
      <c r="DV32" s="67"/>
      <c r="DW32" s="67"/>
      <c r="DX32" s="67"/>
      <c r="DY32" s="67"/>
      <c r="DZ32" s="67"/>
      <c r="EA32" s="67"/>
      <c r="EB32" s="67"/>
      <c r="EC32" s="67"/>
      <c r="ED32" s="67"/>
      <c r="EE32" s="67"/>
      <c r="EF32" s="67"/>
      <c r="EG32" s="67"/>
      <c r="EH32" s="67"/>
      <c r="EI32" s="67"/>
      <c r="EJ32" s="67"/>
      <c r="EK32" s="67"/>
      <c r="EL32" s="67"/>
      <c r="EM32" s="305">
        <f>EK32+EI32+EG32+EE32+EC32+EA32+DY32+DW32+DU32+DS32+DQ32+DO32</f>
        <v>0</v>
      </c>
      <c r="EN32" s="87">
        <f t="shared" si="43"/>
        <v>0</v>
      </c>
      <c r="EO32" s="87">
        <f t="shared" si="44"/>
        <v>0</v>
      </c>
      <c r="EP32" s="88">
        <f>DQ32+DS32+DU32+DW32+DY32+EA32+EC32+EE32+EG32+EI32+EK32+DO32</f>
        <v>0</v>
      </c>
      <c r="EQ32" s="87">
        <f>DP32+DR32+DT32+DV32</f>
        <v>0</v>
      </c>
      <c r="ER32" s="122">
        <f t="shared" si="3"/>
        <v>0.20090901282854273</v>
      </c>
      <c r="ES32" s="285">
        <f t="shared" si="5"/>
        <v>0.62656611934313244</v>
      </c>
      <c r="ET32" s="286">
        <f t="shared" si="6"/>
        <v>0.62656611934313244</v>
      </c>
      <c r="EU32" s="287">
        <f t="shared" si="4"/>
        <v>0.82353650281614788</v>
      </c>
      <c r="EV32" s="286">
        <f t="shared" si="7"/>
        <v>0.49076026287134511</v>
      </c>
      <c r="EW32" s="454"/>
      <c r="EX32" s="456"/>
      <c r="EY32" s="456" t="s">
        <v>606</v>
      </c>
      <c r="EZ32" s="458"/>
      <c r="FA32" s="459"/>
      <c r="FB32" s="451"/>
    </row>
    <row r="33" spans="1:158" s="56" customFormat="1" ht="30.75" customHeight="1" x14ac:dyDescent="0.25">
      <c r="A33" s="453"/>
      <c r="B33" s="453"/>
      <c r="C33" s="453"/>
      <c r="D33" s="453"/>
      <c r="E33" s="453"/>
      <c r="F33" s="207" t="s">
        <v>216</v>
      </c>
      <c r="G33" s="273"/>
      <c r="H33" s="108"/>
      <c r="I33" s="108"/>
      <c r="J33" s="108"/>
      <c r="K33" s="108"/>
      <c r="L33" s="108"/>
      <c r="M33" s="108"/>
      <c r="N33" s="108"/>
      <c r="O33" s="108"/>
      <c r="P33" s="108"/>
      <c r="Q33" s="108"/>
      <c r="R33" s="108"/>
      <c r="S33" s="108"/>
      <c r="T33" s="107"/>
      <c r="U33" s="119"/>
      <c r="V33" s="119"/>
      <c r="W33" s="108"/>
      <c r="X33" s="108"/>
      <c r="Y33" s="119">
        <v>0</v>
      </c>
      <c r="Z33" s="108"/>
      <c r="AA33" s="119">
        <v>0</v>
      </c>
      <c r="AB33" s="119"/>
      <c r="AC33" s="108">
        <v>0</v>
      </c>
      <c r="AD33" s="108">
        <v>0</v>
      </c>
      <c r="AE33" s="119">
        <v>0</v>
      </c>
      <c r="AF33" s="119">
        <v>0</v>
      </c>
      <c r="AG33" s="119">
        <v>27208599</v>
      </c>
      <c r="AH33" s="119">
        <v>27208599</v>
      </c>
      <c r="AI33" s="119">
        <v>102633333</v>
      </c>
      <c r="AJ33" s="119">
        <f>129841932-AH33-AF33-AD33</f>
        <v>102633333</v>
      </c>
      <c r="AK33" s="108">
        <v>113778067</v>
      </c>
      <c r="AL33" s="108">
        <f>243619999-AJ33-AH33-AF33-AD33</f>
        <v>113778067</v>
      </c>
      <c r="AM33" s="108">
        <v>115052000</v>
      </c>
      <c r="AN33" s="108">
        <v>115052000</v>
      </c>
      <c r="AO33" s="108">
        <v>0</v>
      </c>
      <c r="AP33" s="108">
        <v>111614000</v>
      </c>
      <c r="AQ33" s="108">
        <v>0</v>
      </c>
      <c r="AR33" s="108">
        <v>111614000</v>
      </c>
      <c r="AS33" s="108">
        <v>0</v>
      </c>
      <c r="AT33" s="108">
        <v>111614000</v>
      </c>
      <c r="AU33" s="108">
        <v>0</v>
      </c>
      <c r="AV33" s="108">
        <v>111614000</v>
      </c>
      <c r="AW33" s="108">
        <v>0</v>
      </c>
      <c r="AX33" s="108">
        <v>134099612</v>
      </c>
      <c r="AY33" s="108">
        <v>0</v>
      </c>
      <c r="AZ33" s="108">
        <v>200909784.09472775</v>
      </c>
      <c r="BA33" s="107">
        <f>AY33+AW33+AU33+AS33+AQ33+AO33+AM33+AK33+AI33+AG33+AE33+AC33</f>
        <v>358671999</v>
      </c>
      <c r="BB33" s="107">
        <f t="shared" si="41"/>
        <v>358671999</v>
      </c>
      <c r="BC33" s="107">
        <f t="shared" si="41"/>
        <v>1140137395.0947278</v>
      </c>
      <c r="BD33" s="107">
        <f>AE33+AG33+AI33+AK33+AM33+AO33+AQ33+AS33+AU33+AW33+AY33+AC33</f>
        <v>358671999</v>
      </c>
      <c r="BE33" s="107">
        <f>AD33+AF33+AH33+AJ33+AL33+AN33+AP33+AR33+AT33+AV33+AX33+AZ33</f>
        <v>1140137395.0947278</v>
      </c>
      <c r="BF33" s="108">
        <v>0</v>
      </c>
      <c r="BG33" s="108">
        <v>0</v>
      </c>
      <c r="BH33" s="108">
        <v>0</v>
      </c>
      <c r="BI33" s="108"/>
      <c r="BJ33" s="108">
        <v>19077902</v>
      </c>
      <c r="BK33" s="108"/>
      <c r="BL33" s="108">
        <v>121799899</v>
      </c>
      <c r="BM33" s="108"/>
      <c r="BN33" s="108">
        <v>120906000</v>
      </c>
      <c r="BO33" s="108"/>
      <c r="BP33" s="108">
        <v>120906000</v>
      </c>
      <c r="BQ33" s="108"/>
      <c r="BR33" s="108">
        <v>129043067</v>
      </c>
      <c r="BS33" s="108"/>
      <c r="BT33" s="108">
        <v>120906000</v>
      </c>
      <c r="BU33" s="108">
        <v>0</v>
      </c>
      <c r="BV33" s="108">
        <v>120906000</v>
      </c>
      <c r="BW33" s="108">
        <v>0</v>
      </c>
      <c r="BX33" s="108">
        <v>120906000</v>
      </c>
      <c r="BY33" s="108"/>
      <c r="BZ33" s="108"/>
      <c r="CA33" s="108"/>
      <c r="CB33" s="108"/>
      <c r="CC33" s="108"/>
      <c r="CD33" s="108"/>
      <c r="CE33" s="108">
        <f>CC33+CA33+BY33+BW33+BU33+BS33+BQ33+BO33+BM33+BK33+BI33+BG33</f>
        <v>0</v>
      </c>
      <c r="CF33" s="108">
        <f t="shared" si="42"/>
        <v>0</v>
      </c>
      <c r="CG33" s="107">
        <f t="shared" si="42"/>
        <v>874450868</v>
      </c>
      <c r="CH33" s="107">
        <f>CC33+CA33+BY33+BW33+BU33+BS33+BQ33+BO33+BM33+BK33+BI33+BG33</f>
        <v>0</v>
      </c>
      <c r="CI33" s="107">
        <f>+BH33+BJ33+BL33+BN33+BP33+BR33+BT33+BV33+BX33</f>
        <v>874450868</v>
      </c>
      <c r="CJ33" s="108">
        <v>0</v>
      </c>
      <c r="CK33" s="108"/>
      <c r="CL33" s="108"/>
      <c r="CM33" s="108"/>
      <c r="CN33" s="108"/>
      <c r="CO33" s="108"/>
      <c r="CP33" s="108"/>
      <c r="CQ33" s="108"/>
      <c r="CR33" s="108"/>
      <c r="CS33" s="108"/>
      <c r="CT33" s="108"/>
      <c r="CU33" s="108"/>
      <c r="CV33" s="108"/>
      <c r="CW33" s="108"/>
      <c r="CX33" s="108"/>
      <c r="CY33" s="108"/>
      <c r="CZ33" s="108"/>
      <c r="DA33" s="108"/>
      <c r="DB33" s="108"/>
      <c r="DC33" s="108"/>
      <c r="DD33" s="108"/>
      <c r="DE33" s="108"/>
      <c r="DF33" s="108"/>
      <c r="DG33" s="108"/>
      <c r="DH33" s="108"/>
      <c r="DI33" s="107"/>
      <c r="DJ33" s="117"/>
      <c r="DK33" s="117"/>
      <c r="DL33" s="107"/>
      <c r="DM33" s="117"/>
      <c r="DN33" s="108">
        <v>0</v>
      </c>
      <c r="DO33" s="67"/>
      <c r="DP33" s="67"/>
      <c r="DQ33" s="67"/>
      <c r="DR33" s="67"/>
      <c r="DS33" s="67"/>
      <c r="DT33" s="67"/>
      <c r="DU33" s="67"/>
      <c r="DV33" s="67"/>
      <c r="DW33" s="67"/>
      <c r="DX33" s="67"/>
      <c r="DY33" s="67"/>
      <c r="DZ33" s="67"/>
      <c r="EA33" s="67"/>
      <c r="EB33" s="67"/>
      <c r="EC33" s="67"/>
      <c r="ED33" s="67"/>
      <c r="EE33" s="67"/>
      <c r="EF33" s="67"/>
      <c r="EG33" s="67"/>
      <c r="EH33" s="67"/>
      <c r="EI33" s="67"/>
      <c r="EJ33" s="67"/>
      <c r="EK33" s="67"/>
      <c r="EL33" s="67"/>
      <c r="EM33" s="305">
        <f>EI33+EG33+EE33+EC33+EA33+DY33+DW33+DU33+DS33+DQ33+DO33+EK33</f>
        <v>0</v>
      </c>
      <c r="EN33" s="87">
        <f t="shared" si="43"/>
        <v>0</v>
      </c>
      <c r="EO33" s="87">
        <f t="shared" si="44"/>
        <v>0</v>
      </c>
      <c r="EP33" s="85">
        <f>DQ33+DS33+DU33+DW33+DY33+EA33+EC33+EE33+EG33+EI33+EK33</f>
        <v>0</v>
      </c>
      <c r="EQ33" s="87">
        <f>DP33+DR33+DT33+DV33</f>
        <v>0</v>
      </c>
      <c r="ER33" s="122" t="e">
        <f t="shared" si="3"/>
        <v>#DIV/0!</v>
      </c>
      <c r="ES33" s="285" t="e">
        <f t="shared" si="5"/>
        <v>#DIV/0!</v>
      </c>
      <c r="ET33" s="286" t="e">
        <f t="shared" si="6"/>
        <v>#DIV/0!</v>
      </c>
      <c r="EU33" s="287">
        <f t="shared" si="4"/>
        <v>5.6167982689240477</v>
      </c>
      <c r="EV33" s="286" t="e">
        <f t="shared" si="7"/>
        <v>#DIV/0!</v>
      </c>
      <c r="EW33" s="454"/>
      <c r="EX33" s="456"/>
      <c r="EY33" s="456" t="s">
        <v>606</v>
      </c>
      <c r="EZ33" s="458"/>
      <c r="FA33" s="459"/>
      <c r="FB33" s="451"/>
    </row>
    <row r="34" spans="1:158" s="3" customFormat="1" ht="30.75" customHeight="1" x14ac:dyDescent="0.25">
      <c r="A34" s="453"/>
      <c r="B34" s="453"/>
      <c r="C34" s="453"/>
      <c r="D34" s="453"/>
      <c r="E34" s="453"/>
      <c r="F34" s="205" t="s">
        <v>41</v>
      </c>
      <c r="G34" s="277">
        <f>+AA34+BD34+BF34+CJ34+DN34</f>
        <v>0</v>
      </c>
      <c r="H34" s="107">
        <v>0</v>
      </c>
      <c r="I34" s="299"/>
      <c r="J34" s="299"/>
      <c r="K34" s="299"/>
      <c r="L34" s="299"/>
      <c r="M34" s="299"/>
      <c r="N34" s="299"/>
      <c r="O34" s="299"/>
      <c r="P34" s="299"/>
      <c r="Q34" s="299"/>
      <c r="R34" s="299"/>
      <c r="S34" s="299"/>
      <c r="T34" s="299"/>
      <c r="U34" s="299"/>
      <c r="V34" s="299"/>
      <c r="W34" s="107">
        <v>0</v>
      </c>
      <c r="X34" s="107">
        <v>0</v>
      </c>
      <c r="Y34" s="107">
        <v>0</v>
      </c>
      <c r="Z34" s="107">
        <v>0</v>
      </c>
      <c r="AA34" s="107">
        <v>0</v>
      </c>
      <c r="AB34" s="299">
        <v>0</v>
      </c>
      <c r="AC34" s="299">
        <v>0</v>
      </c>
      <c r="AD34" s="299">
        <v>0</v>
      </c>
      <c r="AE34" s="299">
        <v>0</v>
      </c>
      <c r="AF34" s="299">
        <v>0</v>
      </c>
      <c r="AG34" s="299">
        <v>0</v>
      </c>
      <c r="AH34" s="299">
        <v>0</v>
      </c>
      <c r="AI34" s="299">
        <v>0</v>
      </c>
      <c r="AJ34" s="299">
        <v>0</v>
      </c>
      <c r="AK34" s="299">
        <v>0</v>
      </c>
      <c r="AL34" s="299">
        <v>0</v>
      </c>
      <c r="AM34" s="299">
        <v>0</v>
      </c>
      <c r="AN34" s="299">
        <v>0</v>
      </c>
      <c r="AO34" s="299">
        <v>0</v>
      </c>
      <c r="AP34" s="299">
        <v>0</v>
      </c>
      <c r="AQ34" s="299">
        <v>0</v>
      </c>
      <c r="AR34" s="299">
        <v>0</v>
      </c>
      <c r="AS34" s="299">
        <v>0</v>
      </c>
      <c r="AT34" s="299">
        <v>0</v>
      </c>
      <c r="AU34" s="299">
        <v>0</v>
      </c>
      <c r="AV34" s="299">
        <v>0</v>
      </c>
      <c r="AW34" s="299">
        <v>0</v>
      </c>
      <c r="AX34" s="299">
        <v>0</v>
      </c>
      <c r="AY34" s="299">
        <v>0</v>
      </c>
      <c r="AZ34" s="299">
        <v>0</v>
      </c>
      <c r="BA34" s="120">
        <f>AY34+AW34+AU34+AS34+AQ34+AO34+AM34+AK34+AI34+AG34+AE34+AC34</f>
        <v>0</v>
      </c>
      <c r="BB34" s="120">
        <f t="shared" si="41"/>
        <v>0</v>
      </c>
      <c r="BC34" s="120">
        <f t="shared" si="41"/>
        <v>0</v>
      </c>
      <c r="BD34" s="120">
        <f>AE34+AG34+AI34+AK34+AM34+AO34+AQ34+AS34+AU34+AW34+AY34+AC34</f>
        <v>0</v>
      </c>
      <c r="BE34" s="120">
        <f>AD34+AF34+AH34+AJ34+AL34+AN34+AP34+AR34+AT34+AV34+AX34+AZ34</f>
        <v>0</v>
      </c>
      <c r="BF34" s="299">
        <v>0</v>
      </c>
      <c r="BG34" s="299">
        <v>0</v>
      </c>
      <c r="BH34" s="299">
        <v>0</v>
      </c>
      <c r="BI34" s="299"/>
      <c r="BJ34" s="299">
        <v>0</v>
      </c>
      <c r="BK34" s="299">
        <v>0</v>
      </c>
      <c r="BL34" s="299">
        <v>0</v>
      </c>
      <c r="BM34" s="299"/>
      <c r="BN34" s="299">
        <v>0</v>
      </c>
      <c r="BO34" s="299"/>
      <c r="BP34" s="299">
        <v>0</v>
      </c>
      <c r="BQ34" s="299"/>
      <c r="BR34" s="299">
        <v>0</v>
      </c>
      <c r="BS34" s="299"/>
      <c r="BT34" s="299">
        <v>0</v>
      </c>
      <c r="BU34" s="299">
        <v>0</v>
      </c>
      <c r="BV34" s="299">
        <v>0</v>
      </c>
      <c r="BW34" s="299">
        <v>0</v>
      </c>
      <c r="BX34" s="299">
        <v>0</v>
      </c>
      <c r="BY34" s="299"/>
      <c r="BZ34" s="299"/>
      <c r="CA34" s="299"/>
      <c r="CB34" s="299"/>
      <c r="CC34" s="299"/>
      <c r="CD34" s="299"/>
      <c r="CE34" s="303">
        <f>CC34+CA34+BY34+BW34+BU34+BS34+BQ34+BO34+BM34+BK34+BI34+BG34</f>
        <v>0</v>
      </c>
      <c r="CF34" s="302">
        <f t="shared" si="42"/>
        <v>0</v>
      </c>
      <c r="CG34" s="233">
        <f t="shared" si="42"/>
        <v>0</v>
      </c>
      <c r="CH34" s="230">
        <f>CC34+CA34+BY34+BW34+BU34+BS34+BQ34+BO34+BM34+BK34+BI34+BG34</f>
        <v>0</v>
      </c>
      <c r="CI34" s="233">
        <f>+BH34+BJ34+BL34+BN34+BP34+BR34+BT34+BV34+BX34</f>
        <v>0</v>
      </c>
      <c r="CJ34" s="32">
        <v>0</v>
      </c>
      <c r="CK34" s="32"/>
      <c r="CL34" s="32"/>
      <c r="CM34" s="32"/>
      <c r="CN34" s="32"/>
      <c r="CO34" s="32"/>
      <c r="CP34" s="32"/>
      <c r="CQ34" s="32"/>
      <c r="CR34" s="32"/>
      <c r="CS34" s="32"/>
      <c r="CT34" s="32"/>
      <c r="CU34" s="32"/>
      <c r="CV34" s="32"/>
      <c r="CW34" s="32"/>
      <c r="CX34" s="32"/>
      <c r="CY34" s="32"/>
      <c r="CZ34" s="32"/>
      <c r="DA34" s="32"/>
      <c r="DB34" s="32"/>
      <c r="DC34" s="32"/>
      <c r="DD34" s="32"/>
      <c r="DE34" s="32"/>
      <c r="DF34" s="32"/>
      <c r="DG34" s="32"/>
      <c r="DH34" s="32"/>
      <c r="DI34" s="32">
        <v>0</v>
      </c>
      <c r="DJ34" s="32">
        <v>0</v>
      </c>
      <c r="DK34" s="32">
        <v>0</v>
      </c>
      <c r="DL34" s="121">
        <v>0</v>
      </c>
      <c r="DM34" s="32">
        <v>0</v>
      </c>
      <c r="DN34" s="32">
        <v>0</v>
      </c>
      <c r="DO34" s="306"/>
      <c r="DP34" s="306"/>
      <c r="DQ34" s="306"/>
      <c r="DR34" s="306"/>
      <c r="DS34" s="306"/>
      <c r="DT34" s="306"/>
      <c r="DU34" s="306"/>
      <c r="DV34" s="306"/>
      <c r="DW34" s="306"/>
      <c r="DX34" s="306"/>
      <c r="DY34" s="306"/>
      <c r="DZ34" s="306"/>
      <c r="EA34" s="306"/>
      <c r="EB34" s="306"/>
      <c r="EC34" s="306"/>
      <c r="ED34" s="306"/>
      <c r="EE34" s="306"/>
      <c r="EF34" s="306"/>
      <c r="EG34" s="306"/>
      <c r="EH34" s="306"/>
      <c r="EI34" s="306"/>
      <c r="EJ34" s="306"/>
      <c r="EK34" s="306"/>
      <c r="EL34" s="306"/>
      <c r="EM34" s="304">
        <f>EI34+EG34+EE34+EC34+EA34+DY34+DW34+DU34+DS34+DQ34+DO34+EK34</f>
        <v>0</v>
      </c>
      <c r="EN34" s="89">
        <f t="shared" si="43"/>
        <v>0</v>
      </c>
      <c r="EO34" s="89">
        <f t="shared" si="44"/>
        <v>0</v>
      </c>
      <c r="EP34" s="90">
        <f>DQ34+DS34+DU34+DW34+DY34+EA34+EC34+EE34+EG34+EI34+EK34</f>
        <v>0</v>
      </c>
      <c r="EQ34" s="304">
        <f>DP34+DR34+DT34+DV34</f>
        <v>0</v>
      </c>
      <c r="ER34" s="122" t="e">
        <f t="shared" si="3"/>
        <v>#DIV/0!</v>
      </c>
      <c r="ES34" s="285" t="e">
        <f t="shared" si="5"/>
        <v>#DIV/0!</v>
      </c>
      <c r="ET34" s="286" t="e">
        <f t="shared" si="6"/>
        <v>#DIV/0!</v>
      </c>
      <c r="EU34" s="287" t="e">
        <f t="shared" si="4"/>
        <v>#DIV/0!</v>
      </c>
      <c r="EV34" s="286" t="e">
        <f t="shared" si="7"/>
        <v>#DIV/0!</v>
      </c>
      <c r="EW34" s="454"/>
      <c r="EX34" s="456"/>
      <c r="EY34" s="456" t="s">
        <v>606</v>
      </c>
      <c r="EZ34" s="458"/>
      <c r="FA34" s="459"/>
      <c r="FB34" s="451"/>
    </row>
    <row r="35" spans="1:158" s="3" customFormat="1" ht="30.75" customHeight="1" x14ac:dyDescent="0.25">
      <c r="A35" s="453"/>
      <c r="B35" s="453"/>
      <c r="C35" s="453"/>
      <c r="D35" s="453"/>
      <c r="E35" s="453"/>
      <c r="F35" s="206" t="s">
        <v>4</v>
      </c>
      <c r="G35" s="272">
        <f>AA35+BE35+CH35+CJ35+DN35</f>
        <v>785772511</v>
      </c>
      <c r="H35" s="108">
        <v>200998268</v>
      </c>
      <c r="I35" s="108">
        <v>0</v>
      </c>
      <c r="J35" s="108">
        <v>0</v>
      </c>
      <c r="K35" s="108">
        <v>0</v>
      </c>
      <c r="L35" s="108">
        <v>0</v>
      </c>
      <c r="M35" s="108">
        <v>0</v>
      </c>
      <c r="N35" s="108">
        <v>0</v>
      </c>
      <c r="O35" s="108">
        <v>0</v>
      </c>
      <c r="P35" s="108">
        <v>0</v>
      </c>
      <c r="Q35" s="108">
        <v>0</v>
      </c>
      <c r="R35" s="108">
        <v>0</v>
      </c>
      <c r="S35" s="108">
        <v>0</v>
      </c>
      <c r="T35" s="107">
        <v>0</v>
      </c>
      <c r="U35" s="119">
        <v>0</v>
      </c>
      <c r="V35" s="119">
        <v>0</v>
      </c>
      <c r="W35" s="108">
        <v>200998268</v>
      </c>
      <c r="X35" s="108">
        <v>200998268</v>
      </c>
      <c r="Y35" s="107">
        <v>0</v>
      </c>
      <c r="Z35" s="108">
        <v>200998268</v>
      </c>
      <c r="AA35" s="107">
        <v>0</v>
      </c>
      <c r="AB35" s="119">
        <v>131226434</v>
      </c>
      <c r="AC35" s="119">
        <v>69771834</v>
      </c>
      <c r="AD35" s="119">
        <v>69771834</v>
      </c>
      <c r="AE35" s="119">
        <v>42432466</v>
      </c>
      <c r="AF35" s="119">
        <f>112204300-AD35</f>
        <v>42432466</v>
      </c>
      <c r="AG35" s="119">
        <v>19022134</v>
      </c>
      <c r="AH35" s="119">
        <f>131226434-AF35-AD35</f>
        <v>19022134</v>
      </c>
      <c r="AI35" s="119">
        <v>0</v>
      </c>
      <c r="AJ35" s="119">
        <f>131226434-AH35-AF35-AD35</f>
        <v>0</v>
      </c>
      <c r="AK35" s="108">
        <v>0</v>
      </c>
      <c r="AL35" s="108">
        <f>131226434-AJ35-AH35-AF35-AD35</f>
        <v>0</v>
      </c>
      <c r="AM35" s="108">
        <v>0</v>
      </c>
      <c r="AN35" s="108">
        <v>0</v>
      </c>
      <c r="AO35" s="108">
        <v>0</v>
      </c>
      <c r="AP35" s="108">
        <v>0</v>
      </c>
      <c r="AQ35" s="108">
        <v>0</v>
      </c>
      <c r="AR35" s="108">
        <v>0</v>
      </c>
      <c r="AS35" s="108">
        <v>0</v>
      </c>
      <c r="AT35" s="108">
        <v>0</v>
      </c>
      <c r="AU35" s="108">
        <v>0</v>
      </c>
      <c r="AV35" s="108">
        <v>0</v>
      </c>
      <c r="AW35" s="108">
        <v>0</v>
      </c>
      <c r="AX35" s="108">
        <v>0</v>
      </c>
      <c r="AY35" s="108">
        <v>0</v>
      </c>
      <c r="AZ35" s="108">
        <v>0</v>
      </c>
      <c r="BA35" s="107">
        <f>AY35+AW35+AU35+AS35+AQ35+AO35+AM35+AK35+AI35+AG35+AE35+AC35</f>
        <v>131226434</v>
      </c>
      <c r="BB35" s="107">
        <f>AC35+AE35+AG35+AI35+AK35+AM35+AO35+AQ35+AS35+AU35+AW35+AY35</f>
        <v>131226434</v>
      </c>
      <c r="BC35" s="107">
        <v>131226434</v>
      </c>
      <c r="BD35" s="107">
        <f>AE35+AG35+AI35+AK35+AM35+AO35+AQ35+AS35+AU35+AW35+AY35+AC35</f>
        <v>131226434</v>
      </c>
      <c r="BE35" s="107">
        <v>131226434</v>
      </c>
      <c r="BF35" s="108">
        <v>662293058</v>
      </c>
      <c r="BG35" s="108">
        <v>4618400</v>
      </c>
      <c r="BH35" s="108"/>
      <c r="BI35" s="108">
        <v>38557535</v>
      </c>
      <c r="BJ35" s="108">
        <v>24006926</v>
      </c>
      <c r="BK35" s="108">
        <v>36000000</v>
      </c>
      <c r="BL35" s="108">
        <v>0</v>
      </c>
      <c r="BM35" s="108">
        <v>276000000</v>
      </c>
      <c r="BN35" s="108">
        <v>0</v>
      </c>
      <c r="BO35" s="108">
        <v>96000000</v>
      </c>
      <c r="BP35" s="108">
        <v>0</v>
      </c>
      <c r="BQ35" s="108">
        <v>36000000</v>
      </c>
      <c r="BR35" s="108">
        <v>0</v>
      </c>
      <c r="BS35" s="108">
        <v>36000000</v>
      </c>
      <c r="BT35" s="108">
        <v>638286132</v>
      </c>
      <c r="BU35" s="108">
        <v>36000000</v>
      </c>
      <c r="BV35" s="108">
        <v>-7746979</v>
      </c>
      <c r="BW35" s="108">
        <f>36000000-7746981</f>
        <v>28253019</v>
      </c>
      <c r="BX35" s="108">
        <v>-2</v>
      </c>
      <c r="BY35" s="108">
        <v>36000000</v>
      </c>
      <c r="BZ35" s="108"/>
      <c r="CA35" s="108">
        <v>31117123</v>
      </c>
      <c r="CB35" s="108"/>
      <c r="CC35" s="108">
        <v>0</v>
      </c>
      <c r="CD35" s="108"/>
      <c r="CE35" s="108">
        <f>CC35+CA35+BY35+BW35+BU35+BS35+BQ35+BO35+BM35+BK35+BI35+BG35</f>
        <v>654546077</v>
      </c>
      <c r="CF35" s="108">
        <f t="shared" si="42"/>
        <v>587428954</v>
      </c>
      <c r="CG35" s="107">
        <f t="shared" si="42"/>
        <v>654546077</v>
      </c>
      <c r="CH35" s="107">
        <f>CC35+CA35+BY35+BW35+BU35+BS35+BQ35+BO35+BM35+BK35+BI35+BG35</f>
        <v>654546077</v>
      </c>
      <c r="CI35" s="107">
        <f>+BH35+BJ35+BL35+BN35+BP35+BR35+BT35+BV35+BX35</f>
        <v>654546077</v>
      </c>
      <c r="CJ35" s="108">
        <v>0</v>
      </c>
      <c r="CK35" s="108"/>
      <c r="CL35" s="108"/>
      <c r="CM35" s="108"/>
      <c r="CN35" s="108"/>
      <c r="CO35" s="108"/>
      <c r="CP35" s="108"/>
      <c r="CQ35" s="108"/>
      <c r="CR35" s="108"/>
      <c r="CS35" s="108"/>
      <c r="CT35" s="108"/>
      <c r="CU35" s="108"/>
      <c r="CV35" s="108"/>
      <c r="CW35" s="108"/>
      <c r="CX35" s="108"/>
      <c r="CY35" s="108"/>
      <c r="CZ35" s="108"/>
      <c r="DA35" s="108"/>
      <c r="DB35" s="108"/>
      <c r="DC35" s="108"/>
      <c r="DD35" s="108"/>
      <c r="DE35" s="108"/>
      <c r="DF35" s="108"/>
      <c r="DG35" s="108"/>
      <c r="DH35" s="108"/>
      <c r="DI35" s="107">
        <v>0</v>
      </c>
      <c r="DJ35" s="117">
        <v>0</v>
      </c>
      <c r="DK35" s="117">
        <v>0</v>
      </c>
      <c r="DL35" s="107">
        <v>0</v>
      </c>
      <c r="DM35" s="117">
        <v>0</v>
      </c>
      <c r="DN35" s="108">
        <v>0</v>
      </c>
      <c r="DO35" s="66"/>
      <c r="DP35" s="66"/>
      <c r="DQ35" s="66"/>
      <c r="DR35" s="66"/>
      <c r="DS35" s="66"/>
      <c r="DT35" s="66"/>
      <c r="DU35" s="66"/>
      <c r="DV35" s="66"/>
      <c r="DW35" s="66"/>
      <c r="DX35" s="66"/>
      <c r="DY35" s="66"/>
      <c r="DZ35" s="66"/>
      <c r="EA35" s="66"/>
      <c r="EB35" s="66"/>
      <c r="EC35" s="66"/>
      <c r="ED35" s="66"/>
      <c r="EE35" s="66"/>
      <c r="EF35" s="66"/>
      <c r="EG35" s="66"/>
      <c r="EH35" s="66"/>
      <c r="EI35" s="66"/>
      <c r="EJ35" s="66"/>
      <c r="EK35" s="66"/>
      <c r="EL35" s="66"/>
      <c r="EM35" s="304">
        <f>EI35+EG35+EE35+EC35+EA35+DY35+DW35+DU35+DS35+DQ35+DO35+EK35</f>
        <v>0</v>
      </c>
      <c r="EN35" s="87">
        <f t="shared" si="43"/>
        <v>0</v>
      </c>
      <c r="EO35" s="87">
        <f t="shared" si="44"/>
        <v>0</v>
      </c>
      <c r="EP35" s="85">
        <f>DQ35+DS35+DU35+DW35+DY35+EA35+EC35+EE35+EG35+EI35+EK35+DO35</f>
        <v>0</v>
      </c>
      <c r="EQ35" s="87">
        <f>DP35+DR35+DT35+DV35</f>
        <v>0</v>
      </c>
      <c r="ER35" s="122">
        <f t="shared" si="3"/>
        <v>-7.0788895161964812E-8</v>
      </c>
      <c r="ES35" s="285">
        <f t="shared" si="5"/>
        <v>1.1142557283616632</v>
      </c>
      <c r="ET35" s="286">
        <f t="shared" si="6"/>
        <v>1</v>
      </c>
      <c r="EU35" s="287">
        <f t="shared" si="4"/>
        <v>0.85442221196367429</v>
      </c>
      <c r="EV35" s="286">
        <f t="shared" si="7"/>
        <v>1</v>
      </c>
      <c r="EW35" s="454"/>
      <c r="EX35" s="456"/>
      <c r="EY35" s="456" t="s">
        <v>606</v>
      </c>
      <c r="EZ35" s="458"/>
      <c r="FA35" s="459"/>
      <c r="FB35" s="451"/>
    </row>
    <row r="36" spans="1:158" s="3" customFormat="1" ht="30.75" customHeight="1" thickBot="1" x14ac:dyDescent="0.3">
      <c r="A36" s="453"/>
      <c r="B36" s="453"/>
      <c r="C36" s="453"/>
      <c r="D36" s="453"/>
      <c r="E36" s="453"/>
      <c r="F36" s="205" t="s">
        <v>42</v>
      </c>
      <c r="G36" s="278">
        <f>+G31+G34</f>
        <v>4700</v>
      </c>
      <c r="H36" s="384">
        <f t="shared" ref="H36:AA36" si="45">+H31+H34</f>
        <v>491</v>
      </c>
      <c r="I36" s="384">
        <f t="shared" si="45"/>
        <v>0</v>
      </c>
      <c r="J36" s="384">
        <f t="shared" si="45"/>
        <v>0</v>
      </c>
      <c r="K36" s="384">
        <f t="shared" si="45"/>
        <v>0</v>
      </c>
      <c r="L36" s="384">
        <f t="shared" si="45"/>
        <v>0</v>
      </c>
      <c r="M36" s="384">
        <f t="shared" si="45"/>
        <v>0</v>
      </c>
      <c r="N36" s="384">
        <f t="shared" si="45"/>
        <v>0</v>
      </c>
      <c r="O36" s="384">
        <f t="shared" si="45"/>
        <v>0</v>
      </c>
      <c r="P36" s="384">
        <f t="shared" si="45"/>
        <v>0</v>
      </c>
      <c r="Q36" s="384">
        <f t="shared" si="45"/>
        <v>0</v>
      </c>
      <c r="R36" s="384">
        <f t="shared" si="45"/>
        <v>0</v>
      </c>
      <c r="S36" s="384">
        <f t="shared" si="45"/>
        <v>0</v>
      </c>
      <c r="T36" s="384">
        <f t="shared" si="45"/>
        <v>0</v>
      </c>
      <c r="U36" s="384">
        <f t="shared" si="45"/>
        <v>0</v>
      </c>
      <c r="V36" s="384">
        <f t="shared" si="45"/>
        <v>0</v>
      </c>
      <c r="W36" s="384">
        <f t="shared" si="45"/>
        <v>491</v>
      </c>
      <c r="X36" s="384">
        <f t="shared" si="45"/>
        <v>491</v>
      </c>
      <c r="Y36" s="384">
        <f t="shared" si="45"/>
        <v>491</v>
      </c>
      <c r="Z36" s="384">
        <f t="shared" si="45"/>
        <v>491</v>
      </c>
      <c r="AA36" s="384">
        <f t="shared" si="45"/>
        <v>491</v>
      </c>
      <c r="AB36" s="318">
        <f t="shared" ref="AB36:AZ36" si="46">+AB31+AB34</f>
        <v>893</v>
      </c>
      <c r="AC36" s="384">
        <f t="shared" si="46"/>
        <v>15</v>
      </c>
      <c r="AD36" s="384">
        <f t="shared" si="46"/>
        <v>36</v>
      </c>
      <c r="AE36" s="384">
        <f t="shared" si="46"/>
        <v>18</v>
      </c>
      <c r="AF36" s="384">
        <f t="shared" si="46"/>
        <v>16</v>
      </c>
      <c r="AG36" s="384">
        <f t="shared" si="46"/>
        <v>90</v>
      </c>
      <c r="AH36" s="384">
        <f t="shared" si="46"/>
        <v>104</v>
      </c>
      <c r="AI36" s="384">
        <f t="shared" si="46"/>
        <v>97</v>
      </c>
      <c r="AJ36" s="384">
        <f t="shared" si="46"/>
        <v>116</v>
      </c>
      <c r="AK36" s="384">
        <f t="shared" si="46"/>
        <v>97</v>
      </c>
      <c r="AL36" s="384">
        <f>+AL31+AL34</f>
        <v>76</v>
      </c>
      <c r="AM36" s="384">
        <f t="shared" si="46"/>
        <v>97</v>
      </c>
      <c r="AN36" s="384">
        <f>+AN31+AN34</f>
        <v>115</v>
      </c>
      <c r="AO36" s="384">
        <f t="shared" si="46"/>
        <v>97</v>
      </c>
      <c r="AP36" s="384">
        <f t="shared" si="46"/>
        <v>96</v>
      </c>
      <c r="AQ36" s="384">
        <f t="shared" si="46"/>
        <v>97</v>
      </c>
      <c r="AR36" s="384">
        <f t="shared" si="46"/>
        <v>102</v>
      </c>
      <c r="AS36" s="384">
        <f t="shared" si="46"/>
        <v>97</v>
      </c>
      <c r="AT36" s="384">
        <f t="shared" si="46"/>
        <v>96</v>
      </c>
      <c r="AU36" s="384">
        <f t="shared" si="46"/>
        <v>97</v>
      </c>
      <c r="AV36" s="384">
        <f>+AV31+AV34</f>
        <v>69</v>
      </c>
      <c r="AW36" s="384">
        <f t="shared" si="46"/>
        <v>91</v>
      </c>
      <c r="AX36" s="384">
        <f>+AX31+AX34</f>
        <v>65</v>
      </c>
      <c r="AY36" s="384">
        <f t="shared" si="46"/>
        <v>4</v>
      </c>
      <c r="AZ36" s="384">
        <f t="shared" si="46"/>
        <v>6</v>
      </c>
      <c r="BA36" s="384">
        <f t="shared" ref="BA36:BE37" si="47">+BA31+BA34</f>
        <v>897</v>
      </c>
      <c r="BB36" s="318">
        <f t="shared" si="47"/>
        <v>897</v>
      </c>
      <c r="BC36" s="318">
        <f t="shared" si="47"/>
        <v>897</v>
      </c>
      <c r="BD36" s="318">
        <f t="shared" si="47"/>
        <v>897</v>
      </c>
      <c r="BE36" s="318">
        <f t="shared" si="47"/>
        <v>897</v>
      </c>
      <c r="BF36" s="318">
        <f t="shared" ref="BF36:CJ37" si="48">+BF31+BF34</f>
        <v>1272</v>
      </c>
      <c r="BG36" s="318">
        <f t="shared" si="48"/>
        <v>0</v>
      </c>
      <c r="BH36" s="318">
        <f t="shared" si="48"/>
        <v>11</v>
      </c>
      <c r="BI36" s="318">
        <f t="shared" si="48"/>
        <v>102</v>
      </c>
      <c r="BJ36" s="318">
        <f>+BJ31+BJ34</f>
        <v>129</v>
      </c>
      <c r="BK36" s="318">
        <f t="shared" si="48"/>
        <v>130</v>
      </c>
      <c r="BL36" s="318">
        <f t="shared" si="48"/>
        <v>109</v>
      </c>
      <c r="BM36" s="318">
        <f t="shared" si="48"/>
        <v>130</v>
      </c>
      <c r="BN36" s="318">
        <f t="shared" si="48"/>
        <v>115</v>
      </c>
      <c r="BO36" s="318">
        <f t="shared" si="48"/>
        <v>130</v>
      </c>
      <c r="BP36" s="318">
        <f t="shared" si="48"/>
        <v>194</v>
      </c>
      <c r="BQ36" s="318">
        <f t="shared" si="48"/>
        <v>130</v>
      </c>
      <c r="BR36" s="318">
        <f t="shared" si="48"/>
        <v>127</v>
      </c>
      <c r="BS36" s="318">
        <f t="shared" si="48"/>
        <v>130</v>
      </c>
      <c r="BT36" s="318">
        <f t="shared" si="48"/>
        <v>138</v>
      </c>
      <c r="BU36" s="318">
        <f t="shared" si="48"/>
        <v>130</v>
      </c>
      <c r="BV36" s="318">
        <f t="shared" si="48"/>
        <v>117</v>
      </c>
      <c r="BW36" s="318">
        <f t="shared" si="48"/>
        <v>130</v>
      </c>
      <c r="BX36" s="318">
        <f t="shared" si="48"/>
        <v>142</v>
      </c>
      <c r="BY36" s="318">
        <f t="shared" si="48"/>
        <v>130</v>
      </c>
      <c r="BZ36" s="318">
        <f t="shared" si="48"/>
        <v>0</v>
      </c>
      <c r="CA36" s="318">
        <f t="shared" si="48"/>
        <v>130</v>
      </c>
      <c r="CB36" s="318">
        <f t="shared" si="48"/>
        <v>0</v>
      </c>
      <c r="CC36" s="318">
        <f t="shared" si="48"/>
        <v>0</v>
      </c>
      <c r="CD36" s="318">
        <f t="shared" si="48"/>
        <v>0</v>
      </c>
      <c r="CE36" s="318">
        <f t="shared" si="48"/>
        <v>1272</v>
      </c>
      <c r="CF36" s="318">
        <f t="shared" si="48"/>
        <v>1012</v>
      </c>
      <c r="CG36" s="318">
        <f t="shared" si="48"/>
        <v>1082</v>
      </c>
      <c r="CH36" s="318">
        <f t="shared" si="48"/>
        <v>1272</v>
      </c>
      <c r="CI36" s="318">
        <f t="shared" si="48"/>
        <v>1082</v>
      </c>
      <c r="CJ36" s="367">
        <f t="shared" si="48"/>
        <v>1585</v>
      </c>
      <c r="CK36" s="367"/>
      <c r="CL36" s="367"/>
      <c r="CM36" s="367"/>
      <c r="CN36" s="367"/>
      <c r="CO36" s="367"/>
      <c r="CP36" s="367"/>
      <c r="CQ36" s="367"/>
      <c r="CR36" s="367"/>
      <c r="CS36" s="367"/>
      <c r="CT36" s="367"/>
      <c r="CU36" s="367"/>
      <c r="CV36" s="367"/>
      <c r="CW36" s="367"/>
      <c r="CX36" s="367"/>
      <c r="CY36" s="367"/>
      <c r="CZ36" s="367"/>
      <c r="DA36" s="367"/>
      <c r="DB36" s="367"/>
      <c r="DC36" s="367"/>
      <c r="DD36" s="367"/>
      <c r="DE36" s="367"/>
      <c r="DF36" s="367"/>
      <c r="DG36" s="367"/>
      <c r="DH36" s="367"/>
      <c r="DI36" s="367">
        <v>0</v>
      </c>
      <c r="DJ36" s="367">
        <v>0</v>
      </c>
      <c r="DK36" s="367">
        <v>0</v>
      </c>
      <c r="DL36" s="368">
        <v>0</v>
      </c>
      <c r="DM36" s="367">
        <v>0</v>
      </c>
      <c r="DN36" s="367" t="s">
        <v>577</v>
      </c>
      <c r="DO36" s="348"/>
      <c r="DP36" s="348"/>
      <c r="DQ36" s="348"/>
      <c r="DR36" s="348"/>
      <c r="DS36" s="348"/>
      <c r="DT36" s="348"/>
      <c r="DU36" s="348"/>
      <c r="DV36" s="348"/>
      <c r="DW36" s="348"/>
      <c r="DX36" s="348"/>
      <c r="DY36" s="348"/>
      <c r="DZ36" s="348"/>
      <c r="EA36" s="348"/>
      <c r="EB36" s="348"/>
      <c r="EC36" s="348"/>
      <c r="ED36" s="348"/>
      <c r="EE36" s="348"/>
      <c r="EF36" s="348"/>
      <c r="EG36" s="348"/>
      <c r="EH36" s="348"/>
      <c r="EI36" s="348"/>
      <c r="EJ36" s="348"/>
      <c r="EK36" s="348"/>
      <c r="EL36" s="348"/>
      <c r="EM36" s="339">
        <f>EI36+EG36+EE36+EC36+EA36+DY36+DW36+DU36+DS36+DQ36+DO36+EK36</f>
        <v>0</v>
      </c>
      <c r="EN36" s="340">
        <f t="shared" si="43"/>
        <v>0</v>
      </c>
      <c r="EO36" s="340">
        <f t="shared" si="44"/>
        <v>0</v>
      </c>
      <c r="EP36" s="341">
        <f>DQ36+DS36+DU36+DW36+DY36+EA36+EC36+EE36+EG36+EI36+EK36+DO36</f>
        <v>0</v>
      </c>
      <c r="EQ36" s="340">
        <f>DR36+DT36+DV36+DP36</f>
        <v>0</v>
      </c>
      <c r="ER36" s="321">
        <f t="shared" si="3"/>
        <v>1.0923076923076922</v>
      </c>
      <c r="ES36" s="288">
        <f t="shared" si="5"/>
        <v>1.0691699604743083</v>
      </c>
      <c r="ET36" s="289">
        <f t="shared" si="6"/>
        <v>0.85062893081761004</v>
      </c>
      <c r="EU36" s="290">
        <f t="shared" si="4"/>
        <v>1.0291666666666666</v>
      </c>
      <c r="EV36" s="289">
        <f t="shared" si="7"/>
        <v>0.52553191489361706</v>
      </c>
      <c r="EW36" s="454"/>
      <c r="EX36" s="456"/>
      <c r="EY36" s="456" t="s">
        <v>606</v>
      </c>
      <c r="EZ36" s="458"/>
      <c r="FA36" s="459"/>
      <c r="FB36" s="451"/>
    </row>
    <row r="37" spans="1:158" s="29" customFormat="1" ht="30.75" customHeight="1" thickBot="1" x14ac:dyDescent="0.3">
      <c r="A37" s="453"/>
      <c r="B37" s="453"/>
      <c r="C37" s="453"/>
      <c r="D37" s="453"/>
      <c r="E37" s="453"/>
      <c r="F37" s="206" t="s">
        <v>44</v>
      </c>
      <c r="G37" s="275">
        <f>+G32+G35</f>
        <v>7430458409</v>
      </c>
      <c r="H37" s="363">
        <f t="shared" ref="H37:AA37" si="49">+H32+H35</f>
        <v>822052399</v>
      </c>
      <c r="I37" s="363">
        <f t="shared" si="49"/>
        <v>0</v>
      </c>
      <c r="J37" s="363">
        <f t="shared" si="49"/>
        <v>0</v>
      </c>
      <c r="K37" s="363">
        <f t="shared" si="49"/>
        <v>0</v>
      </c>
      <c r="L37" s="363">
        <f t="shared" si="49"/>
        <v>0</v>
      </c>
      <c r="M37" s="363">
        <f t="shared" si="49"/>
        <v>0</v>
      </c>
      <c r="N37" s="363">
        <f t="shared" si="49"/>
        <v>0</v>
      </c>
      <c r="O37" s="363">
        <f t="shared" si="49"/>
        <v>0</v>
      </c>
      <c r="P37" s="363">
        <f t="shared" si="49"/>
        <v>0</v>
      </c>
      <c r="Q37" s="363">
        <f t="shared" si="49"/>
        <v>0</v>
      </c>
      <c r="R37" s="363">
        <f t="shared" si="49"/>
        <v>0</v>
      </c>
      <c r="S37" s="363">
        <f t="shared" si="49"/>
        <v>0</v>
      </c>
      <c r="T37" s="363">
        <f t="shared" si="49"/>
        <v>0</v>
      </c>
      <c r="U37" s="363">
        <f t="shared" si="49"/>
        <v>0</v>
      </c>
      <c r="V37" s="363">
        <f t="shared" si="49"/>
        <v>0</v>
      </c>
      <c r="W37" s="363">
        <f t="shared" si="49"/>
        <v>822052399</v>
      </c>
      <c r="X37" s="363">
        <f t="shared" si="49"/>
        <v>822052399</v>
      </c>
      <c r="Y37" s="363">
        <f t="shared" si="49"/>
        <v>535986131</v>
      </c>
      <c r="Z37" s="363">
        <f t="shared" si="49"/>
        <v>757052399</v>
      </c>
      <c r="AA37" s="363">
        <f t="shared" si="49"/>
        <v>535986131</v>
      </c>
      <c r="AB37" s="381">
        <f t="shared" ref="AB37:AZ37" si="50">+AB32+AB35</f>
        <v>1611707434</v>
      </c>
      <c r="AC37" s="363">
        <f t="shared" si="50"/>
        <v>69771834</v>
      </c>
      <c r="AD37" s="363">
        <f t="shared" si="50"/>
        <v>69771834</v>
      </c>
      <c r="AE37" s="363">
        <f t="shared" si="50"/>
        <v>782719466</v>
      </c>
      <c r="AF37" s="363">
        <f t="shared" si="50"/>
        <v>782719466</v>
      </c>
      <c r="AG37" s="363">
        <f t="shared" si="50"/>
        <v>280310134</v>
      </c>
      <c r="AH37" s="363">
        <f t="shared" si="50"/>
        <v>280310134</v>
      </c>
      <c r="AI37" s="363">
        <f t="shared" si="50"/>
        <v>0</v>
      </c>
      <c r="AJ37" s="363">
        <f t="shared" si="50"/>
        <v>0</v>
      </c>
      <c r="AK37" s="363">
        <f t="shared" si="50"/>
        <v>0</v>
      </c>
      <c r="AL37" s="363">
        <f>+AL32+AL35</f>
        <v>0</v>
      </c>
      <c r="AM37" s="363">
        <f t="shared" si="50"/>
        <v>150666666.66666666</v>
      </c>
      <c r="AN37" s="363">
        <f>+AN32+AN35</f>
        <v>150000000</v>
      </c>
      <c r="AO37" s="363">
        <f t="shared" si="50"/>
        <v>0</v>
      </c>
      <c r="AP37" s="363">
        <f t="shared" si="50"/>
        <v>0</v>
      </c>
      <c r="AQ37" s="363">
        <f t="shared" si="50"/>
        <v>156047866.66666701</v>
      </c>
      <c r="AR37" s="363">
        <f t="shared" si="50"/>
        <v>0</v>
      </c>
      <c r="AS37" s="363">
        <f t="shared" si="50"/>
        <v>263047866.66666701</v>
      </c>
      <c r="AT37" s="363">
        <f t="shared" si="50"/>
        <v>0</v>
      </c>
      <c r="AU37" s="363">
        <f t="shared" si="50"/>
        <v>5381200</v>
      </c>
      <c r="AV37" s="363">
        <f>+AV32+AV35</f>
        <v>12393667</v>
      </c>
      <c r="AW37" s="363">
        <f t="shared" si="50"/>
        <v>5381200</v>
      </c>
      <c r="AX37" s="363">
        <f>+AX32+AX35</f>
        <v>355319167</v>
      </c>
      <c r="AY37" s="363">
        <f t="shared" si="50"/>
        <v>5381200</v>
      </c>
      <c r="AZ37" s="363">
        <f t="shared" si="50"/>
        <v>67733833</v>
      </c>
      <c r="BA37" s="364">
        <f t="shared" si="47"/>
        <v>1718707434.0000005</v>
      </c>
      <c r="BB37" s="365">
        <f t="shared" si="47"/>
        <v>1718707434.0000007</v>
      </c>
      <c r="BC37" s="365">
        <f t="shared" si="47"/>
        <v>1718248101</v>
      </c>
      <c r="BD37" s="365">
        <f t="shared" si="47"/>
        <v>1718707434.0000007</v>
      </c>
      <c r="BE37" s="365">
        <f t="shared" si="47"/>
        <v>1718248101</v>
      </c>
      <c r="BF37" s="365">
        <f t="shared" ref="BF37:CI37" si="51">+BF32+BF35</f>
        <v>2279351058</v>
      </c>
      <c r="BG37" s="365">
        <f t="shared" si="51"/>
        <v>1105348400</v>
      </c>
      <c r="BH37" s="365">
        <f t="shared" si="51"/>
        <v>1097940000</v>
      </c>
      <c r="BI37" s="365">
        <f t="shared" si="51"/>
        <v>38557535</v>
      </c>
      <c r="BJ37" s="365">
        <f>+BJ32+BJ35</f>
        <v>24006926</v>
      </c>
      <c r="BK37" s="365">
        <f t="shared" si="51"/>
        <v>172319000</v>
      </c>
      <c r="BL37" s="365">
        <f t="shared" si="51"/>
        <v>0</v>
      </c>
      <c r="BM37" s="365">
        <f t="shared" si="51"/>
        <v>616009000</v>
      </c>
      <c r="BN37" s="365">
        <f t="shared" si="51"/>
        <v>0</v>
      </c>
      <c r="BO37" s="365">
        <f t="shared" si="51"/>
        <v>96000000</v>
      </c>
      <c r="BP37" s="365">
        <f t="shared" si="51"/>
        <v>0</v>
      </c>
      <c r="BQ37" s="365">
        <f t="shared" si="51"/>
        <v>76000000</v>
      </c>
      <c r="BR37" s="365">
        <f t="shared" si="51"/>
        <v>0</v>
      </c>
      <c r="BS37" s="365">
        <f t="shared" si="51"/>
        <v>36000000</v>
      </c>
      <c r="BT37" s="365">
        <f t="shared" si="51"/>
        <v>638286132</v>
      </c>
      <c r="BU37" s="365">
        <f t="shared" si="51"/>
        <v>36000000</v>
      </c>
      <c r="BV37" s="365">
        <f t="shared" si="51"/>
        <v>-7746979</v>
      </c>
      <c r="BW37" s="365">
        <f t="shared" si="51"/>
        <v>227348119</v>
      </c>
      <c r="BX37" s="365">
        <f t="shared" si="51"/>
        <v>39999998</v>
      </c>
      <c r="BY37" s="365">
        <f t="shared" si="51"/>
        <v>36000000</v>
      </c>
      <c r="BZ37" s="365">
        <f t="shared" si="51"/>
        <v>0</v>
      </c>
      <c r="CA37" s="365">
        <f t="shared" si="51"/>
        <v>31117123</v>
      </c>
      <c r="CB37" s="365">
        <f t="shared" si="51"/>
        <v>0</v>
      </c>
      <c r="CC37" s="365">
        <f t="shared" si="51"/>
        <v>0</v>
      </c>
      <c r="CD37" s="365">
        <f t="shared" si="51"/>
        <v>0</v>
      </c>
      <c r="CE37" s="365">
        <f t="shared" si="51"/>
        <v>2470699177</v>
      </c>
      <c r="CF37" s="365">
        <f t="shared" si="51"/>
        <v>2403582054</v>
      </c>
      <c r="CG37" s="365">
        <f t="shared" si="51"/>
        <v>1792486077</v>
      </c>
      <c r="CH37" s="365">
        <f t="shared" si="51"/>
        <v>2470699177</v>
      </c>
      <c r="CI37" s="365">
        <f t="shared" si="51"/>
        <v>1792486077</v>
      </c>
      <c r="CJ37" s="365">
        <f t="shared" si="48"/>
        <v>1710164000</v>
      </c>
      <c r="CK37" s="363"/>
      <c r="CL37" s="363"/>
      <c r="CM37" s="363"/>
      <c r="CN37" s="363"/>
      <c r="CO37" s="363"/>
      <c r="CP37" s="363"/>
      <c r="CQ37" s="363"/>
      <c r="CR37" s="363"/>
      <c r="CS37" s="363"/>
      <c r="CT37" s="363"/>
      <c r="CU37" s="363"/>
      <c r="CV37" s="363"/>
      <c r="CW37" s="363"/>
      <c r="CX37" s="363"/>
      <c r="CY37" s="363"/>
      <c r="CZ37" s="363"/>
      <c r="DA37" s="363"/>
      <c r="DB37" s="363"/>
      <c r="DC37" s="363"/>
      <c r="DD37" s="363"/>
      <c r="DE37" s="363"/>
      <c r="DF37" s="363"/>
      <c r="DG37" s="363"/>
      <c r="DH37" s="363"/>
      <c r="DI37" s="364">
        <v>0</v>
      </c>
      <c r="DJ37" s="365">
        <v>0</v>
      </c>
      <c r="DK37" s="365">
        <v>0</v>
      </c>
      <c r="DL37" s="364">
        <v>0</v>
      </c>
      <c r="DM37" s="365">
        <v>0</v>
      </c>
      <c r="DN37" s="365">
        <f>+DN32+DN35</f>
        <v>995361000</v>
      </c>
      <c r="DO37" s="385"/>
      <c r="DP37" s="385"/>
      <c r="DQ37" s="385"/>
      <c r="DR37" s="385"/>
      <c r="DS37" s="385"/>
      <c r="DT37" s="385"/>
      <c r="DU37" s="385"/>
      <c r="DV37" s="385"/>
      <c r="DW37" s="385"/>
      <c r="DX37" s="385"/>
      <c r="DY37" s="385"/>
      <c r="DZ37" s="385"/>
      <c r="EA37" s="385"/>
      <c r="EB37" s="385"/>
      <c r="EC37" s="385"/>
      <c r="ED37" s="385"/>
      <c r="EE37" s="385"/>
      <c r="EF37" s="385"/>
      <c r="EG37" s="385"/>
      <c r="EH37" s="385"/>
      <c r="EI37" s="385"/>
      <c r="EJ37" s="385"/>
      <c r="EK37" s="385"/>
      <c r="EL37" s="385"/>
      <c r="EM37" s="343">
        <f>EK37+EI37+EG37+EE37+EC37+EA37+DY37+DW37+DU37+DS37+DQ37+DO37</f>
        <v>0</v>
      </c>
      <c r="EN37" s="344">
        <f>+EN32+EN35</f>
        <v>0</v>
      </c>
      <c r="EO37" s="345">
        <f>EO32+EO35</f>
        <v>0</v>
      </c>
      <c r="EP37" s="344">
        <f>+EP32+EP35</f>
        <v>0</v>
      </c>
      <c r="EQ37" s="344">
        <f>+EQ32+EQ35</f>
        <v>0</v>
      </c>
      <c r="ER37" s="334">
        <f t="shared" si="3"/>
        <v>0.17594162721003204</v>
      </c>
      <c r="ES37" s="291">
        <f t="shared" si="5"/>
        <v>0.74575614093014864</v>
      </c>
      <c r="ET37" s="292">
        <f t="shared" si="6"/>
        <v>0.72549750033773541</v>
      </c>
      <c r="EU37" s="293">
        <f t="shared" si="4"/>
        <v>0.82935781150766474</v>
      </c>
      <c r="EV37" s="294">
        <f t="shared" si="7"/>
        <v>0.54461247022101456</v>
      </c>
      <c r="EW37" s="454"/>
      <c r="EX37" s="457"/>
      <c r="EY37" s="457" t="s">
        <v>606</v>
      </c>
      <c r="EZ37" s="458"/>
      <c r="FA37" s="459"/>
      <c r="FB37" s="451"/>
    </row>
    <row r="38" spans="1:158" s="3" customFormat="1" ht="30.75" customHeight="1" x14ac:dyDescent="0.25">
      <c r="A38" s="453" t="s">
        <v>306</v>
      </c>
      <c r="B38" s="453">
        <v>5</v>
      </c>
      <c r="C38" s="453" t="s">
        <v>311</v>
      </c>
      <c r="D38" s="453" t="s">
        <v>314</v>
      </c>
      <c r="E38" s="453">
        <v>270</v>
      </c>
      <c r="F38" s="205" t="s">
        <v>40</v>
      </c>
      <c r="G38" s="280">
        <v>1</v>
      </c>
      <c r="H38" s="346">
        <v>1</v>
      </c>
      <c r="I38" s="346" t="s">
        <v>315</v>
      </c>
      <c r="J38" s="346" t="s">
        <v>315</v>
      </c>
      <c r="K38" s="346" t="s">
        <v>315</v>
      </c>
      <c r="L38" s="346" t="s">
        <v>315</v>
      </c>
      <c r="M38" s="346" t="s">
        <v>315</v>
      </c>
      <c r="N38" s="346" t="s">
        <v>315</v>
      </c>
      <c r="O38" s="346" t="s">
        <v>315</v>
      </c>
      <c r="P38" s="346" t="s">
        <v>315</v>
      </c>
      <c r="Q38" s="346" t="s">
        <v>315</v>
      </c>
      <c r="R38" s="346" t="s">
        <v>315</v>
      </c>
      <c r="S38" s="346" t="s">
        <v>315</v>
      </c>
      <c r="T38" s="346" t="s">
        <v>315</v>
      </c>
      <c r="U38" s="346" t="s">
        <v>315</v>
      </c>
      <c r="V38" s="346" t="s">
        <v>315</v>
      </c>
      <c r="W38" s="346" t="s">
        <v>315</v>
      </c>
      <c r="X38" s="346" t="s">
        <v>315</v>
      </c>
      <c r="Y38" s="346" t="s">
        <v>315</v>
      </c>
      <c r="Z38" s="346">
        <v>1</v>
      </c>
      <c r="AA38" s="346">
        <v>1</v>
      </c>
      <c r="AB38" s="346">
        <v>1</v>
      </c>
      <c r="AC38" s="346">
        <v>1</v>
      </c>
      <c r="AD38" s="346">
        <v>1</v>
      </c>
      <c r="AE38" s="346">
        <v>1</v>
      </c>
      <c r="AF38" s="346">
        <v>1</v>
      </c>
      <c r="AG38" s="346">
        <v>1</v>
      </c>
      <c r="AH38" s="346">
        <v>1</v>
      </c>
      <c r="AI38" s="346">
        <v>1</v>
      </c>
      <c r="AJ38" s="346">
        <v>1</v>
      </c>
      <c r="AK38" s="346">
        <v>1</v>
      </c>
      <c r="AL38" s="346">
        <v>1</v>
      </c>
      <c r="AM38" s="346">
        <v>1</v>
      </c>
      <c r="AN38" s="346">
        <v>1</v>
      </c>
      <c r="AO38" s="346">
        <v>1</v>
      </c>
      <c r="AP38" s="346">
        <v>1</v>
      </c>
      <c r="AQ38" s="346">
        <v>1</v>
      </c>
      <c r="AR38" s="346">
        <v>1</v>
      </c>
      <c r="AS38" s="346">
        <v>1</v>
      </c>
      <c r="AT38" s="346">
        <v>1</v>
      </c>
      <c r="AU38" s="346">
        <v>1</v>
      </c>
      <c r="AV38" s="346">
        <v>1</v>
      </c>
      <c r="AW38" s="346">
        <v>1</v>
      </c>
      <c r="AX38" s="346">
        <v>1</v>
      </c>
      <c r="AY38" s="346">
        <v>1</v>
      </c>
      <c r="AZ38" s="346">
        <v>1</v>
      </c>
      <c r="BA38" s="346">
        <f>+AB38</f>
        <v>1</v>
      </c>
      <c r="BB38" s="346">
        <f>+AY38</f>
        <v>1</v>
      </c>
      <c r="BC38" s="346">
        <f>+AZ38</f>
        <v>1</v>
      </c>
      <c r="BD38" s="346">
        <f>+G38</f>
        <v>1</v>
      </c>
      <c r="BE38" s="346">
        <f>+AZ38</f>
        <v>1</v>
      </c>
      <c r="BF38" s="346">
        <v>1</v>
      </c>
      <c r="BG38" s="346">
        <v>1</v>
      </c>
      <c r="BH38" s="346">
        <v>1</v>
      </c>
      <c r="BI38" s="346">
        <v>1</v>
      </c>
      <c r="BJ38" s="346">
        <v>1</v>
      </c>
      <c r="BK38" s="346">
        <v>1</v>
      </c>
      <c r="BL38" s="346">
        <v>1</v>
      </c>
      <c r="BM38" s="346">
        <v>1</v>
      </c>
      <c r="BN38" s="346">
        <v>1</v>
      </c>
      <c r="BO38" s="346">
        <v>1</v>
      </c>
      <c r="BP38" s="346">
        <v>1</v>
      </c>
      <c r="BQ38" s="346">
        <v>1</v>
      </c>
      <c r="BR38" s="346">
        <v>1</v>
      </c>
      <c r="BS38" s="346">
        <v>1</v>
      </c>
      <c r="BT38" s="346">
        <v>1</v>
      </c>
      <c r="BU38" s="346">
        <v>1</v>
      </c>
      <c r="BV38" s="346">
        <v>1</v>
      </c>
      <c r="BW38" s="346">
        <v>1</v>
      </c>
      <c r="BX38" s="346">
        <v>1</v>
      </c>
      <c r="BY38" s="346">
        <v>1</v>
      </c>
      <c r="BZ38" s="327"/>
      <c r="CA38" s="346">
        <v>1</v>
      </c>
      <c r="CB38" s="327"/>
      <c r="CC38" s="346">
        <v>1</v>
      </c>
      <c r="CD38" s="327"/>
      <c r="CE38" s="346">
        <f>+BW38</f>
        <v>1</v>
      </c>
      <c r="CF38" s="346">
        <f>+BW38</f>
        <v>1</v>
      </c>
      <c r="CG38" s="346">
        <f>+BX38</f>
        <v>1</v>
      </c>
      <c r="CH38" s="346">
        <f>+BW38</f>
        <v>1</v>
      </c>
      <c r="CI38" s="346">
        <f>+BX38</f>
        <v>1</v>
      </c>
      <c r="CJ38" s="220">
        <v>1</v>
      </c>
      <c r="CK38" s="220"/>
      <c r="CL38" s="220"/>
      <c r="CM38" s="220"/>
      <c r="CN38" s="220"/>
      <c r="CO38" s="220"/>
      <c r="CP38" s="220"/>
      <c r="CQ38" s="220"/>
      <c r="CR38" s="220"/>
      <c r="CS38" s="220"/>
      <c r="CT38" s="220"/>
      <c r="CU38" s="220"/>
      <c r="CV38" s="220"/>
      <c r="CW38" s="220"/>
      <c r="CX38" s="220"/>
      <c r="CY38" s="220"/>
      <c r="CZ38" s="220"/>
      <c r="DA38" s="220"/>
      <c r="DB38" s="220"/>
      <c r="DC38" s="220"/>
      <c r="DD38" s="220"/>
      <c r="DE38" s="220"/>
      <c r="DF38" s="220"/>
      <c r="DG38" s="220"/>
      <c r="DH38" s="220"/>
      <c r="DI38" s="220">
        <f>DG38+DE38+DC38+DA38+CY38+CW38+CU38+CS38+CQ38+CO38+CM38+CK38</f>
        <v>0</v>
      </c>
      <c r="DJ38" s="220">
        <f>CK38+CM38+CO38+CQ38</f>
        <v>0</v>
      </c>
      <c r="DK38" s="220">
        <f>CL38+CN38+CP38+CR38</f>
        <v>0</v>
      </c>
      <c r="DL38" s="220">
        <f>CM38+CO38+CQ38+CS38+CU38+CW38+CY38+DA38+DC38+DE38+DG38+CK38</f>
        <v>0</v>
      </c>
      <c r="DM38" s="220">
        <f>CL38+CN38+CP38+CR38</f>
        <v>0</v>
      </c>
      <c r="DN38" s="220">
        <v>1</v>
      </c>
      <c r="DO38" s="347"/>
      <c r="DP38" s="347"/>
      <c r="DQ38" s="347"/>
      <c r="DR38" s="347"/>
      <c r="DS38" s="347"/>
      <c r="DT38" s="347"/>
      <c r="DU38" s="347"/>
      <c r="DV38" s="347"/>
      <c r="DW38" s="347"/>
      <c r="DX38" s="347"/>
      <c r="DY38" s="347"/>
      <c r="DZ38" s="347"/>
      <c r="EA38" s="347"/>
      <c r="EB38" s="347"/>
      <c r="EC38" s="347"/>
      <c r="ED38" s="347"/>
      <c r="EE38" s="347"/>
      <c r="EF38" s="347"/>
      <c r="EG38" s="347"/>
      <c r="EH38" s="347"/>
      <c r="EI38" s="347"/>
      <c r="EJ38" s="347"/>
      <c r="EK38" s="347"/>
      <c r="EL38" s="347"/>
      <c r="EM38" s="355">
        <f>EK38+EI38+EG38+EE38+EA38+DY38+DW38+DU38+DS38+DQ38+DO38</f>
        <v>0</v>
      </c>
      <c r="EN38" s="355">
        <f>DO38+DQ38+DS38+DU38</f>
        <v>0</v>
      </c>
      <c r="EO38" s="355">
        <f>DP38+DR38+DT38+DV38</f>
        <v>0</v>
      </c>
      <c r="EP38" s="355">
        <f>EM38+CO38</f>
        <v>0</v>
      </c>
      <c r="EQ38" s="386">
        <f>EO38+CO38</f>
        <v>0</v>
      </c>
      <c r="ER38" s="329">
        <f t="shared" si="3"/>
        <v>1</v>
      </c>
      <c r="ES38" s="295">
        <f t="shared" si="5"/>
        <v>1</v>
      </c>
      <c r="ET38" s="296">
        <f t="shared" si="6"/>
        <v>1</v>
      </c>
      <c r="EU38" s="297">
        <f t="shared" si="4"/>
        <v>1</v>
      </c>
      <c r="EV38" s="296">
        <f>+(AA38+BE38+CI38)/500%</f>
        <v>0.6</v>
      </c>
      <c r="EW38" s="461" t="s">
        <v>680</v>
      </c>
      <c r="EX38" s="455" t="s">
        <v>606</v>
      </c>
      <c r="EY38" s="455" t="s">
        <v>606</v>
      </c>
      <c r="EZ38" s="460" t="s">
        <v>340</v>
      </c>
      <c r="FA38" s="510" t="s">
        <v>566</v>
      </c>
      <c r="FB38" s="451"/>
    </row>
    <row r="39" spans="1:158" s="49" customFormat="1" ht="30.75" customHeight="1" x14ac:dyDescent="0.25">
      <c r="A39" s="453"/>
      <c r="B39" s="453"/>
      <c r="C39" s="453"/>
      <c r="D39" s="453"/>
      <c r="E39" s="453"/>
      <c r="F39" s="206" t="s">
        <v>3</v>
      </c>
      <c r="G39" s="272">
        <f>AA39+BE39+CH39+CJ39+DN39</f>
        <v>3489904044</v>
      </c>
      <c r="H39" s="107">
        <v>403410000</v>
      </c>
      <c r="I39" s="108"/>
      <c r="J39" s="108"/>
      <c r="K39" s="108"/>
      <c r="L39" s="108"/>
      <c r="M39" s="108"/>
      <c r="N39" s="108"/>
      <c r="O39" s="108"/>
      <c r="P39" s="108"/>
      <c r="Q39" s="108"/>
      <c r="R39" s="108"/>
      <c r="S39" s="108"/>
      <c r="T39" s="107"/>
      <c r="U39" s="119"/>
      <c r="V39" s="119"/>
      <c r="W39" s="107">
        <v>403410000</v>
      </c>
      <c r="X39" s="107">
        <v>403410000</v>
      </c>
      <c r="Y39" s="107">
        <v>232617000</v>
      </c>
      <c r="Z39" s="107">
        <v>263410000</v>
      </c>
      <c r="AA39" s="107">
        <v>232617000</v>
      </c>
      <c r="AB39" s="107">
        <v>689070000</v>
      </c>
      <c r="AC39" s="108">
        <v>0</v>
      </c>
      <c r="AD39" s="108">
        <v>0</v>
      </c>
      <c r="AE39" s="108">
        <v>34584000</v>
      </c>
      <c r="AF39" s="108">
        <f>34584000-AD39</f>
        <v>34584000</v>
      </c>
      <c r="AG39" s="108">
        <v>308422000</v>
      </c>
      <c r="AH39" s="108">
        <f>343006000-AF39-AD39</f>
        <v>308422000</v>
      </c>
      <c r="AI39" s="108">
        <v>1738634</v>
      </c>
      <c r="AJ39" s="108">
        <f>344744634-AH39-AF39-AD39</f>
        <v>1738634</v>
      </c>
      <c r="AK39" s="108">
        <v>14241944</v>
      </c>
      <c r="AL39" s="108">
        <f>358986578-AJ39-AH39-AF39-AD39-5000000</f>
        <v>9241944</v>
      </c>
      <c r="AM39" s="108">
        <v>0</v>
      </c>
      <c r="AN39" s="108">
        <v>101779714</v>
      </c>
      <c r="AO39" s="108">
        <v>0</v>
      </c>
      <c r="AP39" s="108">
        <v>0</v>
      </c>
      <c r="AQ39" s="108">
        <f>41419807.3333333+46164800</f>
        <v>87584607.333333299</v>
      </c>
      <c r="AR39" s="108">
        <v>36764000</v>
      </c>
      <c r="AS39" s="108">
        <f>41419807.3333333+46164800+35320000</f>
        <v>122904607.3333333</v>
      </c>
      <c r="AT39" s="108">
        <v>0</v>
      </c>
      <c r="AU39" s="108">
        <f>41419807.3333333+46164800</f>
        <v>87584607.333333299</v>
      </c>
      <c r="AV39" s="108">
        <v>11769667</v>
      </c>
      <c r="AW39" s="108">
        <v>46164800</v>
      </c>
      <c r="AX39" s="108">
        <v>19321500</v>
      </c>
      <c r="AY39" s="108">
        <v>46164800</v>
      </c>
      <c r="AZ39" s="108">
        <v>180225685</v>
      </c>
      <c r="BA39" s="108">
        <f>AY39+AW39+AU39+AS39+AQ39+AO39+AM39+AK39+AI39+AG39+AE39+AC39</f>
        <v>749390000</v>
      </c>
      <c r="BB39" s="108">
        <f>AC39+AE39+AG39+AI39+AK39+AM39+AO39+AQ39+AS39+AU39+AW39+AY39</f>
        <v>749389999.99999988</v>
      </c>
      <c r="BC39" s="108">
        <f>AD39+AF39+AH39+AJ39+AL39+AN39+AP39+AR39+AT39+AV39+AX39+AZ39</f>
        <v>703847144</v>
      </c>
      <c r="BD39" s="108">
        <f>AE39+AG39+AI39+AK39+AM39+AO39+AQ39+AS39+AU39+AW39+AY39+AC39</f>
        <v>749389999.99999988</v>
      </c>
      <c r="BE39" s="108">
        <f>AD39+AF39+AH39+AJ39+AL39+AN39+AP39+AR39+AT39+AV39+AX39+AZ39</f>
        <v>703847144</v>
      </c>
      <c r="BF39" s="108">
        <v>843232000</v>
      </c>
      <c r="BG39" s="108">
        <v>462232000</v>
      </c>
      <c r="BH39" s="108">
        <v>455184000</v>
      </c>
      <c r="BI39" s="108">
        <v>0</v>
      </c>
      <c r="BJ39" s="108">
        <v>0</v>
      </c>
      <c r="BK39" s="108">
        <v>381000000</v>
      </c>
      <c r="BL39" s="108">
        <v>0</v>
      </c>
      <c r="BM39" s="108">
        <v>0</v>
      </c>
      <c r="BN39" s="108">
        <v>0</v>
      </c>
      <c r="BO39" s="108">
        <v>-7048000</v>
      </c>
      <c r="BP39" s="108">
        <v>0</v>
      </c>
      <c r="BQ39" s="108">
        <v>0</v>
      </c>
      <c r="BR39" s="108">
        <v>0</v>
      </c>
      <c r="BS39" s="108">
        <v>0</v>
      </c>
      <c r="BT39" s="108">
        <v>0</v>
      </c>
      <c r="BU39" s="108">
        <v>60207700</v>
      </c>
      <c r="BV39" s="108">
        <v>14028000</v>
      </c>
      <c r="BW39" s="108">
        <f>57264498-7442298</f>
        <v>49822200</v>
      </c>
      <c r="BX39" s="108">
        <v>19349800</v>
      </c>
      <c r="BY39" s="108">
        <v>0</v>
      </c>
      <c r="BZ39" s="108"/>
      <c r="CA39" s="108">
        <v>0</v>
      </c>
      <c r="CB39" s="108"/>
      <c r="CC39" s="108">
        <v>0</v>
      </c>
      <c r="CD39" s="108"/>
      <c r="CE39" s="108">
        <f>CC39+CA39+BY39+BW39+BU39+BS39+BQ39+BO39+BM39+BK39+BI39+BG39</f>
        <v>946213900</v>
      </c>
      <c r="CF39" s="108">
        <f>+BG39+BI39+BK39+BM39+BO39+BQ39+BS39+BU39+BW39</f>
        <v>946213900</v>
      </c>
      <c r="CG39" s="108">
        <f>+BH39+BJ39+BL39+BN39+BP39+BR39+BT39+BV39+BX39</f>
        <v>488561800</v>
      </c>
      <c r="CH39" s="107">
        <f>CC39+CA39+BY39+BW39+BU39+BS39+BQ39+BO39+BM39+BK39+BI39+BG39</f>
        <v>946213900</v>
      </c>
      <c r="CI39" s="107">
        <f>+BH39+BJ39+BL39+BN39+BP39+BR39+BT39+BV39+BX39</f>
        <v>488561800</v>
      </c>
      <c r="CJ39" s="108">
        <v>758837000</v>
      </c>
      <c r="CK39" s="108"/>
      <c r="CL39" s="108"/>
      <c r="CM39" s="108"/>
      <c r="CN39" s="108"/>
      <c r="CO39" s="108"/>
      <c r="CP39" s="108"/>
      <c r="CQ39" s="108"/>
      <c r="CR39" s="108"/>
      <c r="CS39" s="108"/>
      <c r="CT39" s="108"/>
      <c r="CU39" s="108"/>
      <c r="CV39" s="108"/>
      <c r="CW39" s="108"/>
      <c r="CX39" s="108"/>
      <c r="CY39" s="108"/>
      <c r="CZ39" s="108"/>
      <c r="DA39" s="108"/>
      <c r="DB39" s="108"/>
      <c r="DC39" s="108"/>
      <c r="DD39" s="108"/>
      <c r="DE39" s="108"/>
      <c r="DF39" s="108"/>
      <c r="DG39" s="108"/>
      <c r="DH39" s="108"/>
      <c r="DI39" s="107">
        <f>DG39+DE39+DC39+DA39+CY39+CW39+CU39+CS39+CQ39+CO39+CM39+CK39</f>
        <v>0</v>
      </c>
      <c r="DJ39" s="117">
        <f>CK39+CM39+CO39+CQ39</f>
        <v>0</v>
      </c>
      <c r="DK39" s="117">
        <f>CL39+CN39+CP39+CR39</f>
        <v>0</v>
      </c>
      <c r="DL39" s="107">
        <f>CM39+CO39+CQ39+CS39+CU39+CW39+CY39+DA39+DC39+DE39+DG39+CK39</f>
        <v>0</v>
      </c>
      <c r="DM39" s="117">
        <f>CL39+CN39+CP39+CR39</f>
        <v>0</v>
      </c>
      <c r="DN39" s="108">
        <v>848389000</v>
      </c>
      <c r="DO39" s="48"/>
      <c r="DP39" s="48"/>
      <c r="DQ39" s="48"/>
      <c r="DR39" s="48"/>
      <c r="DS39" s="48"/>
      <c r="DT39" s="48"/>
      <c r="DU39" s="48"/>
      <c r="DV39" s="48"/>
      <c r="DW39" s="48"/>
      <c r="DX39" s="48"/>
      <c r="DY39" s="48"/>
      <c r="DZ39" s="48"/>
      <c r="EA39" s="48"/>
      <c r="EB39" s="48"/>
      <c r="EC39" s="48"/>
      <c r="ED39" s="48"/>
      <c r="EE39" s="48"/>
      <c r="EF39" s="48"/>
      <c r="EG39" s="48"/>
      <c r="EH39" s="48"/>
      <c r="EI39" s="48"/>
      <c r="EJ39" s="48"/>
      <c r="EK39" s="48"/>
      <c r="EL39" s="48"/>
      <c r="EM39" s="387">
        <f>EK39+EI39+EG39+EE39+EC39+EA39+DY39+DW39+DU39+DS39+DQ39+DO39</f>
        <v>0</v>
      </c>
      <c r="EN39" s="85">
        <f>DO39+DQ39+DS39+DU39</f>
        <v>0</v>
      </c>
      <c r="EO39" s="85">
        <f>DP39+DR39+DT39+DV39</f>
        <v>0</v>
      </c>
      <c r="EP39" s="85">
        <f>DO39+DQ39+DS39+DU39+DW39+DY39+EA39+EC39+EE39+EI39+EK39</f>
        <v>0</v>
      </c>
      <c r="EQ39" s="87">
        <f>DP39+DR39+DT39+DV39</f>
        <v>0</v>
      </c>
      <c r="ER39" s="122">
        <f t="shared" si="3"/>
        <v>0.38837706885685497</v>
      </c>
      <c r="ES39" s="285">
        <f t="shared" si="5"/>
        <v>0.51633335760550547</v>
      </c>
      <c r="ET39" s="286">
        <f t="shared" si="6"/>
        <v>0.51633335760550547</v>
      </c>
      <c r="EU39" s="287">
        <f t="shared" si="4"/>
        <v>0.72742002698398411</v>
      </c>
      <c r="EV39" s="286">
        <f t="shared" si="7"/>
        <v>0.40832811619848652</v>
      </c>
      <c r="EW39" s="461"/>
      <c r="EX39" s="456"/>
      <c r="EY39" s="456" t="s">
        <v>606</v>
      </c>
      <c r="EZ39" s="460"/>
      <c r="FA39" s="510"/>
      <c r="FB39" s="451"/>
    </row>
    <row r="40" spans="1:158" s="49" customFormat="1" ht="30.75" customHeight="1" x14ac:dyDescent="0.25">
      <c r="A40" s="453"/>
      <c r="B40" s="453"/>
      <c r="C40" s="453"/>
      <c r="D40" s="453"/>
      <c r="E40" s="453"/>
      <c r="F40" s="207" t="s">
        <v>216</v>
      </c>
      <c r="G40" s="273"/>
      <c r="H40" s="107"/>
      <c r="I40" s="108"/>
      <c r="J40" s="108"/>
      <c r="K40" s="108"/>
      <c r="L40" s="108"/>
      <c r="M40" s="108"/>
      <c r="N40" s="108"/>
      <c r="O40" s="108"/>
      <c r="P40" s="108"/>
      <c r="Q40" s="108"/>
      <c r="R40" s="108"/>
      <c r="S40" s="108"/>
      <c r="T40" s="107"/>
      <c r="U40" s="119"/>
      <c r="V40" s="119"/>
      <c r="W40" s="107"/>
      <c r="X40" s="107"/>
      <c r="Y40" s="107"/>
      <c r="Z40" s="107"/>
      <c r="AA40" s="108"/>
      <c r="AB40" s="107"/>
      <c r="AC40" s="108">
        <v>0</v>
      </c>
      <c r="AD40" s="108">
        <v>0</v>
      </c>
      <c r="AE40" s="108">
        <v>0</v>
      </c>
      <c r="AF40" s="108">
        <v>0</v>
      </c>
      <c r="AG40" s="108">
        <v>0</v>
      </c>
      <c r="AH40" s="108">
        <v>0</v>
      </c>
      <c r="AI40" s="108">
        <v>29463567</v>
      </c>
      <c r="AJ40" s="108">
        <f>29463567-AH40</f>
        <v>29463567</v>
      </c>
      <c r="AK40" s="108">
        <v>42312234</v>
      </c>
      <c r="AL40" s="108">
        <f>71775801-AJ40+5062267</f>
        <v>47374501</v>
      </c>
      <c r="AM40" s="108">
        <v>45547691</v>
      </c>
      <c r="AN40" s="108">
        <v>45547691</v>
      </c>
      <c r="AO40" s="108">
        <v>0</v>
      </c>
      <c r="AP40" s="108">
        <v>52764501</v>
      </c>
      <c r="AQ40" s="108">
        <v>0</v>
      </c>
      <c r="AR40" s="108">
        <v>39402600</v>
      </c>
      <c r="AS40" s="108">
        <v>0</v>
      </c>
      <c r="AT40" s="108">
        <v>39458167</v>
      </c>
      <c r="AU40" s="108">
        <v>0</v>
      </c>
      <c r="AV40" s="108">
        <v>41241000</v>
      </c>
      <c r="AW40" s="108">
        <v>0</v>
      </c>
      <c r="AX40" s="108">
        <v>44959667</v>
      </c>
      <c r="AY40" s="108">
        <v>0</v>
      </c>
      <c r="AZ40" s="108">
        <v>118193574.72981858</v>
      </c>
      <c r="BA40" s="108">
        <f>AY40+AW40+AU40+AS40+AQ40+AO40+AM40+AK40+AI40+AG40+AE40+AC40</f>
        <v>117323492</v>
      </c>
      <c r="BB40" s="108">
        <f>AC40+AE40+AG40+AI40+AK40+AM40+AO40+AQ40+AS40+AU40+AW40+AY40</f>
        <v>117323492</v>
      </c>
      <c r="BC40" s="108">
        <f>AD40+AF40+AH40+AJ40+AL40+AN40+AP40+AR40+AT40+AV40+AX40+AZ40</f>
        <v>458405268.72981858</v>
      </c>
      <c r="BD40" s="108">
        <f>AE40+AG40+AI40+AK40+AM40+AO40+AQ40+AS40+AU40+AW40+AY40+AC40</f>
        <v>117323492</v>
      </c>
      <c r="BE40" s="108">
        <f>AD40+AF40+AH40+AJ40+AL40+AN40+AP40+AR40+AT40+AV40+AX40+AZ40</f>
        <v>458405268.72981858</v>
      </c>
      <c r="BF40" s="108">
        <v>0</v>
      </c>
      <c r="BG40" s="108">
        <v>0</v>
      </c>
      <c r="BH40" s="108">
        <v>0</v>
      </c>
      <c r="BI40" s="108"/>
      <c r="BJ40" s="108">
        <v>2716334</v>
      </c>
      <c r="BK40" s="108"/>
      <c r="BL40" s="108">
        <v>49602419</v>
      </c>
      <c r="BM40" s="108"/>
      <c r="BN40" s="108">
        <v>51491637</v>
      </c>
      <c r="BO40" s="108"/>
      <c r="BP40" s="108">
        <v>50399819</v>
      </c>
      <c r="BQ40" s="108"/>
      <c r="BR40" s="108">
        <v>50146819</v>
      </c>
      <c r="BS40" s="108"/>
      <c r="BT40" s="108">
        <v>50772546</v>
      </c>
      <c r="BU40" s="108">
        <v>0</v>
      </c>
      <c r="BV40" s="108">
        <v>49869364</v>
      </c>
      <c r="BW40" s="108">
        <v>0</v>
      </c>
      <c r="BX40" s="108">
        <v>49869364</v>
      </c>
      <c r="BY40" s="108"/>
      <c r="BZ40" s="108"/>
      <c r="CA40" s="108"/>
      <c r="CB40" s="108"/>
      <c r="CC40" s="108"/>
      <c r="CD40" s="108"/>
      <c r="CE40" s="108">
        <f>CC40+CA40+BY40+BW40+BU40+BS40+BQ40+BO40+BM40+BK40+BI40+BG40</f>
        <v>0</v>
      </c>
      <c r="CF40" s="108">
        <f>+BG40+BI40+BK40+BM40+BO40+BQ40+BS40+BU40+BW40</f>
        <v>0</v>
      </c>
      <c r="CG40" s="108">
        <f>+BH40+BJ40+BL40+BN40+BP40+BR40+BT40+BV40+BX40</f>
        <v>354868302</v>
      </c>
      <c r="CH40" s="107">
        <f>CC40+CA40+BY40+BW40+BU40+BS40+BQ40+BO40+BM40+BK40+BI40+BG40</f>
        <v>0</v>
      </c>
      <c r="CI40" s="107">
        <f>+BH40+BJ40+BL40+BN40+BP40+BR40+BT40+BV40+BX40</f>
        <v>354868302</v>
      </c>
      <c r="CJ40" s="108">
        <v>0</v>
      </c>
      <c r="CK40" s="108"/>
      <c r="CL40" s="108"/>
      <c r="CM40" s="108"/>
      <c r="CN40" s="108"/>
      <c r="CO40" s="108"/>
      <c r="CP40" s="108"/>
      <c r="CQ40" s="108"/>
      <c r="CR40" s="108"/>
      <c r="CS40" s="108"/>
      <c r="CT40" s="108"/>
      <c r="CU40" s="108"/>
      <c r="CV40" s="108"/>
      <c r="CW40" s="108"/>
      <c r="CX40" s="108"/>
      <c r="CY40" s="108"/>
      <c r="CZ40" s="108"/>
      <c r="DA40" s="108"/>
      <c r="DB40" s="108"/>
      <c r="DC40" s="108"/>
      <c r="DD40" s="108"/>
      <c r="DE40" s="108"/>
      <c r="DF40" s="108"/>
      <c r="DG40" s="108"/>
      <c r="DH40" s="108"/>
      <c r="DI40" s="107"/>
      <c r="DJ40" s="117"/>
      <c r="DK40" s="117"/>
      <c r="DL40" s="107"/>
      <c r="DM40" s="117"/>
      <c r="DN40" s="108">
        <v>0</v>
      </c>
      <c r="DO40" s="48"/>
      <c r="DP40" s="48"/>
      <c r="DQ40" s="48"/>
      <c r="DR40" s="48"/>
      <c r="DS40" s="48"/>
      <c r="DT40" s="48"/>
      <c r="DU40" s="48"/>
      <c r="DV40" s="48"/>
      <c r="DW40" s="48"/>
      <c r="DX40" s="48"/>
      <c r="DY40" s="48"/>
      <c r="DZ40" s="48"/>
      <c r="EA40" s="48"/>
      <c r="EB40" s="48"/>
      <c r="EC40" s="48"/>
      <c r="ED40" s="48"/>
      <c r="EE40" s="48"/>
      <c r="EF40" s="48"/>
      <c r="EG40" s="48"/>
      <c r="EH40" s="48"/>
      <c r="EI40" s="48"/>
      <c r="EJ40" s="48"/>
      <c r="EK40" s="48"/>
      <c r="EL40" s="48"/>
      <c r="EM40" s="305">
        <f>EI40+EG40+EE40+EC40+EA40+DY40+DW40+DU40+DS40+DQ40+DO40+EK40</f>
        <v>0</v>
      </c>
      <c r="EN40" s="85">
        <f>+DO40+DQ40+DS40+DU40</f>
        <v>0</v>
      </c>
      <c r="EO40" s="85">
        <f>DP40+DR40+DT40+DV40</f>
        <v>0</v>
      </c>
      <c r="EP40" s="85">
        <f>DQ40+DS40+DU40+DW40+DY40+EA40+EC40+EE40+EG40+EI40+EK40</f>
        <v>0</v>
      </c>
      <c r="EQ40" s="87">
        <f>DP40+DR40+DT40+DV40</f>
        <v>0</v>
      </c>
      <c r="ER40" s="122" t="e">
        <f t="shared" si="3"/>
        <v>#DIV/0!</v>
      </c>
      <c r="ES40" s="285" t="e">
        <f t="shared" si="5"/>
        <v>#DIV/0!</v>
      </c>
      <c r="ET40" s="286" t="e">
        <f t="shared" si="6"/>
        <v>#DIV/0!</v>
      </c>
      <c r="EU40" s="287">
        <f t="shared" si="4"/>
        <v>6.9318902537423499</v>
      </c>
      <c r="EV40" s="286" t="e">
        <f t="shared" si="7"/>
        <v>#DIV/0!</v>
      </c>
      <c r="EW40" s="461"/>
      <c r="EX40" s="456"/>
      <c r="EY40" s="456" t="s">
        <v>606</v>
      </c>
      <c r="EZ40" s="460"/>
      <c r="FA40" s="510"/>
      <c r="FB40" s="451"/>
    </row>
    <row r="41" spans="1:158" s="3" customFormat="1" ht="30.75" customHeight="1" x14ac:dyDescent="0.25">
      <c r="A41" s="453"/>
      <c r="B41" s="453"/>
      <c r="C41" s="453"/>
      <c r="D41" s="453"/>
      <c r="E41" s="453"/>
      <c r="F41" s="205" t="s">
        <v>41</v>
      </c>
      <c r="G41" s="271">
        <v>0</v>
      </c>
      <c r="H41" s="106">
        <v>0</v>
      </c>
      <c r="I41" s="298">
        <v>0</v>
      </c>
      <c r="J41" s="298">
        <v>0</v>
      </c>
      <c r="K41" s="298">
        <v>0</v>
      </c>
      <c r="L41" s="298">
        <v>0</v>
      </c>
      <c r="M41" s="298">
        <v>0</v>
      </c>
      <c r="N41" s="299">
        <v>0</v>
      </c>
      <c r="O41" s="298">
        <v>0</v>
      </c>
      <c r="P41" s="299">
        <v>0</v>
      </c>
      <c r="Q41" s="298">
        <v>0</v>
      </c>
      <c r="R41" s="300">
        <v>0</v>
      </c>
      <c r="S41" s="298">
        <v>0</v>
      </c>
      <c r="T41" s="299">
        <v>0</v>
      </c>
      <c r="U41" s="298">
        <v>0</v>
      </c>
      <c r="V41" s="298">
        <v>0</v>
      </c>
      <c r="W41" s="99">
        <v>0</v>
      </c>
      <c r="X41" s="99">
        <v>0</v>
      </c>
      <c r="Y41" s="99">
        <v>0</v>
      </c>
      <c r="Z41" s="99">
        <v>0</v>
      </c>
      <c r="AA41" s="99">
        <v>0</v>
      </c>
      <c r="AB41" s="99">
        <v>0</v>
      </c>
      <c r="AC41" s="99">
        <v>0</v>
      </c>
      <c r="AD41" s="99">
        <v>0</v>
      </c>
      <c r="AE41" s="99">
        <v>0</v>
      </c>
      <c r="AF41" s="99">
        <v>0</v>
      </c>
      <c r="AG41" s="99">
        <v>0</v>
      </c>
      <c r="AH41" s="99">
        <v>0</v>
      </c>
      <c r="AI41" s="99">
        <v>0</v>
      </c>
      <c r="AJ41" s="99">
        <v>0</v>
      </c>
      <c r="AK41" s="99">
        <v>0</v>
      </c>
      <c r="AL41" s="99">
        <v>0</v>
      </c>
      <c r="AM41" s="99">
        <v>0</v>
      </c>
      <c r="AN41" s="99">
        <v>0</v>
      </c>
      <c r="AO41" s="99">
        <v>0</v>
      </c>
      <c r="AP41" s="299">
        <v>0</v>
      </c>
      <c r="AQ41" s="99">
        <v>0</v>
      </c>
      <c r="AR41" s="299">
        <v>0</v>
      </c>
      <c r="AS41" s="99">
        <v>0</v>
      </c>
      <c r="AT41" s="99">
        <v>0</v>
      </c>
      <c r="AU41" s="99">
        <v>0</v>
      </c>
      <c r="AV41" s="299">
        <v>0</v>
      </c>
      <c r="AW41" s="99">
        <v>0</v>
      </c>
      <c r="AX41" s="99">
        <v>0</v>
      </c>
      <c r="AY41" s="99">
        <v>0</v>
      </c>
      <c r="AZ41" s="106">
        <v>0</v>
      </c>
      <c r="BA41" s="99">
        <f>+AB41</f>
        <v>0</v>
      </c>
      <c r="BB41" s="99">
        <f>+AY41</f>
        <v>0</v>
      </c>
      <c r="BC41" s="99">
        <f>+AZ41</f>
        <v>0</v>
      </c>
      <c r="BD41" s="99">
        <f>+G41</f>
        <v>0</v>
      </c>
      <c r="BE41" s="99">
        <f>+AZ41</f>
        <v>0</v>
      </c>
      <c r="BF41" s="216">
        <v>0</v>
      </c>
      <c r="BG41" s="99">
        <v>0</v>
      </c>
      <c r="BH41" s="99">
        <v>0</v>
      </c>
      <c r="BI41" s="99">
        <v>0</v>
      </c>
      <c r="BJ41" s="99">
        <v>0</v>
      </c>
      <c r="BK41" s="99">
        <v>0</v>
      </c>
      <c r="BL41" s="99">
        <v>0</v>
      </c>
      <c r="BM41" s="99">
        <v>0</v>
      </c>
      <c r="BN41" s="99">
        <v>0</v>
      </c>
      <c r="BO41" s="99">
        <v>0</v>
      </c>
      <c r="BP41" s="99">
        <v>0</v>
      </c>
      <c r="BQ41" s="99">
        <v>0</v>
      </c>
      <c r="BR41" s="99">
        <v>0</v>
      </c>
      <c r="BS41" s="99">
        <v>0</v>
      </c>
      <c r="BT41" s="99">
        <v>0</v>
      </c>
      <c r="BU41" s="99">
        <v>0</v>
      </c>
      <c r="BV41" s="99">
        <v>0</v>
      </c>
      <c r="BW41" s="99">
        <v>0</v>
      </c>
      <c r="BX41" s="99">
        <v>0</v>
      </c>
      <c r="BY41" s="99">
        <v>0</v>
      </c>
      <c r="BZ41" s="298"/>
      <c r="CA41" s="99">
        <v>0</v>
      </c>
      <c r="CB41" s="298"/>
      <c r="CC41" s="99">
        <v>0</v>
      </c>
      <c r="CD41" s="298"/>
      <c r="CE41" s="99">
        <f>+BW41</f>
        <v>0</v>
      </c>
      <c r="CF41" s="99">
        <f>+BW41</f>
        <v>0</v>
      </c>
      <c r="CG41" s="99">
        <f>+BX41</f>
        <v>0</v>
      </c>
      <c r="CH41" s="99">
        <f>+BY41</f>
        <v>0</v>
      </c>
      <c r="CI41" s="99">
        <f>+BX41</f>
        <v>0</v>
      </c>
      <c r="CJ41" s="106">
        <v>0</v>
      </c>
      <c r="CK41" s="59">
        <v>0</v>
      </c>
      <c r="CL41" s="59">
        <v>0</v>
      </c>
      <c r="CM41" s="59">
        <v>0</v>
      </c>
      <c r="CN41" s="59">
        <v>0</v>
      </c>
      <c r="CO41" s="59">
        <v>0</v>
      </c>
      <c r="CP41" s="59">
        <v>0</v>
      </c>
      <c r="CQ41" s="59">
        <v>0</v>
      </c>
      <c r="CR41" s="59">
        <v>0</v>
      </c>
      <c r="CS41" s="59">
        <v>0</v>
      </c>
      <c r="CT41" s="59">
        <v>0</v>
      </c>
      <c r="CU41" s="59">
        <v>0</v>
      </c>
      <c r="CV41" s="59">
        <v>0</v>
      </c>
      <c r="CW41" s="59">
        <v>0</v>
      </c>
      <c r="CX41" s="59">
        <v>0</v>
      </c>
      <c r="CY41" s="59">
        <v>0</v>
      </c>
      <c r="CZ41" s="59">
        <v>0</v>
      </c>
      <c r="DA41" s="59">
        <v>0</v>
      </c>
      <c r="DB41" s="59">
        <v>0</v>
      </c>
      <c r="DC41" s="59">
        <v>0</v>
      </c>
      <c r="DD41" s="59">
        <v>0</v>
      </c>
      <c r="DE41" s="59">
        <v>0</v>
      </c>
      <c r="DF41" s="59">
        <v>0</v>
      </c>
      <c r="DG41" s="59">
        <v>0</v>
      </c>
      <c r="DH41" s="59">
        <v>0</v>
      </c>
      <c r="DI41" s="59">
        <v>0</v>
      </c>
      <c r="DJ41" s="59">
        <v>0</v>
      </c>
      <c r="DK41" s="59">
        <v>0</v>
      </c>
      <c r="DL41" s="96">
        <v>0</v>
      </c>
      <c r="DM41" s="59">
        <v>0</v>
      </c>
      <c r="DN41" s="106">
        <v>0</v>
      </c>
      <c r="DO41" s="307"/>
      <c r="DP41" s="307"/>
      <c r="DQ41" s="307"/>
      <c r="DR41" s="307"/>
      <c r="DS41" s="307"/>
      <c r="DT41" s="307"/>
      <c r="DU41" s="307"/>
      <c r="DV41" s="307"/>
      <c r="DW41" s="307"/>
      <c r="DX41" s="307"/>
      <c r="DY41" s="307"/>
      <c r="DZ41" s="307"/>
      <c r="EA41" s="307"/>
      <c r="EB41" s="307"/>
      <c r="EC41" s="307"/>
      <c r="ED41" s="307"/>
      <c r="EE41" s="307"/>
      <c r="EF41" s="307"/>
      <c r="EG41" s="308"/>
      <c r="EH41" s="307"/>
      <c r="EI41" s="308"/>
      <c r="EJ41" s="307"/>
      <c r="EK41" s="308"/>
      <c r="EL41" s="307"/>
      <c r="EM41" s="309"/>
      <c r="EN41" s="86">
        <f>DO41+DQ41+DS41+DU41</f>
        <v>0</v>
      </c>
      <c r="EO41" s="86">
        <f>DP41+DR41+DT41+DV41</f>
        <v>0</v>
      </c>
      <c r="EP41" s="86">
        <f>DQ41+DS41+DU41+DW41+DY41+EA41+EC41+EE41+EG41+EI41+EK41</f>
        <v>0</v>
      </c>
      <c r="EQ41" s="310">
        <v>0</v>
      </c>
      <c r="ER41" s="122" t="e">
        <f t="shared" si="3"/>
        <v>#DIV/0!</v>
      </c>
      <c r="ES41" s="285" t="e">
        <f t="shared" si="5"/>
        <v>#DIV/0!</v>
      </c>
      <c r="ET41" s="286" t="e">
        <f t="shared" si="6"/>
        <v>#DIV/0!</v>
      </c>
      <c r="EU41" s="287" t="e">
        <f t="shared" si="4"/>
        <v>#DIV/0!</v>
      </c>
      <c r="EV41" s="286" t="e">
        <f t="shared" si="7"/>
        <v>#DIV/0!</v>
      </c>
      <c r="EW41" s="461"/>
      <c r="EX41" s="456"/>
      <c r="EY41" s="456" t="s">
        <v>606</v>
      </c>
      <c r="EZ41" s="460"/>
      <c r="FA41" s="510"/>
      <c r="FB41" s="451"/>
    </row>
    <row r="42" spans="1:158" s="49" customFormat="1" ht="30.75" customHeight="1" x14ac:dyDescent="0.25">
      <c r="A42" s="453"/>
      <c r="B42" s="453"/>
      <c r="C42" s="453"/>
      <c r="D42" s="453"/>
      <c r="E42" s="453"/>
      <c r="F42" s="206" t="s">
        <v>4</v>
      </c>
      <c r="G42" s="272">
        <f>AA42+BE42+CH42+CJ42+DN42</f>
        <v>252494775.83041936</v>
      </c>
      <c r="H42" s="107">
        <v>104209010</v>
      </c>
      <c r="I42" s="108">
        <v>0</v>
      </c>
      <c r="J42" s="108">
        <v>0</v>
      </c>
      <c r="K42" s="108">
        <v>0</v>
      </c>
      <c r="L42" s="108">
        <v>0</v>
      </c>
      <c r="M42" s="108">
        <v>0</v>
      </c>
      <c r="N42" s="108">
        <v>0</v>
      </c>
      <c r="O42" s="108">
        <v>0</v>
      </c>
      <c r="P42" s="108">
        <v>0</v>
      </c>
      <c r="Q42" s="108">
        <v>0</v>
      </c>
      <c r="R42" s="108">
        <v>0</v>
      </c>
      <c r="S42" s="108">
        <v>0</v>
      </c>
      <c r="T42" s="107">
        <v>0</v>
      </c>
      <c r="U42" s="119">
        <v>0</v>
      </c>
      <c r="V42" s="119">
        <v>0</v>
      </c>
      <c r="W42" s="107">
        <v>104209010</v>
      </c>
      <c r="X42" s="107">
        <v>104209010</v>
      </c>
      <c r="Y42" s="107">
        <v>0</v>
      </c>
      <c r="Z42" s="107">
        <v>104209010</v>
      </c>
      <c r="AA42" s="108">
        <v>0</v>
      </c>
      <c r="AB42" s="107">
        <v>88778010</v>
      </c>
      <c r="AC42" s="108">
        <v>15431000</v>
      </c>
      <c r="AD42" s="108">
        <v>15431000</v>
      </c>
      <c r="AE42" s="108">
        <v>26156334</v>
      </c>
      <c r="AF42" s="108">
        <f>41587334-AD42</f>
        <v>26156334</v>
      </c>
      <c r="AG42" s="108">
        <v>10660833</v>
      </c>
      <c r="AH42" s="108">
        <f>52248167-AF42-AD42</f>
        <v>10660833</v>
      </c>
      <c r="AI42" s="108">
        <v>15349934</v>
      </c>
      <c r="AJ42" s="108">
        <f>67598101-AH42-AF42-AD42</f>
        <v>15349934</v>
      </c>
      <c r="AK42" s="108">
        <v>1480833</v>
      </c>
      <c r="AL42" s="108">
        <f>69078934-AJ42-AH42-AF42-AD42</f>
        <v>1480833</v>
      </c>
      <c r="AM42" s="108">
        <v>2673933</v>
      </c>
      <c r="AN42" s="108">
        <v>4986645</v>
      </c>
      <c r="AO42" s="108">
        <v>0</v>
      </c>
      <c r="AP42" s="108">
        <v>0</v>
      </c>
      <c r="AQ42" s="108">
        <v>11094200</v>
      </c>
      <c r="AR42" s="108">
        <v>2650000</v>
      </c>
      <c r="AS42" s="108">
        <f>1195077</f>
        <v>1195077</v>
      </c>
      <c r="AT42" s="108">
        <v>0</v>
      </c>
      <c r="AU42" s="108">
        <v>-8431</v>
      </c>
      <c r="AV42" s="108">
        <v>0</v>
      </c>
      <c r="AW42" s="108">
        <v>0</v>
      </c>
      <c r="AX42" s="108">
        <v>2673933</v>
      </c>
      <c r="AY42" s="108">
        <v>0</v>
      </c>
      <c r="AZ42" s="108">
        <v>4255613.8304193616</v>
      </c>
      <c r="BA42" s="117">
        <f>AY42+AW42+AU42+AS42+AQ42+AO42+AM42+AK42+AI42+AG42+AE42+AC42</f>
        <v>84033713</v>
      </c>
      <c r="BB42" s="117">
        <f>AC42+AE42+AG42+AI42+AK42+AM42+AO42+AQ42+AS42+AU42+AW42+AY42</f>
        <v>84033713</v>
      </c>
      <c r="BC42" s="117">
        <f>AD42+AF42+AH42+AJ42+AL42+AN42+AP42+AR42+AT42+AV42+AX42+AZ42</f>
        <v>83645125.830419362</v>
      </c>
      <c r="BD42" s="117">
        <f>AE42+AG42+AI42+AK42+AM42+AO42+AQ42+AS42+AU42+AW42+AY42+AC42</f>
        <v>84033713</v>
      </c>
      <c r="BE42" s="117">
        <f>AD42+AF42+AH42+AJ42+AL42+AN42+AP42+AR42+AT42+AV42+AX42+AZ42</f>
        <v>83645125.830419362</v>
      </c>
      <c r="BF42" s="108">
        <v>169302984</v>
      </c>
      <c r="BG42" s="108">
        <v>6200833</v>
      </c>
      <c r="BH42" s="108"/>
      <c r="BI42" s="108">
        <f>8365466- 453333</f>
        <v>7912133</v>
      </c>
      <c r="BJ42" s="108">
        <v>14024632</v>
      </c>
      <c r="BK42" s="108">
        <v>154736685</v>
      </c>
      <c r="BL42" s="108">
        <v>0</v>
      </c>
      <c r="BM42" s="108"/>
      <c r="BN42" s="108">
        <v>0</v>
      </c>
      <c r="BO42" s="108"/>
      <c r="BP42" s="108">
        <v>0</v>
      </c>
      <c r="BQ42" s="108"/>
      <c r="BR42" s="108">
        <v>0</v>
      </c>
      <c r="BS42" s="108">
        <v>453333</v>
      </c>
      <c r="BT42" s="108">
        <v>154825019</v>
      </c>
      <c r="BU42" s="108">
        <v>0</v>
      </c>
      <c r="BV42" s="108">
        <v>0</v>
      </c>
      <c r="BW42" s="108">
        <v>-453334</v>
      </c>
      <c r="BX42" s="108">
        <v>-1</v>
      </c>
      <c r="BY42" s="108"/>
      <c r="BZ42" s="108"/>
      <c r="CA42" s="108"/>
      <c r="CB42" s="108"/>
      <c r="CC42" s="108"/>
      <c r="CD42" s="108"/>
      <c r="CE42" s="108">
        <f>CC42+CA42+BY42+BW42+BU42+BS42+BQ42+BO42+BM42+BK42+BI42+BG42</f>
        <v>168849650</v>
      </c>
      <c r="CF42" s="108">
        <f>+BG42+BI42+BK42+BM42+BO42+BQ42+BS42+BU42+BW42</f>
        <v>168849650</v>
      </c>
      <c r="CG42" s="108">
        <f>+BH42+BJ42+BL42+BN42+BP42+BR42+BT42+BV42+BX42</f>
        <v>168849650</v>
      </c>
      <c r="CH42" s="107">
        <f>CC42+CA42+BY42+BW42+BU42+BS42+BQ42+BO42+BM42+BK42+BI42+BG42</f>
        <v>168849650</v>
      </c>
      <c r="CI42" s="107">
        <f>+BH42+BJ42+BL42+BN42+BP42+BR42+BT42+BV42+BX42</f>
        <v>168849650</v>
      </c>
      <c r="CJ42" s="108">
        <v>0</v>
      </c>
      <c r="CK42" s="108">
        <v>0</v>
      </c>
      <c r="CL42" s="108">
        <v>0</v>
      </c>
      <c r="CM42" s="108">
        <v>0</v>
      </c>
      <c r="CN42" s="108">
        <v>0</v>
      </c>
      <c r="CO42" s="108">
        <v>0</v>
      </c>
      <c r="CP42" s="108">
        <v>0</v>
      </c>
      <c r="CQ42" s="108">
        <v>0</v>
      </c>
      <c r="CR42" s="108">
        <v>0</v>
      </c>
      <c r="CS42" s="108">
        <v>0</v>
      </c>
      <c r="CT42" s="108">
        <v>0</v>
      </c>
      <c r="CU42" s="108">
        <v>0</v>
      </c>
      <c r="CV42" s="108">
        <v>0</v>
      </c>
      <c r="CW42" s="108">
        <v>0</v>
      </c>
      <c r="CX42" s="108">
        <v>0</v>
      </c>
      <c r="CY42" s="108">
        <v>0</v>
      </c>
      <c r="CZ42" s="108">
        <v>0</v>
      </c>
      <c r="DA42" s="108">
        <v>0</v>
      </c>
      <c r="DB42" s="108">
        <v>0</v>
      </c>
      <c r="DC42" s="108">
        <v>0</v>
      </c>
      <c r="DD42" s="108">
        <v>0</v>
      </c>
      <c r="DE42" s="108">
        <v>0</v>
      </c>
      <c r="DF42" s="108">
        <v>0</v>
      </c>
      <c r="DG42" s="108">
        <v>0</v>
      </c>
      <c r="DH42" s="108">
        <v>0</v>
      </c>
      <c r="DI42" s="107">
        <v>0</v>
      </c>
      <c r="DJ42" s="117">
        <v>0</v>
      </c>
      <c r="DK42" s="117">
        <v>0</v>
      </c>
      <c r="DL42" s="107">
        <v>0</v>
      </c>
      <c r="DM42" s="117">
        <v>0</v>
      </c>
      <c r="DN42" s="108">
        <v>0</v>
      </c>
      <c r="DO42" s="311"/>
      <c r="DP42" s="311"/>
      <c r="DQ42" s="311"/>
      <c r="DR42" s="311"/>
      <c r="DS42" s="311"/>
      <c r="DT42" s="311"/>
      <c r="DU42" s="311"/>
      <c r="DV42" s="311"/>
      <c r="DW42" s="311"/>
      <c r="DX42" s="311"/>
      <c r="DY42" s="311"/>
      <c r="DZ42" s="311"/>
      <c r="EA42" s="311"/>
      <c r="EB42" s="311"/>
      <c r="EC42" s="311"/>
      <c r="ED42" s="311"/>
      <c r="EE42" s="311"/>
      <c r="EF42" s="311"/>
      <c r="EG42" s="311"/>
      <c r="EH42" s="311"/>
      <c r="EI42" s="311"/>
      <c r="EJ42" s="311"/>
      <c r="EK42" s="311"/>
      <c r="EL42" s="311"/>
      <c r="EM42" s="305">
        <f>EI42+EG42+EE42+EC42+EA42+DY42+DW42+DU42+DS42+DQ42+DO42+EK42</f>
        <v>0</v>
      </c>
      <c r="EN42" s="85">
        <f>DO42+DQ42+DS42+DU42</f>
        <v>0</v>
      </c>
      <c r="EO42" s="312">
        <f>DP42+DR42+DT42+DV42</f>
        <v>0</v>
      </c>
      <c r="EP42" s="85">
        <f>DQ42+DS42+DU42+DW42+DY42+EA42+EC42+EE42+EG42+EI42+EK42+DO42</f>
        <v>0</v>
      </c>
      <c r="EQ42" s="87">
        <f>DP42+DR42+DT42+DV42</f>
        <v>0</v>
      </c>
      <c r="ER42" s="122">
        <f t="shared" si="3"/>
        <v>2.2058791090013102E-6</v>
      </c>
      <c r="ES42" s="285">
        <f t="shared" si="5"/>
        <v>1</v>
      </c>
      <c r="ET42" s="286">
        <f t="shared" si="6"/>
        <v>1</v>
      </c>
      <c r="EU42" s="287">
        <f t="shared" si="4"/>
        <v>0.70708532279522918</v>
      </c>
      <c r="EV42" s="286">
        <f t="shared" si="7"/>
        <v>1</v>
      </c>
      <c r="EW42" s="461"/>
      <c r="EX42" s="456"/>
      <c r="EY42" s="456" t="s">
        <v>606</v>
      </c>
      <c r="EZ42" s="460"/>
      <c r="FA42" s="510"/>
      <c r="FB42" s="451"/>
    </row>
    <row r="43" spans="1:158" s="3" customFormat="1" ht="30.75" customHeight="1" thickBot="1" x14ac:dyDescent="0.3">
      <c r="A43" s="453"/>
      <c r="B43" s="453"/>
      <c r="C43" s="453"/>
      <c r="D43" s="453"/>
      <c r="E43" s="453"/>
      <c r="F43" s="205" t="s">
        <v>42</v>
      </c>
      <c r="G43" s="274">
        <f>+G38+G41</f>
        <v>1</v>
      </c>
      <c r="H43" s="379">
        <f>+H38+H41</f>
        <v>1</v>
      </c>
      <c r="I43" s="377"/>
      <c r="J43" s="377"/>
      <c r="K43" s="377"/>
      <c r="L43" s="377"/>
      <c r="M43" s="377"/>
      <c r="N43" s="318"/>
      <c r="O43" s="377"/>
      <c r="P43" s="318"/>
      <c r="Q43" s="377"/>
      <c r="R43" s="378"/>
      <c r="S43" s="377"/>
      <c r="T43" s="318"/>
      <c r="U43" s="377"/>
      <c r="V43" s="377"/>
      <c r="W43" s="379" t="e">
        <f t="shared" ref="W43:AB43" si="52">+W38+W41</f>
        <v>#VALUE!</v>
      </c>
      <c r="X43" s="379" t="e">
        <f t="shared" si="52"/>
        <v>#VALUE!</v>
      </c>
      <c r="Y43" s="379" t="e">
        <f t="shared" si="52"/>
        <v>#VALUE!</v>
      </c>
      <c r="Z43" s="379">
        <f t="shared" si="52"/>
        <v>1</v>
      </c>
      <c r="AA43" s="379">
        <f t="shared" si="52"/>
        <v>1</v>
      </c>
      <c r="AB43" s="379">
        <f t="shared" si="52"/>
        <v>1</v>
      </c>
      <c r="AC43" s="379">
        <f t="shared" ref="AC43:AK43" si="53">+AC38+AC41</f>
        <v>1</v>
      </c>
      <c r="AD43" s="379">
        <f t="shared" si="53"/>
        <v>1</v>
      </c>
      <c r="AE43" s="379">
        <f t="shared" si="53"/>
        <v>1</v>
      </c>
      <c r="AF43" s="379">
        <f t="shared" si="53"/>
        <v>1</v>
      </c>
      <c r="AG43" s="379">
        <f t="shared" si="53"/>
        <v>1</v>
      </c>
      <c r="AH43" s="379">
        <f t="shared" si="53"/>
        <v>1</v>
      </c>
      <c r="AI43" s="379">
        <f t="shared" si="53"/>
        <v>1</v>
      </c>
      <c r="AJ43" s="379">
        <f t="shared" si="53"/>
        <v>1</v>
      </c>
      <c r="AK43" s="379">
        <f t="shared" si="53"/>
        <v>1</v>
      </c>
      <c r="AL43" s="379">
        <f t="shared" ref="AL43:AZ43" si="54">+AL38+AL41</f>
        <v>1</v>
      </c>
      <c r="AM43" s="379">
        <f t="shared" si="54"/>
        <v>1</v>
      </c>
      <c r="AN43" s="379">
        <f t="shared" si="54"/>
        <v>1</v>
      </c>
      <c r="AO43" s="379">
        <f t="shared" si="54"/>
        <v>1</v>
      </c>
      <c r="AP43" s="379">
        <f t="shared" si="54"/>
        <v>1</v>
      </c>
      <c r="AQ43" s="379">
        <f t="shared" si="54"/>
        <v>1</v>
      </c>
      <c r="AR43" s="379">
        <f t="shared" si="54"/>
        <v>1</v>
      </c>
      <c r="AS43" s="379">
        <f t="shared" si="54"/>
        <v>1</v>
      </c>
      <c r="AT43" s="379">
        <f t="shared" si="54"/>
        <v>1</v>
      </c>
      <c r="AU43" s="379">
        <f t="shared" si="54"/>
        <v>1</v>
      </c>
      <c r="AV43" s="379">
        <f t="shared" si="54"/>
        <v>1</v>
      </c>
      <c r="AW43" s="379">
        <f t="shared" si="54"/>
        <v>1</v>
      </c>
      <c r="AX43" s="379">
        <f t="shared" si="54"/>
        <v>1</v>
      </c>
      <c r="AY43" s="379">
        <f t="shared" si="54"/>
        <v>1</v>
      </c>
      <c r="AZ43" s="379">
        <f t="shared" si="54"/>
        <v>1</v>
      </c>
      <c r="BA43" s="379">
        <f t="shared" ref="BA43:CD43" si="55">+BA38+BA41</f>
        <v>1</v>
      </c>
      <c r="BB43" s="379">
        <f t="shared" si="55"/>
        <v>1</v>
      </c>
      <c r="BC43" s="379">
        <f t="shared" si="55"/>
        <v>1</v>
      </c>
      <c r="BD43" s="379">
        <f t="shared" si="55"/>
        <v>1</v>
      </c>
      <c r="BE43" s="379">
        <f t="shared" si="55"/>
        <v>1</v>
      </c>
      <c r="BF43" s="379">
        <f t="shared" si="55"/>
        <v>1</v>
      </c>
      <c r="BG43" s="379">
        <f t="shared" si="55"/>
        <v>1</v>
      </c>
      <c r="BH43" s="379">
        <f t="shared" si="55"/>
        <v>1</v>
      </c>
      <c r="BI43" s="379">
        <f t="shared" ref="BI43:BM44" si="56">+BI38+BI41</f>
        <v>1</v>
      </c>
      <c r="BJ43" s="379">
        <f>+BJ38+BJ41</f>
        <v>1</v>
      </c>
      <c r="BK43" s="379">
        <f t="shared" si="56"/>
        <v>1</v>
      </c>
      <c r="BL43" s="379">
        <f t="shared" si="56"/>
        <v>1</v>
      </c>
      <c r="BM43" s="379">
        <f t="shared" si="56"/>
        <v>1</v>
      </c>
      <c r="BN43" s="379">
        <f t="shared" si="55"/>
        <v>1</v>
      </c>
      <c r="BO43" s="379">
        <f t="shared" si="55"/>
        <v>1</v>
      </c>
      <c r="BP43" s="379">
        <f t="shared" si="55"/>
        <v>1</v>
      </c>
      <c r="BQ43" s="379">
        <f t="shared" si="55"/>
        <v>1</v>
      </c>
      <c r="BR43" s="379">
        <f t="shared" si="55"/>
        <v>1</v>
      </c>
      <c r="BS43" s="379">
        <f t="shared" si="55"/>
        <v>1</v>
      </c>
      <c r="BT43" s="379">
        <f t="shared" si="55"/>
        <v>1</v>
      </c>
      <c r="BU43" s="379">
        <f t="shared" si="55"/>
        <v>1</v>
      </c>
      <c r="BV43" s="379">
        <f t="shared" si="55"/>
        <v>1</v>
      </c>
      <c r="BW43" s="379">
        <f t="shared" si="55"/>
        <v>1</v>
      </c>
      <c r="BX43" s="379">
        <f t="shared" si="55"/>
        <v>1</v>
      </c>
      <c r="BY43" s="379">
        <f t="shared" si="55"/>
        <v>1</v>
      </c>
      <c r="BZ43" s="379">
        <f t="shared" si="55"/>
        <v>0</v>
      </c>
      <c r="CA43" s="379">
        <f t="shared" si="55"/>
        <v>1</v>
      </c>
      <c r="CB43" s="379">
        <f t="shared" si="55"/>
        <v>0</v>
      </c>
      <c r="CC43" s="379">
        <f t="shared" si="55"/>
        <v>1</v>
      </c>
      <c r="CD43" s="379">
        <f t="shared" si="55"/>
        <v>0</v>
      </c>
      <c r="CE43" s="379">
        <f>+CE38+CE41</f>
        <v>1</v>
      </c>
      <c r="CF43" s="379">
        <f>+CF38+CF41</f>
        <v>1</v>
      </c>
      <c r="CG43" s="379">
        <f>+CG38+CG41</f>
        <v>1</v>
      </c>
      <c r="CH43" s="379">
        <f>+CH38+CH41</f>
        <v>1</v>
      </c>
      <c r="CI43" s="379">
        <f>+CI38+CI41</f>
        <v>1</v>
      </c>
      <c r="CJ43" s="361">
        <f t="shared" ref="CJ43:DL44" si="57">+CJ38+CJ41</f>
        <v>1</v>
      </c>
      <c r="CK43" s="361">
        <f t="shared" si="57"/>
        <v>0</v>
      </c>
      <c r="CL43" s="361">
        <f t="shared" si="57"/>
        <v>0</v>
      </c>
      <c r="CM43" s="361">
        <f t="shared" si="57"/>
        <v>0</v>
      </c>
      <c r="CN43" s="361">
        <f t="shared" si="57"/>
        <v>0</v>
      </c>
      <c r="CO43" s="361">
        <f t="shared" si="57"/>
        <v>0</v>
      </c>
      <c r="CP43" s="361">
        <f t="shared" si="57"/>
        <v>0</v>
      </c>
      <c r="CQ43" s="361">
        <f t="shared" si="57"/>
        <v>0</v>
      </c>
      <c r="CR43" s="361">
        <f t="shared" si="57"/>
        <v>0</v>
      </c>
      <c r="CS43" s="361">
        <f t="shared" si="57"/>
        <v>0</v>
      </c>
      <c r="CT43" s="361">
        <f t="shared" si="57"/>
        <v>0</v>
      </c>
      <c r="CU43" s="361">
        <f t="shared" si="57"/>
        <v>0</v>
      </c>
      <c r="CV43" s="361">
        <f t="shared" si="57"/>
        <v>0</v>
      </c>
      <c r="CW43" s="361">
        <f t="shared" si="57"/>
        <v>0</v>
      </c>
      <c r="CX43" s="361">
        <f t="shared" si="57"/>
        <v>0</v>
      </c>
      <c r="CY43" s="361">
        <f t="shared" si="57"/>
        <v>0</v>
      </c>
      <c r="CZ43" s="361">
        <f t="shared" si="57"/>
        <v>0</v>
      </c>
      <c r="DA43" s="361">
        <f t="shared" si="57"/>
        <v>0</v>
      </c>
      <c r="DB43" s="361">
        <f t="shared" si="57"/>
        <v>0</v>
      </c>
      <c r="DC43" s="361">
        <f t="shared" si="57"/>
        <v>0</v>
      </c>
      <c r="DD43" s="361">
        <f t="shared" si="57"/>
        <v>0</v>
      </c>
      <c r="DE43" s="361">
        <f t="shared" si="57"/>
        <v>0</v>
      </c>
      <c r="DF43" s="361">
        <f t="shared" si="57"/>
        <v>0</v>
      </c>
      <c r="DG43" s="361">
        <f t="shared" si="57"/>
        <v>0</v>
      </c>
      <c r="DH43" s="361">
        <f t="shared" si="57"/>
        <v>0</v>
      </c>
      <c r="DI43" s="361">
        <f t="shared" si="57"/>
        <v>0</v>
      </c>
      <c r="DJ43" s="361">
        <f t="shared" si="57"/>
        <v>0</v>
      </c>
      <c r="DK43" s="361">
        <f t="shared" si="57"/>
        <v>0</v>
      </c>
      <c r="DL43" s="361">
        <f t="shared" si="57"/>
        <v>0</v>
      </c>
      <c r="DM43" s="361">
        <f>+DM38+DM41</f>
        <v>0</v>
      </c>
      <c r="DN43" s="361">
        <f>+DN38+DN41</f>
        <v>1</v>
      </c>
      <c r="DO43" s="388"/>
      <c r="DP43" s="388"/>
      <c r="DQ43" s="388"/>
      <c r="DR43" s="388"/>
      <c r="DS43" s="388"/>
      <c r="DT43" s="388"/>
      <c r="DU43" s="388"/>
      <c r="DV43" s="388"/>
      <c r="DW43" s="388"/>
      <c r="DX43" s="388"/>
      <c r="DY43" s="388"/>
      <c r="DZ43" s="388"/>
      <c r="EA43" s="388"/>
      <c r="EB43" s="388"/>
      <c r="EC43" s="388"/>
      <c r="ED43" s="388"/>
      <c r="EE43" s="388"/>
      <c r="EF43" s="388"/>
      <c r="EG43" s="388"/>
      <c r="EH43" s="388"/>
      <c r="EI43" s="388"/>
      <c r="EJ43" s="388"/>
      <c r="EK43" s="388"/>
      <c r="EL43" s="388"/>
      <c r="EM43" s="348">
        <f>EM38+EM41</f>
        <v>0</v>
      </c>
      <c r="EN43" s="349">
        <f>EN38+EN41</f>
        <v>0</v>
      </c>
      <c r="EO43" s="350">
        <f>EO38+EO41</f>
        <v>0</v>
      </c>
      <c r="EP43" s="351">
        <f>EP38+EP41</f>
        <v>0</v>
      </c>
      <c r="EQ43" s="348">
        <f>EQ38+EQ41</f>
        <v>0</v>
      </c>
      <c r="ER43" s="321">
        <f t="shared" si="3"/>
        <v>1</v>
      </c>
      <c r="ES43" s="288">
        <f t="shared" si="5"/>
        <v>1</v>
      </c>
      <c r="ET43" s="289">
        <f t="shared" si="6"/>
        <v>1</v>
      </c>
      <c r="EU43" s="290">
        <f t="shared" si="4"/>
        <v>1</v>
      </c>
      <c r="EV43" s="289">
        <f>+(AA43+BE43+CI43)/500%</f>
        <v>0.6</v>
      </c>
      <c r="EW43" s="461"/>
      <c r="EX43" s="456"/>
      <c r="EY43" s="456" t="s">
        <v>606</v>
      </c>
      <c r="EZ43" s="460"/>
      <c r="FA43" s="510"/>
      <c r="FB43" s="451"/>
    </row>
    <row r="44" spans="1:158" s="49" customFormat="1" ht="30.75" customHeight="1" thickBot="1" x14ac:dyDescent="0.3">
      <c r="A44" s="453"/>
      <c r="B44" s="453"/>
      <c r="C44" s="453"/>
      <c r="D44" s="453"/>
      <c r="E44" s="453"/>
      <c r="F44" s="206" t="s">
        <v>44</v>
      </c>
      <c r="G44" s="275">
        <f>+G39+G42</f>
        <v>3742398819.8304195</v>
      </c>
      <c r="H44" s="363">
        <f>+H39+H42</f>
        <v>507619010</v>
      </c>
      <c r="I44" s="363"/>
      <c r="J44" s="363"/>
      <c r="K44" s="363"/>
      <c r="L44" s="363"/>
      <c r="M44" s="363"/>
      <c r="N44" s="363"/>
      <c r="O44" s="363"/>
      <c r="P44" s="363"/>
      <c r="Q44" s="363"/>
      <c r="R44" s="363"/>
      <c r="S44" s="363"/>
      <c r="T44" s="364"/>
      <c r="U44" s="363"/>
      <c r="V44" s="363"/>
      <c r="W44" s="363">
        <f t="shared" ref="W44:AB44" si="58">+W39+W42</f>
        <v>507619010</v>
      </c>
      <c r="X44" s="363">
        <f t="shared" si="58"/>
        <v>507619010</v>
      </c>
      <c r="Y44" s="363">
        <f t="shared" si="58"/>
        <v>232617000</v>
      </c>
      <c r="Z44" s="363">
        <f t="shared" si="58"/>
        <v>367619010</v>
      </c>
      <c r="AA44" s="363">
        <f t="shared" si="58"/>
        <v>232617000</v>
      </c>
      <c r="AB44" s="363">
        <f t="shared" si="58"/>
        <v>777848010</v>
      </c>
      <c r="AC44" s="363">
        <f t="shared" ref="AC44:AK44" si="59">+AC39+AC42</f>
        <v>15431000</v>
      </c>
      <c r="AD44" s="363">
        <f t="shared" si="59"/>
        <v>15431000</v>
      </c>
      <c r="AE44" s="363">
        <f t="shared" si="59"/>
        <v>60740334</v>
      </c>
      <c r="AF44" s="363">
        <f t="shared" si="59"/>
        <v>60740334</v>
      </c>
      <c r="AG44" s="363">
        <f t="shared" si="59"/>
        <v>319082833</v>
      </c>
      <c r="AH44" s="363">
        <f t="shared" si="59"/>
        <v>319082833</v>
      </c>
      <c r="AI44" s="363">
        <f t="shared" si="59"/>
        <v>17088568</v>
      </c>
      <c r="AJ44" s="363">
        <f t="shared" si="59"/>
        <v>17088568</v>
      </c>
      <c r="AK44" s="363">
        <f t="shared" si="59"/>
        <v>15722777</v>
      </c>
      <c r="AL44" s="363">
        <f t="shared" ref="AL44:AZ44" si="60">+AL39+AL42</f>
        <v>10722777</v>
      </c>
      <c r="AM44" s="363">
        <f t="shared" si="60"/>
        <v>2673933</v>
      </c>
      <c r="AN44" s="363">
        <f t="shared" si="60"/>
        <v>106766359</v>
      </c>
      <c r="AO44" s="363">
        <f t="shared" si="60"/>
        <v>0</v>
      </c>
      <c r="AP44" s="363">
        <f t="shared" si="60"/>
        <v>0</v>
      </c>
      <c r="AQ44" s="363">
        <f t="shared" si="60"/>
        <v>98678807.333333299</v>
      </c>
      <c r="AR44" s="363">
        <f t="shared" si="60"/>
        <v>39414000</v>
      </c>
      <c r="AS44" s="363">
        <f t="shared" si="60"/>
        <v>124099684.3333333</v>
      </c>
      <c r="AT44" s="363">
        <f t="shared" si="60"/>
        <v>0</v>
      </c>
      <c r="AU44" s="363">
        <f t="shared" si="60"/>
        <v>87576176.333333299</v>
      </c>
      <c r="AV44" s="363">
        <f t="shared" si="60"/>
        <v>11769667</v>
      </c>
      <c r="AW44" s="363">
        <f t="shared" si="60"/>
        <v>46164800</v>
      </c>
      <c r="AX44" s="363">
        <f t="shared" si="60"/>
        <v>21995433</v>
      </c>
      <c r="AY44" s="363">
        <f t="shared" si="60"/>
        <v>46164800</v>
      </c>
      <c r="AZ44" s="363">
        <f t="shared" si="60"/>
        <v>184481298.83041936</v>
      </c>
      <c r="BA44" s="363">
        <f t="shared" ref="BA44:CI44" si="61">+BA39+BA42</f>
        <v>833423713</v>
      </c>
      <c r="BB44" s="363">
        <f t="shared" si="61"/>
        <v>833423712.99999988</v>
      </c>
      <c r="BC44" s="363">
        <f t="shared" si="61"/>
        <v>787492269.8304193</v>
      </c>
      <c r="BD44" s="363">
        <f t="shared" si="61"/>
        <v>833423712.99999988</v>
      </c>
      <c r="BE44" s="363">
        <f t="shared" si="61"/>
        <v>787492269.8304193</v>
      </c>
      <c r="BF44" s="363">
        <f t="shared" si="61"/>
        <v>1012534984</v>
      </c>
      <c r="BG44" s="363">
        <f>+BG39+BG42</f>
        <v>468432833</v>
      </c>
      <c r="BH44" s="363">
        <f>+BH39+BH42</f>
        <v>455184000</v>
      </c>
      <c r="BI44" s="363">
        <f t="shared" si="56"/>
        <v>7912133</v>
      </c>
      <c r="BJ44" s="363">
        <f>+BJ39+BJ42</f>
        <v>14024632</v>
      </c>
      <c r="BK44" s="363">
        <f t="shared" si="56"/>
        <v>535736685</v>
      </c>
      <c r="BL44" s="363">
        <f t="shared" si="56"/>
        <v>0</v>
      </c>
      <c r="BM44" s="363">
        <f t="shared" si="56"/>
        <v>0</v>
      </c>
      <c r="BN44" s="363">
        <f t="shared" si="61"/>
        <v>0</v>
      </c>
      <c r="BO44" s="363">
        <f t="shared" si="61"/>
        <v>-7048000</v>
      </c>
      <c r="BP44" s="363">
        <f t="shared" si="61"/>
        <v>0</v>
      </c>
      <c r="BQ44" s="363">
        <f t="shared" si="61"/>
        <v>0</v>
      </c>
      <c r="BR44" s="363">
        <f t="shared" si="61"/>
        <v>0</v>
      </c>
      <c r="BS44" s="363">
        <f t="shared" si="61"/>
        <v>453333</v>
      </c>
      <c r="BT44" s="363">
        <f t="shared" si="61"/>
        <v>154825019</v>
      </c>
      <c r="BU44" s="363">
        <f t="shared" si="61"/>
        <v>60207700</v>
      </c>
      <c r="BV44" s="363">
        <f t="shared" si="61"/>
        <v>14028000</v>
      </c>
      <c r="BW44" s="363">
        <f t="shared" si="61"/>
        <v>49368866</v>
      </c>
      <c r="BX44" s="363">
        <f t="shared" si="61"/>
        <v>19349799</v>
      </c>
      <c r="BY44" s="363">
        <f t="shared" si="61"/>
        <v>0</v>
      </c>
      <c r="BZ44" s="363">
        <f t="shared" si="61"/>
        <v>0</v>
      </c>
      <c r="CA44" s="363">
        <f t="shared" si="61"/>
        <v>0</v>
      </c>
      <c r="CB44" s="363">
        <f t="shared" si="61"/>
        <v>0</v>
      </c>
      <c r="CC44" s="363">
        <f t="shared" si="61"/>
        <v>0</v>
      </c>
      <c r="CD44" s="363">
        <f t="shared" si="61"/>
        <v>0</v>
      </c>
      <c r="CE44" s="363">
        <f t="shared" si="61"/>
        <v>1115063550</v>
      </c>
      <c r="CF44" s="363">
        <f t="shared" si="61"/>
        <v>1115063550</v>
      </c>
      <c r="CG44" s="363">
        <f t="shared" si="61"/>
        <v>657411450</v>
      </c>
      <c r="CH44" s="363">
        <f t="shared" si="61"/>
        <v>1115063550</v>
      </c>
      <c r="CI44" s="363">
        <f t="shared" si="61"/>
        <v>657411450</v>
      </c>
      <c r="CJ44" s="363">
        <f t="shared" si="57"/>
        <v>758837000</v>
      </c>
      <c r="CK44" s="363">
        <f t="shared" si="57"/>
        <v>0</v>
      </c>
      <c r="CL44" s="363">
        <f t="shared" si="57"/>
        <v>0</v>
      </c>
      <c r="CM44" s="363">
        <f t="shared" si="57"/>
        <v>0</v>
      </c>
      <c r="CN44" s="363">
        <f t="shared" si="57"/>
        <v>0</v>
      </c>
      <c r="CO44" s="363">
        <f t="shared" si="57"/>
        <v>0</v>
      </c>
      <c r="CP44" s="363">
        <f t="shared" si="57"/>
        <v>0</v>
      </c>
      <c r="CQ44" s="363">
        <f t="shared" si="57"/>
        <v>0</v>
      </c>
      <c r="CR44" s="363">
        <f t="shared" si="57"/>
        <v>0</v>
      </c>
      <c r="CS44" s="363">
        <f t="shared" si="57"/>
        <v>0</v>
      </c>
      <c r="CT44" s="363">
        <f t="shared" si="57"/>
        <v>0</v>
      </c>
      <c r="CU44" s="363">
        <f t="shared" si="57"/>
        <v>0</v>
      </c>
      <c r="CV44" s="363">
        <f t="shared" si="57"/>
        <v>0</v>
      </c>
      <c r="CW44" s="363">
        <f t="shared" si="57"/>
        <v>0</v>
      </c>
      <c r="CX44" s="363">
        <f t="shared" si="57"/>
        <v>0</v>
      </c>
      <c r="CY44" s="363">
        <f t="shared" si="57"/>
        <v>0</v>
      </c>
      <c r="CZ44" s="363">
        <f t="shared" si="57"/>
        <v>0</v>
      </c>
      <c r="DA44" s="363">
        <f t="shared" si="57"/>
        <v>0</v>
      </c>
      <c r="DB44" s="363">
        <f t="shared" si="57"/>
        <v>0</v>
      </c>
      <c r="DC44" s="363">
        <f t="shared" si="57"/>
        <v>0</v>
      </c>
      <c r="DD44" s="363">
        <f t="shared" si="57"/>
        <v>0</v>
      </c>
      <c r="DE44" s="363">
        <f t="shared" si="57"/>
        <v>0</v>
      </c>
      <c r="DF44" s="363">
        <f t="shared" si="57"/>
        <v>0</v>
      </c>
      <c r="DG44" s="363">
        <f t="shared" si="57"/>
        <v>0</v>
      </c>
      <c r="DH44" s="363">
        <f t="shared" si="57"/>
        <v>0</v>
      </c>
      <c r="DI44" s="363">
        <f t="shared" si="57"/>
        <v>0</v>
      </c>
      <c r="DJ44" s="363">
        <f t="shared" si="57"/>
        <v>0</v>
      </c>
      <c r="DK44" s="363">
        <f t="shared" si="57"/>
        <v>0</v>
      </c>
      <c r="DL44" s="363">
        <f t="shared" si="57"/>
        <v>0</v>
      </c>
      <c r="DM44" s="363">
        <f>+DM39+DM42</f>
        <v>0</v>
      </c>
      <c r="DN44" s="363">
        <f>+DN39+DN42</f>
        <v>848389000</v>
      </c>
      <c r="DO44" s="389"/>
      <c r="DP44" s="389"/>
      <c r="DQ44" s="389"/>
      <c r="DR44" s="389"/>
      <c r="DS44" s="389"/>
      <c r="DT44" s="389"/>
      <c r="DU44" s="389"/>
      <c r="DV44" s="389"/>
      <c r="DW44" s="389"/>
      <c r="DX44" s="389"/>
      <c r="DY44" s="389"/>
      <c r="DZ44" s="389"/>
      <c r="EA44" s="389"/>
      <c r="EB44" s="389"/>
      <c r="EC44" s="389"/>
      <c r="ED44" s="389"/>
      <c r="EE44" s="389"/>
      <c r="EF44" s="389"/>
      <c r="EG44" s="389"/>
      <c r="EH44" s="389"/>
      <c r="EI44" s="389"/>
      <c r="EJ44" s="389"/>
      <c r="EK44" s="389"/>
      <c r="EL44" s="389"/>
      <c r="EM44" s="343">
        <f>EK44+EI44+EG44+EE44+EC44+EA44+DY44+DW44+DU44+DS44+DQ44+DO44</f>
        <v>0</v>
      </c>
      <c r="EN44" s="344">
        <f>+EN39+EN42</f>
        <v>0</v>
      </c>
      <c r="EO44" s="344">
        <f>+EO39+EO42</f>
        <v>0</v>
      </c>
      <c r="EP44" s="344">
        <f>+EP39+EP42</f>
        <v>0</v>
      </c>
      <c r="EQ44" s="344">
        <f>+EQ39+EQ42</f>
        <v>0</v>
      </c>
      <c r="ER44" s="334">
        <f t="shared" si="3"/>
        <v>0.3919433555553008</v>
      </c>
      <c r="ES44" s="291">
        <f t="shared" si="5"/>
        <v>0.58957307859269548</v>
      </c>
      <c r="ET44" s="292">
        <f t="shared" si="6"/>
        <v>0.58957307859269548</v>
      </c>
      <c r="EU44" s="293">
        <f t="shared" si="4"/>
        <v>0.7242848652439271</v>
      </c>
      <c r="EV44" s="294">
        <f t="shared" si="7"/>
        <v>0.44824744785122428</v>
      </c>
      <c r="EW44" s="461"/>
      <c r="EX44" s="457"/>
      <c r="EY44" s="457" t="s">
        <v>606</v>
      </c>
      <c r="EZ44" s="460"/>
      <c r="FA44" s="510"/>
      <c r="FB44" s="451"/>
    </row>
    <row r="45" spans="1:158" s="3" customFormat="1" ht="30.75" customHeight="1" x14ac:dyDescent="0.25">
      <c r="A45" s="453" t="s">
        <v>307</v>
      </c>
      <c r="B45" s="453">
        <v>6</v>
      </c>
      <c r="C45" s="453" t="s">
        <v>312</v>
      </c>
      <c r="D45" s="453" t="s">
        <v>266</v>
      </c>
      <c r="E45" s="453">
        <v>268</v>
      </c>
      <c r="F45" s="205" t="s">
        <v>40</v>
      </c>
      <c r="G45" s="279">
        <f>+AA45+BD45+BF45+CJ45+DN45</f>
        <v>7948</v>
      </c>
      <c r="H45" s="327">
        <v>1292</v>
      </c>
      <c r="I45" s="327"/>
      <c r="J45" s="327"/>
      <c r="K45" s="327"/>
      <c r="L45" s="327"/>
      <c r="M45" s="327"/>
      <c r="N45" s="327"/>
      <c r="O45" s="327"/>
      <c r="P45" s="327"/>
      <c r="Q45" s="327"/>
      <c r="R45" s="327"/>
      <c r="S45" s="327"/>
      <c r="T45" s="327"/>
      <c r="U45" s="327"/>
      <c r="V45" s="327"/>
      <c r="W45" s="327">
        <v>1292</v>
      </c>
      <c r="X45" s="327">
        <v>1292</v>
      </c>
      <c r="Y45" s="327">
        <v>1292</v>
      </c>
      <c r="Z45" s="327">
        <v>1292</v>
      </c>
      <c r="AA45" s="327">
        <v>1292</v>
      </c>
      <c r="AB45" s="327">
        <v>759</v>
      </c>
      <c r="AC45" s="327">
        <v>51</v>
      </c>
      <c r="AD45" s="327">
        <v>278</v>
      </c>
      <c r="AE45" s="327">
        <v>66</v>
      </c>
      <c r="AF45" s="327">
        <v>211</v>
      </c>
      <c r="AG45" s="327">
        <v>66</v>
      </c>
      <c r="AH45" s="327">
        <v>837</v>
      </c>
      <c r="AI45" s="327">
        <v>473</v>
      </c>
      <c r="AJ45" s="327">
        <v>488</v>
      </c>
      <c r="AK45" s="327">
        <v>2050</v>
      </c>
      <c r="AL45" s="327">
        <v>892</v>
      </c>
      <c r="AM45" s="327">
        <v>295</v>
      </c>
      <c r="AN45" s="327">
        <v>798</v>
      </c>
      <c r="AO45" s="327">
        <v>295</v>
      </c>
      <c r="AP45" s="327">
        <v>265</v>
      </c>
      <c r="AQ45" s="327">
        <v>295</v>
      </c>
      <c r="AR45" s="327">
        <v>203</v>
      </c>
      <c r="AS45" s="327">
        <v>295</v>
      </c>
      <c r="AT45" s="327">
        <v>294</v>
      </c>
      <c r="AU45" s="327">
        <v>295</v>
      </c>
      <c r="AV45" s="327">
        <v>575</v>
      </c>
      <c r="AW45" s="327">
        <v>295</v>
      </c>
      <c r="AX45" s="327">
        <v>57</v>
      </c>
      <c r="AY45" s="327">
        <f>231+243</f>
        <v>474</v>
      </c>
      <c r="AZ45" s="327">
        <v>52</v>
      </c>
      <c r="BA45" s="342">
        <f>AY45+AW45+AU45+AS45+AQ45+AO45+AM45+AK45+AI45+AG45+AE45+AC45</f>
        <v>4950</v>
      </c>
      <c r="BB45" s="342">
        <f t="shared" ref="BB45:BC49" si="62">AC45+AE45+AG45+AI45+AK45+AM45+AO45+AQ45+AS45+AU45+AW45+AY45</f>
        <v>4950</v>
      </c>
      <c r="BC45" s="342">
        <f t="shared" si="62"/>
        <v>4950</v>
      </c>
      <c r="BD45" s="342">
        <f>AE45+AG45+AI45+AK45+AM45+AO45+AQ45+AS45+AU45+AW45+AY45+AC45</f>
        <v>4950</v>
      </c>
      <c r="BE45" s="342">
        <f>AD45+AF45+AH45+AJ45+AL45+AN45+AP45+AR45+AT45+AV45+AX45+AZ45</f>
        <v>4950</v>
      </c>
      <c r="BF45" s="327">
        <v>1097</v>
      </c>
      <c r="BG45" s="327">
        <v>85</v>
      </c>
      <c r="BH45" s="327">
        <v>0</v>
      </c>
      <c r="BI45" s="327">
        <v>92</v>
      </c>
      <c r="BJ45" s="327">
        <v>32</v>
      </c>
      <c r="BK45" s="327">
        <v>92</v>
      </c>
      <c r="BL45" s="327">
        <v>55</v>
      </c>
      <c r="BM45" s="327">
        <v>92</v>
      </c>
      <c r="BN45" s="327">
        <v>110</v>
      </c>
      <c r="BO45" s="327">
        <v>92</v>
      </c>
      <c r="BP45" s="327">
        <v>263</v>
      </c>
      <c r="BQ45" s="327">
        <v>99</v>
      </c>
      <c r="BR45" s="327">
        <v>87</v>
      </c>
      <c r="BS45" s="327">
        <v>92</v>
      </c>
      <c r="BT45" s="327">
        <v>65</v>
      </c>
      <c r="BU45" s="327">
        <v>92</v>
      </c>
      <c r="BV45" s="327">
        <v>99</v>
      </c>
      <c r="BW45" s="327">
        <v>92</v>
      </c>
      <c r="BX45" s="327">
        <v>171</v>
      </c>
      <c r="BY45" s="327">
        <v>92</v>
      </c>
      <c r="BZ45" s="327"/>
      <c r="CA45" s="327">
        <v>92</v>
      </c>
      <c r="CB45" s="327"/>
      <c r="CC45" s="327">
        <v>85</v>
      </c>
      <c r="CD45" s="327"/>
      <c r="CE45" s="323">
        <f>CC45+CA45+BY45+BW45+BU45+BS45+BQ45+BO45+BM45+BK45+BI45+BG45</f>
        <v>1097</v>
      </c>
      <c r="CF45" s="323">
        <f t="shared" ref="CF45:CG49" si="63">+BG45+BI45+BK45+BM45+BO45+BQ45+BS45+BU45+BW45</f>
        <v>828</v>
      </c>
      <c r="CG45" s="324">
        <f t="shared" si="63"/>
        <v>882</v>
      </c>
      <c r="CH45" s="324">
        <f>CC45+CA45+BY45+BW45+BU45+BS45+BQ45+BO45+BM45+BK45+BI45+BG45</f>
        <v>1097</v>
      </c>
      <c r="CI45" s="324">
        <f>+BH45+BJ45+BL45+BN45+BP45+BR45+BT45+BV45+BX45</f>
        <v>882</v>
      </c>
      <c r="CJ45" s="370">
        <v>370</v>
      </c>
      <c r="CK45" s="370"/>
      <c r="CL45" s="370"/>
      <c r="CM45" s="370"/>
      <c r="CN45" s="370"/>
      <c r="CO45" s="370"/>
      <c r="CP45" s="370"/>
      <c r="CQ45" s="370"/>
      <c r="CR45" s="370"/>
      <c r="CS45" s="370"/>
      <c r="CT45" s="370"/>
      <c r="CU45" s="370"/>
      <c r="CV45" s="370"/>
      <c r="CW45" s="370"/>
      <c r="CX45" s="370"/>
      <c r="CY45" s="370"/>
      <c r="CZ45" s="370"/>
      <c r="DA45" s="370"/>
      <c r="DB45" s="370"/>
      <c r="DC45" s="370"/>
      <c r="DD45" s="370"/>
      <c r="DE45" s="370"/>
      <c r="DF45" s="370"/>
      <c r="DG45" s="370"/>
      <c r="DH45" s="370"/>
      <c r="DI45" s="370">
        <v>0</v>
      </c>
      <c r="DJ45" s="370">
        <v>0</v>
      </c>
      <c r="DK45" s="370">
        <v>0</v>
      </c>
      <c r="DL45" s="352">
        <v>0</v>
      </c>
      <c r="DM45" s="370">
        <v>0</v>
      </c>
      <c r="DN45" s="370">
        <f>482-243</f>
        <v>239</v>
      </c>
      <c r="DO45" s="336"/>
      <c r="DP45" s="336"/>
      <c r="DQ45" s="336"/>
      <c r="DR45" s="336"/>
      <c r="DS45" s="336"/>
      <c r="DT45" s="336"/>
      <c r="DU45" s="336"/>
      <c r="DV45" s="336"/>
      <c r="DW45" s="336"/>
      <c r="DX45" s="336"/>
      <c r="DY45" s="336"/>
      <c r="DZ45" s="336"/>
      <c r="EA45" s="336"/>
      <c r="EB45" s="336"/>
      <c r="EC45" s="336"/>
      <c r="ED45" s="336"/>
      <c r="EE45" s="336"/>
      <c r="EF45" s="336"/>
      <c r="EG45" s="337"/>
      <c r="EH45" s="337"/>
      <c r="EI45" s="337"/>
      <c r="EJ45" s="337"/>
      <c r="EK45" s="337"/>
      <c r="EL45" s="337"/>
      <c r="EM45" s="382">
        <f>EK45+EI45+EG45+EE45+EC45+EA45+DY45+DW45+DU45+DS45+DQ45+DO45</f>
        <v>0</v>
      </c>
      <c r="EN45" s="337">
        <f t="shared" ref="EN45:EN50" si="64">DO45+DQ45+DS45+DU45</f>
        <v>0</v>
      </c>
      <c r="EO45" s="337">
        <f t="shared" ref="EO45:EO50" si="65">DP45+DR45+DT45+DV45</f>
        <v>0</v>
      </c>
      <c r="EP45" s="338">
        <f>DQ45+DS45+DU45+DW45+DY45+EA45+EC45+EE45+EG45+EI45+EK45+DO45</f>
        <v>0</v>
      </c>
      <c r="EQ45" s="337">
        <f>DP45+DR45+DT45+DV45</f>
        <v>0</v>
      </c>
      <c r="ER45" s="329">
        <f t="shared" si="3"/>
        <v>1.8586956521739131</v>
      </c>
      <c r="ES45" s="295">
        <f t="shared" si="5"/>
        <v>1.0652173913043479</v>
      </c>
      <c r="ET45" s="296">
        <f t="shared" si="6"/>
        <v>0.80401093892433906</v>
      </c>
      <c r="EU45" s="297">
        <f t="shared" si="4"/>
        <v>1.0076379066478076</v>
      </c>
      <c r="EV45" s="296">
        <f t="shared" si="7"/>
        <v>0.89632611977856069</v>
      </c>
      <c r="EW45" s="458" t="s">
        <v>681</v>
      </c>
      <c r="EX45" s="458" t="s">
        <v>606</v>
      </c>
      <c r="EY45" s="458" t="s">
        <v>606</v>
      </c>
      <c r="EZ45" s="458" t="s">
        <v>567</v>
      </c>
      <c r="FA45" s="458" t="s">
        <v>337</v>
      </c>
      <c r="FB45" s="451"/>
    </row>
    <row r="46" spans="1:158" s="56" customFormat="1" ht="30.75" customHeight="1" x14ac:dyDescent="0.25">
      <c r="A46" s="453"/>
      <c r="B46" s="453"/>
      <c r="C46" s="453"/>
      <c r="D46" s="453"/>
      <c r="E46" s="453"/>
      <c r="F46" s="206" t="s">
        <v>3</v>
      </c>
      <c r="G46" s="272">
        <f>AA46+BE46+CH46+CJ46+DN46</f>
        <v>6720766997</v>
      </c>
      <c r="H46" s="107">
        <v>658814131</v>
      </c>
      <c r="I46" s="117"/>
      <c r="J46" s="117"/>
      <c r="K46" s="117"/>
      <c r="L46" s="117"/>
      <c r="M46" s="117"/>
      <c r="N46" s="117"/>
      <c r="O46" s="117"/>
      <c r="P46" s="117"/>
      <c r="Q46" s="117"/>
      <c r="R46" s="117"/>
      <c r="S46" s="117"/>
      <c r="T46" s="107"/>
      <c r="U46" s="107"/>
      <c r="V46" s="107"/>
      <c r="W46" s="107">
        <v>658814131</v>
      </c>
      <c r="X46" s="107">
        <v>658814131</v>
      </c>
      <c r="Y46" s="107">
        <v>644978000</v>
      </c>
      <c r="Z46" s="107">
        <v>658814131</v>
      </c>
      <c r="AA46" s="107">
        <v>644978000</v>
      </c>
      <c r="AB46" s="107">
        <v>1294148000</v>
      </c>
      <c r="AC46" s="117">
        <v>0</v>
      </c>
      <c r="AD46" s="107">
        <v>0</v>
      </c>
      <c r="AE46" s="107">
        <v>385283000</v>
      </c>
      <c r="AF46" s="107">
        <f>385283000-AD46</f>
        <v>385283000</v>
      </c>
      <c r="AG46" s="107">
        <v>752696000</v>
      </c>
      <c r="AH46" s="107">
        <f>1137979000-AF46-AD46</f>
        <v>752696000</v>
      </c>
      <c r="AI46" s="107">
        <v>0</v>
      </c>
      <c r="AJ46" s="107">
        <f>1137979000-AH46-AF46-AD46</f>
        <v>0</v>
      </c>
      <c r="AK46" s="117">
        <v>24066000</v>
      </c>
      <c r="AL46" s="117">
        <f>1162045000-AJ46-AH46-AF46-AD46</f>
        <v>24066000</v>
      </c>
      <c r="AM46" s="117">
        <v>0</v>
      </c>
      <c r="AN46" s="117">
        <v>0</v>
      </c>
      <c r="AO46" s="117">
        <v>0</v>
      </c>
      <c r="AP46" s="117">
        <v>0</v>
      </c>
      <c r="AQ46" s="117">
        <v>44034333.333333336</v>
      </c>
      <c r="AR46" s="117">
        <v>0</v>
      </c>
      <c r="AS46" s="117">
        <v>44034333.333333336</v>
      </c>
      <c r="AT46" s="117">
        <v>24595500</v>
      </c>
      <c r="AU46" s="117">
        <v>44034333.333333336</v>
      </c>
      <c r="AV46" s="117">
        <v>15965667</v>
      </c>
      <c r="AW46" s="117">
        <v>0</v>
      </c>
      <c r="AX46" s="117">
        <v>61570599</v>
      </c>
      <c r="AY46" s="117">
        <v>0</v>
      </c>
      <c r="AZ46" s="117">
        <v>8140033</v>
      </c>
      <c r="BA46" s="107">
        <f>AY46+AW46+AU46+AS46+AQ46+AO46+AM46+AK46+AI46+AG46+AE46+AC46</f>
        <v>1294148000</v>
      </c>
      <c r="BB46" s="107">
        <f t="shared" si="62"/>
        <v>1294147999.9999998</v>
      </c>
      <c r="BC46" s="107">
        <f t="shared" si="62"/>
        <v>1272316799</v>
      </c>
      <c r="BD46" s="107">
        <f>AE46+AG46+AI46+AK46+AM46+AO46+AQ46+AS46+AU46+AW46+AY46+AC46</f>
        <v>1294147999.9999998</v>
      </c>
      <c r="BE46" s="107">
        <f>AD46+AF46+AH46+AJ46+AL46+AN46+AP46+AR46+AT46+AV46+AX46+AZ46</f>
        <v>1272316799</v>
      </c>
      <c r="BF46" s="107">
        <v>1568833000</v>
      </c>
      <c r="BG46" s="117">
        <v>1443681000</v>
      </c>
      <c r="BH46" s="117">
        <v>1487818000</v>
      </c>
      <c r="BI46" s="117">
        <v>0</v>
      </c>
      <c r="BJ46" s="117">
        <v>0</v>
      </c>
      <c r="BK46" s="117">
        <f>82874000+ 48160000</f>
        <v>131034000</v>
      </c>
      <c r="BL46" s="117">
        <v>0</v>
      </c>
      <c r="BM46" s="117">
        <v>0</v>
      </c>
      <c r="BN46" s="117">
        <v>0</v>
      </c>
      <c r="BO46" s="117">
        <v>7048000</v>
      </c>
      <c r="BP46" s="117">
        <v>0</v>
      </c>
      <c r="BQ46" s="117">
        <v>7278000</v>
      </c>
      <c r="BR46" s="117">
        <v>6020000</v>
      </c>
      <c r="BS46" s="117">
        <v>0</v>
      </c>
      <c r="BT46" s="117">
        <v>0</v>
      </c>
      <c r="BU46" s="117">
        <v>0</v>
      </c>
      <c r="BV46" s="117">
        <v>0</v>
      </c>
      <c r="BW46" s="117">
        <f>35000000+213822900</f>
        <v>248822900</v>
      </c>
      <c r="BX46" s="117">
        <v>47940200</v>
      </c>
      <c r="BY46" s="117">
        <v>7442298</v>
      </c>
      <c r="BZ46" s="117"/>
      <c r="CA46" s="117">
        <v>0</v>
      </c>
      <c r="CB46" s="117"/>
      <c r="CC46" s="117">
        <v>0</v>
      </c>
      <c r="CD46" s="117"/>
      <c r="CE46" s="108">
        <f>CC46+CA46+BY46+BW46+BU46+BS46+BQ46+BO46+BM46+BK46+BI46+BG46</f>
        <v>1845306198</v>
      </c>
      <c r="CF46" s="108">
        <f t="shared" si="63"/>
        <v>1837863900</v>
      </c>
      <c r="CG46" s="107">
        <f t="shared" si="63"/>
        <v>1541778200</v>
      </c>
      <c r="CH46" s="107">
        <f>CC46+CA46+BY46+BW46+BU46+BS46+BQ46+BO46+BM46+BK46+BI46+BG46</f>
        <v>1845306198</v>
      </c>
      <c r="CI46" s="107">
        <f>+BH46+BJ46+BL46+BN46+BP46+BR46+BT46+BV46+BX46</f>
        <v>1541778200</v>
      </c>
      <c r="CJ46" s="117">
        <v>1939781000</v>
      </c>
      <c r="CK46" s="117"/>
      <c r="CL46" s="117"/>
      <c r="CM46" s="117"/>
      <c r="CN46" s="117"/>
      <c r="CO46" s="117"/>
      <c r="CP46" s="117"/>
      <c r="CQ46" s="117"/>
      <c r="CR46" s="117"/>
      <c r="CS46" s="117"/>
      <c r="CT46" s="117"/>
      <c r="CU46" s="117"/>
      <c r="CV46" s="117"/>
      <c r="CW46" s="117"/>
      <c r="CX46" s="117"/>
      <c r="CY46" s="117"/>
      <c r="CZ46" s="117"/>
      <c r="DA46" s="117"/>
      <c r="DB46" s="117"/>
      <c r="DC46" s="117"/>
      <c r="DD46" s="117"/>
      <c r="DE46" s="117"/>
      <c r="DF46" s="117"/>
      <c r="DG46" s="117"/>
      <c r="DH46" s="117"/>
      <c r="DI46" s="107"/>
      <c r="DJ46" s="117"/>
      <c r="DK46" s="117"/>
      <c r="DL46" s="107"/>
      <c r="DM46" s="117"/>
      <c r="DN46" s="117">
        <v>1018385000</v>
      </c>
      <c r="DO46" s="67"/>
      <c r="DP46" s="67"/>
      <c r="DQ46" s="67"/>
      <c r="DR46" s="67"/>
      <c r="DS46" s="67"/>
      <c r="DT46" s="67"/>
      <c r="DU46" s="67"/>
      <c r="DV46" s="67"/>
      <c r="DW46" s="67"/>
      <c r="DX46" s="67"/>
      <c r="DY46" s="67"/>
      <c r="DZ46" s="67"/>
      <c r="EA46" s="67"/>
      <c r="EB46" s="67"/>
      <c r="EC46" s="67"/>
      <c r="ED46" s="67"/>
      <c r="EE46" s="67"/>
      <c r="EF46" s="67"/>
      <c r="EG46" s="67"/>
      <c r="EH46" s="67"/>
      <c r="EI46" s="67"/>
      <c r="EJ46" s="67"/>
      <c r="EK46" s="67"/>
      <c r="EL46" s="67"/>
      <c r="EM46" s="305">
        <f>EK46+EI46+EG46+EE46+EC46+EA46+DY46+DW46+DU46+DS46+DQ46+DO46</f>
        <v>0</v>
      </c>
      <c r="EN46" s="87">
        <f t="shared" si="64"/>
        <v>0</v>
      </c>
      <c r="EO46" s="87">
        <f t="shared" si="65"/>
        <v>0</v>
      </c>
      <c r="EP46" s="88">
        <f>DQ46+DS46+DU46+DW46+DY46+EA46+EC46+EE46+EG46+EI46+EK46+DO46</f>
        <v>0</v>
      </c>
      <c r="EQ46" s="87">
        <f>DP46+DR46+DT46+DV46</f>
        <v>0</v>
      </c>
      <c r="ER46" s="122">
        <f t="shared" si="3"/>
        <v>0.19266795781256468</v>
      </c>
      <c r="ES46" s="285">
        <f t="shared" si="5"/>
        <v>0.83889683017333327</v>
      </c>
      <c r="ET46" s="286">
        <f t="shared" si="6"/>
        <v>0.83551347828941724</v>
      </c>
      <c r="EU46" s="287">
        <f t="shared" si="4"/>
        <v>0.91248529231174313</v>
      </c>
      <c r="EV46" s="286">
        <f t="shared" si="7"/>
        <v>0.51468426156479652</v>
      </c>
      <c r="EW46" s="458"/>
      <c r="EX46" s="458" t="s">
        <v>606</v>
      </c>
      <c r="EY46" s="458" t="s">
        <v>606</v>
      </c>
      <c r="EZ46" s="458"/>
      <c r="FA46" s="458"/>
      <c r="FB46" s="451"/>
    </row>
    <row r="47" spans="1:158" s="56" customFormat="1" ht="30.75" customHeight="1" x14ac:dyDescent="0.25">
      <c r="A47" s="453"/>
      <c r="B47" s="453"/>
      <c r="C47" s="453"/>
      <c r="D47" s="453"/>
      <c r="E47" s="453"/>
      <c r="F47" s="207" t="s">
        <v>216</v>
      </c>
      <c r="G47" s="281"/>
      <c r="H47" s="107"/>
      <c r="I47" s="117"/>
      <c r="J47" s="117"/>
      <c r="K47" s="117"/>
      <c r="L47" s="117"/>
      <c r="M47" s="117"/>
      <c r="N47" s="117"/>
      <c r="O47" s="117"/>
      <c r="P47" s="117"/>
      <c r="Q47" s="117"/>
      <c r="R47" s="117"/>
      <c r="S47" s="117"/>
      <c r="T47" s="107"/>
      <c r="U47" s="107"/>
      <c r="V47" s="107"/>
      <c r="W47" s="107"/>
      <c r="X47" s="107"/>
      <c r="Y47" s="107"/>
      <c r="Z47" s="107"/>
      <c r="AA47" s="107"/>
      <c r="AB47" s="107"/>
      <c r="AC47" s="117">
        <v>0</v>
      </c>
      <c r="AD47" s="117">
        <v>0</v>
      </c>
      <c r="AE47" s="107">
        <v>0</v>
      </c>
      <c r="AF47" s="107">
        <v>0</v>
      </c>
      <c r="AG47" s="107">
        <v>2672200</v>
      </c>
      <c r="AH47" s="107">
        <v>2672200</v>
      </c>
      <c r="AI47" s="107">
        <v>50155734</v>
      </c>
      <c r="AJ47" s="107">
        <f>52827934-AH47</f>
        <v>50155734</v>
      </c>
      <c r="AK47" s="117">
        <v>112069567</v>
      </c>
      <c r="AL47" s="117">
        <f>164897501-AJ47-AH47</f>
        <v>112069567</v>
      </c>
      <c r="AM47" s="117">
        <v>153388400</v>
      </c>
      <c r="AN47" s="117">
        <v>153388400</v>
      </c>
      <c r="AO47" s="117">
        <v>0</v>
      </c>
      <c r="AP47" s="117">
        <v>133716400</v>
      </c>
      <c r="AQ47" s="117">
        <v>0</v>
      </c>
      <c r="AR47" s="117">
        <v>134296967</v>
      </c>
      <c r="AS47" s="117">
        <v>0</v>
      </c>
      <c r="AT47" s="117">
        <v>143750933</v>
      </c>
      <c r="AU47" s="117">
        <v>0</v>
      </c>
      <c r="AV47" s="117">
        <v>139067500</v>
      </c>
      <c r="AW47" s="117">
        <v>0</v>
      </c>
      <c r="AX47" s="117">
        <v>120979400</v>
      </c>
      <c r="AY47" s="117">
        <v>0</v>
      </c>
      <c r="AZ47" s="117">
        <v>168419156</v>
      </c>
      <c r="BA47" s="107">
        <f>AY47+AW47+AU47+AS47+AQ47+AO47+AM47+AK47+AI47+AG47+AE47+AC47</f>
        <v>318285901</v>
      </c>
      <c r="BB47" s="107">
        <f t="shared" si="62"/>
        <v>318285901</v>
      </c>
      <c r="BC47" s="107">
        <f t="shared" si="62"/>
        <v>1158516257</v>
      </c>
      <c r="BD47" s="107">
        <f>AE47+AG47+AI47+AK47+AM47+AO47+AQ47+AS47+AU47+AW47+AY47+AC47</f>
        <v>318285901</v>
      </c>
      <c r="BE47" s="107">
        <f>AD47+AF47+AH47+AJ47+AL47+AN47+AP47+AR47+AT47+AV47+AX47+AZ47</f>
        <v>1158516257</v>
      </c>
      <c r="BF47" s="117">
        <v>0</v>
      </c>
      <c r="BG47" s="117">
        <v>0</v>
      </c>
      <c r="BH47" s="117">
        <v>0</v>
      </c>
      <c r="BI47" s="117"/>
      <c r="BJ47" s="117">
        <v>13187899</v>
      </c>
      <c r="BK47" s="117"/>
      <c r="BL47" s="117">
        <v>121091401</v>
      </c>
      <c r="BM47" s="117"/>
      <c r="BN47" s="117">
        <v>139007700</v>
      </c>
      <c r="BO47" s="117"/>
      <c r="BP47" s="117">
        <v>162956333</v>
      </c>
      <c r="BQ47" s="117"/>
      <c r="BR47" s="117">
        <v>159505900</v>
      </c>
      <c r="BS47" s="117"/>
      <c r="BT47" s="117">
        <v>149244000</v>
      </c>
      <c r="BU47" s="117">
        <v>0</v>
      </c>
      <c r="BV47" s="117">
        <v>136416000</v>
      </c>
      <c r="BW47" s="117">
        <v>0</v>
      </c>
      <c r="BX47" s="117">
        <v>174495600</v>
      </c>
      <c r="BY47" s="117"/>
      <c r="BZ47" s="117"/>
      <c r="CA47" s="117"/>
      <c r="CB47" s="117"/>
      <c r="CC47" s="117"/>
      <c r="CD47" s="117"/>
      <c r="CE47" s="108">
        <f>CC47+CA47+BY47+BW47+BU47+BS47+BQ47+BO47+BM47+BK47+BI47+BG47</f>
        <v>0</v>
      </c>
      <c r="CF47" s="108">
        <f t="shared" si="63"/>
        <v>0</v>
      </c>
      <c r="CG47" s="107">
        <f t="shared" si="63"/>
        <v>1055904833</v>
      </c>
      <c r="CH47" s="107">
        <f>CC47+CA47+BY47+BW47+BU47+BS47+BQ47+BO47+BM47+BK47+BI47+BG47</f>
        <v>0</v>
      </c>
      <c r="CI47" s="107">
        <f>+BH47+BJ47+BL47+BN47+BP47+BR47+BT47+BV47+BX47</f>
        <v>1055904833</v>
      </c>
      <c r="CJ47" s="117">
        <v>0</v>
      </c>
      <c r="CK47" s="117"/>
      <c r="CL47" s="117"/>
      <c r="CM47" s="117"/>
      <c r="CN47" s="117"/>
      <c r="CO47" s="117"/>
      <c r="CP47" s="117"/>
      <c r="CQ47" s="117"/>
      <c r="CR47" s="117"/>
      <c r="CS47" s="117"/>
      <c r="CT47" s="117"/>
      <c r="CU47" s="117"/>
      <c r="CV47" s="117"/>
      <c r="CW47" s="117"/>
      <c r="CX47" s="117"/>
      <c r="CY47" s="117"/>
      <c r="CZ47" s="117"/>
      <c r="DA47" s="117"/>
      <c r="DB47" s="117"/>
      <c r="DC47" s="117"/>
      <c r="DD47" s="117"/>
      <c r="DE47" s="117"/>
      <c r="DF47" s="117"/>
      <c r="DG47" s="117"/>
      <c r="DH47" s="117"/>
      <c r="DI47" s="107"/>
      <c r="DJ47" s="117"/>
      <c r="DK47" s="117"/>
      <c r="DL47" s="107"/>
      <c r="DM47" s="117"/>
      <c r="DN47" s="117">
        <v>0</v>
      </c>
      <c r="DO47" s="67"/>
      <c r="DP47" s="67"/>
      <c r="DQ47" s="67"/>
      <c r="DR47" s="67"/>
      <c r="DS47" s="67"/>
      <c r="DT47" s="67"/>
      <c r="DU47" s="67"/>
      <c r="DV47" s="67"/>
      <c r="DW47" s="67"/>
      <c r="DX47" s="67"/>
      <c r="DY47" s="67"/>
      <c r="DZ47" s="67"/>
      <c r="EA47" s="67"/>
      <c r="EB47" s="67"/>
      <c r="EC47" s="67"/>
      <c r="ED47" s="67"/>
      <c r="EE47" s="67"/>
      <c r="EF47" s="67"/>
      <c r="EG47" s="67"/>
      <c r="EH47" s="67"/>
      <c r="EI47" s="67"/>
      <c r="EJ47" s="67"/>
      <c r="EK47" s="67"/>
      <c r="EL47" s="67"/>
      <c r="EM47" s="305">
        <f>EI47+EG47+EE47+EC47+EA47+DY47+DW47+DU47+DS47+DQ47+DO47+EK47</f>
        <v>0</v>
      </c>
      <c r="EN47" s="87">
        <f t="shared" si="64"/>
        <v>0</v>
      </c>
      <c r="EO47" s="87">
        <f t="shared" si="65"/>
        <v>0</v>
      </c>
      <c r="EP47" s="85">
        <f>DQ47+DS47+DU47+DW47+DY47+EA47+EC47+EE47+EG47+EI47+EK47</f>
        <v>0</v>
      </c>
      <c r="EQ47" s="87">
        <f>DP47+DR47+DT47+DV47</f>
        <v>0</v>
      </c>
      <c r="ER47" s="122" t="e">
        <f t="shared" si="3"/>
        <v>#DIV/0!</v>
      </c>
      <c r="ES47" s="285" t="e">
        <f t="shared" si="5"/>
        <v>#DIV/0!</v>
      </c>
      <c r="ET47" s="286" t="e">
        <f t="shared" si="6"/>
        <v>#DIV/0!</v>
      </c>
      <c r="EU47" s="287">
        <f t="shared" si="4"/>
        <v>6.9573332750293577</v>
      </c>
      <c r="EV47" s="286" t="e">
        <f t="shared" si="7"/>
        <v>#DIV/0!</v>
      </c>
      <c r="EW47" s="458"/>
      <c r="EX47" s="458" t="s">
        <v>606</v>
      </c>
      <c r="EY47" s="458" t="s">
        <v>606</v>
      </c>
      <c r="EZ47" s="458"/>
      <c r="FA47" s="458"/>
      <c r="FB47" s="451"/>
    </row>
    <row r="48" spans="1:158" s="3" customFormat="1" ht="30.75" customHeight="1" x14ac:dyDescent="0.25">
      <c r="A48" s="453"/>
      <c r="B48" s="453"/>
      <c r="C48" s="453"/>
      <c r="D48" s="453"/>
      <c r="E48" s="453"/>
      <c r="F48" s="205" t="s">
        <v>41</v>
      </c>
      <c r="G48" s="277">
        <f>+AA48+BD48+BF48+CJ48+DN48</f>
        <v>0</v>
      </c>
      <c r="H48" s="299">
        <v>0</v>
      </c>
      <c r="I48" s="299"/>
      <c r="J48" s="299"/>
      <c r="K48" s="299"/>
      <c r="L48" s="299"/>
      <c r="M48" s="299"/>
      <c r="N48" s="299"/>
      <c r="O48" s="299"/>
      <c r="P48" s="299"/>
      <c r="Q48" s="299"/>
      <c r="R48" s="299"/>
      <c r="S48" s="299"/>
      <c r="T48" s="299"/>
      <c r="U48" s="299"/>
      <c r="V48" s="299"/>
      <c r="W48" s="299">
        <v>0</v>
      </c>
      <c r="X48" s="299">
        <v>0</v>
      </c>
      <c r="Y48" s="299">
        <v>0</v>
      </c>
      <c r="Z48" s="299">
        <v>0</v>
      </c>
      <c r="AA48" s="299">
        <v>0</v>
      </c>
      <c r="AB48" s="299">
        <v>0</v>
      </c>
      <c r="AC48" s="299">
        <v>0</v>
      </c>
      <c r="AD48" s="299">
        <v>0</v>
      </c>
      <c r="AE48" s="299">
        <v>0</v>
      </c>
      <c r="AF48" s="299">
        <v>0</v>
      </c>
      <c r="AG48" s="299">
        <v>0</v>
      </c>
      <c r="AH48" s="299">
        <v>0</v>
      </c>
      <c r="AI48" s="299">
        <v>0</v>
      </c>
      <c r="AJ48" s="299">
        <v>0</v>
      </c>
      <c r="AK48" s="299">
        <v>0</v>
      </c>
      <c r="AL48" s="299">
        <v>0</v>
      </c>
      <c r="AM48" s="299">
        <v>0</v>
      </c>
      <c r="AN48" s="299">
        <v>0</v>
      </c>
      <c r="AO48" s="299">
        <v>0</v>
      </c>
      <c r="AP48" s="299">
        <v>0</v>
      </c>
      <c r="AQ48" s="299">
        <v>0</v>
      </c>
      <c r="AR48" s="299">
        <v>0</v>
      </c>
      <c r="AS48" s="299">
        <v>0</v>
      </c>
      <c r="AT48" s="299">
        <v>0</v>
      </c>
      <c r="AU48" s="299">
        <v>0</v>
      </c>
      <c r="AV48" s="299">
        <v>0</v>
      </c>
      <c r="AW48" s="299">
        <v>0</v>
      </c>
      <c r="AX48" s="299">
        <v>0</v>
      </c>
      <c r="AY48" s="299">
        <v>0</v>
      </c>
      <c r="AZ48" s="299">
        <v>0</v>
      </c>
      <c r="BA48" s="120">
        <f>AY48+AW48+AU48+AS48+AQ48+AO48+AM48+AK48+AI48+AG48+AE48+AC48</f>
        <v>0</v>
      </c>
      <c r="BB48" s="120">
        <f t="shared" si="62"/>
        <v>0</v>
      </c>
      <c r="BC48" s="120">
        <f t="shared" si="62"/>
        <v>0</v>
      </c>
      <c r="BD48" s="120">
        <f>BE49-BC49</f>
        <v>0</v>
      </c>
      <c r="BE48" s="120">
        <f>AD48+AF48+AH48+AJ48+AL48+AN48+AP48+AR48+AT48+AV48+AX48+AZ48</f>
        <v>0</v>
      </c>
      <c r="BF48" s="299">
        <v>0</v>
      </c>
      <c r="BG48" s="299">
        <v>0</v>
      </c>
      <c r="BH48" s="299">
        <v>0</v>
      </c>
      <c r="BI48" s="299"/>
      <c r="BJ48" s="299">
        <v>0</v>
      </c>
      <c r="BK48" s="299">
        <v>0</v>
      </c>
      <c r="BL48" s="299">
        <v>0</v>
      </c>
      <c r="BM48" s="299"/>
      <c r="BN48" s="299">
        <v>0</v>
      </c>
      <c r="BO48" s="299"/>
      <c r="BP48" s="299">
        <v>0</v>
      </c>
      <c r="BQ48" s="299"/>
      <c r="BR48" s="299">
        <v>0</v>
      </c>
      <c r="BS48" s="299"/>
      <c r="BT48" s="299">
        <v>0</v>
      </c>
      <c r="BU48" s="299">
        <v>0</v>
      </c>
      <c r="BV48" s="299">
        <v>0</v>
      </c>
      <c r="BW48" s="299">
        <v>0</v>
      </c>
      <c r="BX48" s="299">
        <v>0</v>
      </c>
      <c r="BY48" s="299"/>
      <c r="BZ48" s="299"/>
      <c r="CA48" s="299"/>
      <c r="CB48" s="299"/>
      <c r="CC48" s="299"/>
      <c r="CD48" s="299"/>
      <c r="CE48" s="303">
        <f>CC48+CA48+BY48+BW48+BU48+BS48+BQ48+BO48+BM48+BK48+BI48+BG48</f>
        <v>0</v>
      </c>
      <c r="CF48" s="302">
        <f t="shared" si="63"/>
        <v>0</v>
      </c>
      <c r="CG48" s="233">
        <f t="shared" si="63"/>
        <v>0</v>
      </c>
      <c r="CH48" s="230">
        <f>CC48+CA48+BY48+BW48+BU48+BS48+BQ48+BO48+BM48+BK48+BI48+BG48</f>
        <v>0</v>
      </c>
      <c r="CI48" s="233">
        <f>+BH48+BJ48+BL48+BN48+BP48+BR48+BT48+BV48+BX48</f>
        <v>0</v>
      </c>
      <c r="CJ48" s="32">
        <v>0</v>
      </c>
      <c r="CK48" s="32"/>
      <c r="CL48" s="32"/>
      <c r="CM48" s="32"/>
      <c r="CN48" s="32"/>
      <c r="CO48" s="32"/>
      <c r="CP48" s="32"/>
      <c r="CQ48" s="32"/>
      <c r="CR48" s="32"/>
      <c r="CS48" s="32"/>
      <c r="CT48" s="32"/>
      <c r="CU48" s="32"/>
      <c r="CV48" s="32"/>
      <c r="CW48" s="32"/>
      <c r="CX48" s="32"/>
      <c r="CY48" s="32"/>
      <c r="CZ48" s="32"/>
      <c r="DA48" s="32"/>
      <c r="DB48" s="32"/>
      <c r="DC48" s="32"/>
      <c r="DD48" s="32"/>
      <c r="DE48" s="32"/>
      <c r="DF48" s="32"/>
      <c r="DG48" s="32"/>
      <c r="DH48" s="32"/>
      <c r="DI48" s="32">
        <v>0</v>
      </c>
      <c r="DJ48" s="32">
        <v>0</v>
      </c>
      <c r="DK48" s="32">
        <v>0</v>
      </c>
      <c r="DL48" s="121">
        <v>0</v>
      </c>
      <c r="DM48" s="32">
        <v>0</v>
      </c>
      <c r="DN48" s="32">
        <v>0</v>
      </c>
      <c r="DO48" s="306"/>
      <c r="DP48" s="306"/>
      <c r="DQ48" s="306"/>
      <c r="DR48" s="306"/>
      <c r="DS48" s="306"/>
      <c r="DT48" s="306"/>
      <c r="DU48" s="306"/>
      <c r="DV48" s="306"/>
      <c r="DW48" s="306"/>
      <c r="DX48" s="306"/>
      <c r="DY48" s="306"/>
      <c r="DZ48" s="306"/>
      <c r="EA48" s="306"/>
      <c r="EB48" s="306"/>
      <c r="EC48" s="306"/>
      <c r="ED48" s="306"/>
      <c r="EE48" s="306"/>
      <c r="EF48" s="306"/>
      <c r="EG48" s="306"/>
      <c r="EH48" s="306"/>
      <c r="EI48" s="306"/>
      <c r="EJ48" s="306"/>
      <c r="EK48" s="306"/>
      <c r="EL48" s="306"/>
      <c r="EM48" s="304">
        <f>EI48+EG48+EE48+EC48+EA48+DY48+DW48+DU48+DS48+DQ48+DO48+EK48</f>
        <v>0</v>
      </c>
      <c r="EN48" s="89">
        <f t="shared" si="64"/>
        <v>0</v>
      </c>
      <c r="EO48" s="89">
        <f t="shared" si="65"/>
        <v>0</v>
      </c>
      <c r="EP48" s="90">
        <f>DQ48+DS48+DU48+DW48+DY48+EA48+EC48+EE48+EG48+EI48+EK48</f>
        <v>0</v>
      </c>
      <c r="EQ48" s="304">
        <f>DP48+DR48+DT48+DV48</f>
        <v>0</v>
      </c>
      <c r="ER48" s="122" t="e">
        <f t="shared" si="3"/>
        <v>#DIV/0!</v>
      </c>
      <c r="ES48" s="285" t="e">
        <f t="shared" si="5"/>
        <v>#DIV/0!</v>
      </c>
      <c r="ET48" s="286" t="e">
        <f t="shared" si="6"/>
        <v>#DIV/0!</v>
      </c>
      <c r="EU48" s="287" t="e">
        <f t="shared" si="4"/>
        <v>#DIV/0!</v>
      </c>
      <c r="EV48" s="286" t="e">
        <f t="shared" si="7"/>
        <v>#DIV/0!</v>
      </c>
      <c r="EW48" s="458"/>
      <c r="EX48" s="458" t="s">
        <v>606</v>
      </c>
      <c r="EY48" s="458" t="s">
        <v>606</v>
      </c>
      <c r="EZ48" s="458"/>
      <c r="FA48" s="458"/>
      <c r="FB48" s="451"/>
    </row>
    <row r="49" spans="1:158" s="3" customFormat="1" ht="30.75" customHeight="1" x14ac:dyDescent="0.25">
      <c r="A49" s="453"/>
      <c r="B49" s="453"/>
      <c r="C49" s="453"/>
      <c r="D49" s="453"/>
      <c r="E49" s="453"/>
      <c r="F49" s="206" t="s">
        <v>4</v>
      </c>
      <c r="G49" s="272">
        <f>AA49+BE49+CH49+CJ49+DN49</f>
        <v>348458282</v>
      </c>
      <c r="H49" s="107">
        <v>0</v>
      </c>
      <c r="I49" s="117"/>
      <c r="J49" s="117"/>
      <c r="K49" s="117"/>
      <c r="L49" s="117"/>
      <c r="M49" s="117"/>
      <c r="N49" s="117"/>
      <c r="O49" s="117"/>
      <c r="P49" s="117"/>
      <c r="Q49" s="117"/>
      <c r="R49" s="117"/>
      <c r="S49" s="117"/>
      <c r="T49" s="107"/>
      <c r="U49" s="107"/>
      <c r="V49" s="107"/>
      <c r="W49" s="107">
        <v>0</v>
      </c>
      <c r="X49" s="107">
        <v>0</v>
      </c>
      <c r="Y49" s="107">
        <v>0</v>
      </c>
      <c r="Z49" s="107">
        <v>0</v>
      </c>
      <c r="AA49" s="107">
        <v>0</v>
      </c>
      <c r="AB49" s="107">
        <v>282323662</v>
      </c>
      <c r="AC49" s="107">
        <v>62610500</v>
      </c>
      <c r="AD49" s="107">
        <v>62610500</v>
      </c>
      <c r="AE49" s="107">
        <v>113705833</v>
      </c>
      <c r="AF49" s="107">
        <f>176316333-AD49</f>
        <v>113705833</v>
      </c>
      <c r="AG49" s="107">
        <v>41010499</v>
      </c>
      <c r="AH49" s="107">
        <f>217326832-AF49-AD49</f>
        <v>41010499</v>
      </c>
      <c r="AI49" s="107">
        <v>24710465</v>
      </c>
      <c r="AJ49" s="107">
        <f>242037297-AH49-AF49-AD49</f>
        <v>24710465</v>
      </c>
      <c r="AK49" s="117">
        <v>3094000</v>
      </c>
      <c r="AL49" s="117">
        <f>245131297-AJ49-AH49-AF49-AD49</f>
        <v>3094000</v>
      </c>
      <c r="AM49" s="117">
        <v>14803433</v>
      </c>
      <c r="AN49" s="117">
        <v>14803433</v>
      </c>
      <c r="AO49" s="117">
        <v>0</v>
      </c>
      <c r="AP49" s="117">
        <v>0</v>
      </c>
      <c r="AQ49" s="117">
        <f>30516833-3961969-22793465</f>
        <v>3761399</v>
      </c>
      <c r="AR49" s="117">
        <v>0</v>
      </c>
      <c r="AS49" s="117">
        <f>10636900+601</f>
        <v>10637501</v>
      </c>
      <c r="AT49" s="117">
        <v>0</v>
      </c>
      <c r="AU49" s="117"/>
      <c r="AV49" s="117">
        <v>0</v>
      </c>
      <c r="AW49" s="117">
        <v>0</v>
      </c>
      <c r="AX49" s="117">
        <v>1870410</v>
      </c>
      <c r="AY49" s="117"/>
      <c r="AZ49" s="117"/>
      <c r="BA49" s="107">
        <f>AY49+AW49+AU49+AS49+AQ49+AO49+AM49+AK49+AI49+AG49+AE49+AC49</f>
        <v>274333630</v>
      </c>
      <c r="BB49" s="107">
        <f t="shared" si="62"/>
        <v>274333630</v>
      </c>
      <c r="BC49" s="107">
        <f t="shared" si="62"/>
        <v>261805140</v>
      </c>
      <c r="BD49" s="107">
        <f>AE49+AG49+AI49+AK49+AM49+AO49+AQ49+AS49+AU49+AW49+AY49+AC49</f>
        <v>274333630</v>
      </c>
      <c r="BE49" s="107">
        <v>261805140</v>
      </c>
      <c r="BF49" s="117">
        <v>113800542</v>
      </c>
      <c r="BG49" s="117">
        <v>8850800</v>
      </c>
      <c r="BH49" s="117">
        <v>0</v>
      </c>
      <c r="BI49" s="117">
        <v>104949742</v>
      </c>
      <c r="BJ49" s="117">
        <v>51705541</v>
      </c>
      <c r="BK49" s="117"/>
      <c r="BL49" s="117">
        <v>0</v>
      </c>
      <c r="BM49" s="117"/>
      <c r="BN49" s="117">
        <v>0</v>
      </c>
      <c r="BO49" s="117"/>
      <c r="BP49" s="117">
        <v>0</v>
      </c>
      <c r="BQ49" s="117">
        <v>-27147400</v>
      </c>
      <c r="BR49" s="117">
        <v>0</v>
      </c>
      <c r="BS49" s="117">
        <v>27147400</v>
      </c>
      <c r="BT49" s="117">
        <v>34947601</v>
      </c>
      <c r="BU49" s="117">
        <v>0</v>
      </c>
      <c r="BV49" s="117">
        <v>0</v>
      </c>
      <c r="BW49" s="117">
        <v>-27147400</v>
      </c>
      <c r="BX49" s="117">
        <v>-14095801</v>
      </c>
      <c r="BY49" s="117"/>
      <c r="BZ49" s="117"/>
      <c r="CA49" s="117"/>
      <c r="CB49" s="117"/>
      <c r="CC49" s="117"/>
      <c r="CD49" s="117"/>
      <c r="CE49" s="108">
        <f>CC49+CA49+BY49+BW49+BU49+BS49+BQ49+BO49+BM49+BK49+BI49+BG49</f>
        <v>86653142</v>
      </c>
      <c r="CF49" s="108">
        <f t="shared" si="63"/>
        <v>86653142</v>
      </c>
      <c r="CG49" s="107">
        <f t="shared" si="63"/>
        <v>72557341</v>
      </c>
      <c r="CH49" s="107">
        <f>CC49+CA49+BY49+BW49+BU49+BS49+BQ49+BO49+BM49+BK49+BI49+BG49</f>
        <v>86653142</v>
      </c>
      <c r="CI49" s="107">
        <f>+BH49+BJ49+BL49+BN49+BP49+BR49+BT49+BV49+BX49</f>
        <v>72557341</v>
      </c>
      <c r="CJ49" s="117">
        <v>0</v>
      </c>
      <c r="CK49" s="117"/>
      <c r="CL49" s="117"/>
      <c r="CM49" s="117"/>
      <c r="CN49" s="117"/>
      <c r="CO49" s="117"/>
      <c r="CP49" s="117"/>
      <c r="CQ49" s="117"/>
      <c r="CR49" s="117"/>
      <c r="CS49" s="117"/>
      <c r="CT49" s="117"/>
      <c r="CU49" s="117"/>
      <c r="CV49" s="117"/>
      <c r="CW49" s="117"/>
      <c r="CX49" s="117"/>
      <c r="CY49" s="117"/>
      <c r="CZ49" s="117"/>
      <c r="DA49" s="117"/>
      <c r="DB49" s="117"/>
      <c r="DC49" s="117"/>
      <c r="DD49" s="117"/>
      <c r="DE49" s="117"/>
      <c r="DF49" s="117"/>
      <c r="DG49" s="117"/>
      <c r="DH49" s="117"/>
      <c r="DI49" s="107">
        <v>0</v>
      </c>
      <c r="DJ49" s="117">
        <v>0</v>
      </c>
      <c r="DK49" s="117">
        <v>0</v>
      </c>
      <c r="DL49" s="107">
        <v>0</v>
      </c>
      <c r="DM49" s="117">
        <v>0</v>
      </c>
      <c r="DN49" s="117">
        <v>0</v>
      </c>
      <c r="DO49" s="66"/>
      <c r="DP49" s="66"/>
      <c r="DQ49" s="66"/>
      <c r="DR49" s="66"/>
      <c r="DS49" s="66"/>
      <c r="DT49" s="66"/>
      <c r="DU49" s="66"/>
      <c r="DV49" s="66"/>
      <c r="DW49" s="66"/>
      <c r="DX49" s="66"/>
      <c r="DY49" s="66"/>
      <c r="DZ49" s="66"/>
      <c r="EA49" s="66"/>
      <c r="EB49" s="66"/>
      <c r="EC49" s="66"/>
      <c r="ED49" s="66"/>
      <c r="EE49" s="66"/>
      <c r="EF49" s="66"/>
      <c r="EG49" s="66"/>
      <c r="EH49" s="66"/>
      <c r="EI49" s="66"/>
      <c r="EJ49" s="66"/>
      <c r="EK49" s="66"/>
      <c r="EL49" s="66"/>
      <c r="EM49" s="304">
        <f>EI49+EG49+EE49+EC49+EA49+DY49+DW49+DU49+DS49+DQ49+DO49+EK49</f>
        <v>0</v>
      </c>
      <c r="EN49" s="87">
        <f t="shared" si="64"/>
        <v>0</v>
      </c>
      <c r="EO49" s="87">
        <f t="shared" si="65"/>
        <v>0</v>
      </c>
      <c r="EP49" s="85">
        <f>DQ49+DS49+DU49+DW49+DY49+EA49+EC49+EE49+EG49+EI49+EK49+DO49</f>
        <v>0</v>
      </c>
      <c r="EQ49" s="87">
        <f>DP49+DR49+DT49+DV49</f>
        <v>0</v>
      </c>
      <c r="ER49" s="122">
        <f t="shared" si="3"/>
        <v>0.51923208115694319</v>
      </c>
      <c r="ES49" s="285">
        <f t="shared" si="5"/>
        <v>0.83733075714669414</v>
      </c>
      <c r="ET49" s="286">
        <f t="shared" si="6"/>
        <v>0.83733075714669414</v>
      </c>
      <c r="EU49" s="287">
        <f t="shared" si="4"/>
        <v>0.92624579883497782</v>
      </c>
      <c r="EV49" s="286">
        <f t="shared" si="7"/>
        <v>0.95954809591812196</v>
      </c>
      <c r="EW49" s="458"/>
      <c r="EX49" s="458" t="s">
        <v>606</v>
      </c>
      <c r="EY49" s="458" t="s">
        <v>606</v>
      </c>
      <c r="EZ49" s="458"/>
      <c r="FA49" s="458"/>
      <c r="FB49" s="451"/>
    </row>
    <row r="50" spans="1:158" s="3" customFormat="1" ht="30.75" customHeight="1" thickBot="1" x14ac:dyDescent="0.3">
      <c r="A50" s="453"/>
      <c r="B50" s="453"/>
      <c r="C50" s="453"/>
      <c r="D50" s="453"/>
      <c r="E50" s="453"/>
      <c r="F50" s="205" t="s">
        <v>42</v>
      </c>
      <c r="G50" s="278">
        <f>+G45+G48</f>
        <v>7948</v>
      </c>
      <c r="H50" s="384">
        <f>+H45+H48</f>
        <v>1292</v>
      </c>
      <c r="I50" s="384">
        <f t="shared" ref="I50:AZ50" si="66">+I45+I48</f>
        <v>0</v>
      </c>
      <c r="J50" s="384">
        <f t="shared" si="66"/>
        <v>0</v>
      </c>
      <c r="K50" s="384">
        <f t="shared" si="66"/>
        <v>0</v>
      </c>
      <c r="L50" s="384">
        <f t="shared" si="66"/>
        <v>0</v>
      </c>
      <c r="M50" s="384">
        <f t="shared" si="66"/>
        <v>0</v>
      </c>
      <c r="N50" s="384">
        <f t="shared" si="66"/>
        <v>0</v>
      </c>
      <c r="O50" s="384">
        <f t="shared" si="66"/>
        <v>0</v>
      </c>
      <c r="P50" s="384">
        <f t="shared" si="66"/>
        <v>0</v>
      </c>
      <c r="Q50" s="384">
        <f t="shared" si="66"/>
        <v>0</v>
      </c>
      <c r="R50" s="384">
        <f t="shared" si="66"/>
        <v>0</v>
      </c>
      <c r="S50" s="384">
        <f t="shared" si="66"/>
        <v>0</v>
      </c>
      <c r="T50" s="384">
        <f t="shared" si="66"/>
        <v>0</v>
      </c>
      <c r="U50" s="384">
        <f t="shared" si="66"/>
        <v>0</v>
      </c>
      <c r="V50" s="384">
        <f t="shared" si="66"/>
        <v>0</v>
      </c>
      <c r="W50" s="384">
        <f>+W45+W48</f>
        <v>1292</v>
      </c>
      <c r="X50" s="384">
        <f>+X45+X48</f>
        <v>1292</v>
      </c>
      <c r="Y50" s="384">
        <f t="shared" si="66"/>
        <v>1292</v>
      </c>
      <c r="Z50" s="384">
        <f>+Z45+Z48</f>
        <v>1292</v>
      </c>
      <c r="AA50" s="384">
        <f t="shared" si="66"/>
        <v>1292</v>
      </c>
      <c r="AB50" s="318">
        <f>+AB45+AB48</f>
        <v>759</v>
      </c>
      <c r="AC50" s="384">
        <f>+AC45+AC48</f>
        <v>51</v>
      </c>
      <c r="AD50" s="384">
        <f t="shared" si="66"/>
        <v>278</v>
      </c>
      <c r="AE50" s="384">
        <f t="shared" si="66"/>
        <v>66</v>
      </c>
      <c r="AF50" s="384">
        <f t="shared" si="66"/>
        <v>211</v>
      </c>
      <c r="AG50" s="384">
        <f t="shared" si="66"/>
        <v>66</v>
      </c>
      <c r="AH50" s="384">
        <f t="shared" si="66"/>
        <v>837</v>
      </c>
      <c r="AI50" s="384">
        <f t="shared" si="66"/>
        <v>473</v>
      </c>
      <c r="AJ50" s="384">
        <f t="shared" si="66"/>
        <v>488</v>
      </c>
      <c r="AK50" s="384">
        <f t="shared" si="66"/>
        <v>2050</v>
      </c>
      <c r="AL50" s="384">
        <f t="shared" si="66"/>
        <v>892</v>
      </c>
      <c r="AM50" s="384">
        <f t="shared" si="66"/>
        <v>295</v>
      </c>
      <c r="AN50" s="384">
        <f>+AN45+AN48</f>
        <v>798</v>
      </c>
      <c r="AO50" s="384">
        <f t="shared" si="66"/>
        <v>295</v>
      </c>
      <c r="AP50" s="384">
        <f t="shared" si="66"/>
        <v>265</v>
      </c>
      <c r="AQ50" s="384">
        <f t="shared" si="66"/>
        <v>295</v>
      </c>
      <c r="AR50" s="384">
        <f t="shared" si="66"/>
        <v>203</v>
      </c>
      <c r="AS50" s="384">
        <f t="shared" si="66"/>
        <v>295</v>
      </c>
      <c r="AT50" s="384">
        <f t="shared" si="66"/>
        <v>294</v>
      </c>
      <c r="AU50" s="384">
        <f t="shared" si="66"/>
        <v>295</v>
      </c>
      <c r="AV50" s="384">
        <f>+AV45+AV48</f>
        <v>575</v>
      </c>
      <c r="AW50" s="384">
        <f t="shared" si="66"/>
        <v>295</v>
      </c>
      <c r="AX50" s="384">
        <f>+AX45+AX48</f>
        <v>57</v>
      </c>
      <c r="AY50" s="384">
        <f t="shared" si="66"/>
        <v>474</v>
      </c>
      <c r="AZ50" s="384">
        <f t="shared" si="66"/>
        <v>52</v>
      </c>
      <c r="BA50" s="384">
        <f t="shared" ref="BA50:BF51" si="67">+BA45+BA48</f>
        <v>4950</v>
      </c>
      <c r="BB50" s="318">
        <f t="shared" si="67"/>
        <v>4950</v>
      </c>
      <c r="BC50" s="318">
        <f t="shared" si="67"/>
        <v>4950</v>
      </c>
      <c r="BD50" s="318">
        <f t="shared" si="67"/>
        <v>4950</v>
      </c>
      <c r="BE50" s="318">
        <f t="shared" si="67"/>
        <v>4950</v>
      </c>
      <c r="BF50" s="318">
        <f t="shared" si="67"/>
        <v>1097</v>
      </c>
      <c r="BG50" s="318">
        <f t="shared" ref="BG50:CD50" si="68">+BG45+BG48</f>
        <v>85</v>
      </c>
      <c r="BH50" s="318">
        <f t="shared" si="68"/>
        <v>0</v>
      </c>
      <c r="BI50" s="318">
        <f t="shared" si="68"/>
        <v>92</v>
      </c>
      <c r="BJ50" s="318">
        <f>+BJ45+BJ48</f>
        <v>32</v>
      </c>
      <c r="BK50" s="318">
        <f t="shared" si="68"/>
        <v>92</v>
      </c>
      <c r="BL50" s="318">
        <f t="shared" si="68"/>
        <v>55</v>
      </c>
      <c r="BM50" s="318">
        <f t="shared" si="68"/>
        <v>92</v>
      </c>
      <c r="BN50" s="318">
        <f t="shared" si="68"/>
        <v>110</v>
      </c>
      <c r="BO50" s="318">
        <f t="shared" si="68"/>
        <v>92</v>
      </c>
      <c r="BP50" s="318">
        <f t="shared" si="68"/>
        <v>263</v>
      </c>
      <c r="BQ50" s="318">
        <f t="shared" si="68"/>
        <v>99</v>
      </c>
      <c r="BR50" s="318">
        <f t="shared" si="68"/>
        <v>87</v>
      </c>
      <c r="BS50" s="318">
        <f t="shared" si="68"/>
        <v>92</v>
      </c>
      <c r="BT50" s="318">
        <f t="shared" si="68"/>
        <v>65</v>
      </c>
      <c r="BU50" s="318">
        <f t="shared" si="68"/>
        <v>92</v>
      </c>
      <c r="BV50" s="318">
        <f t="shared" si="68"/>
        <v>99</v>
      </c>
      <c r="BW50" s="318">
        <f t="shared" si="68"/>
        <v>92</v>
      </c>
      <c r="BX50" s="318">
        <f t="shared" si="68"/>
        <v>171</v>
      </c>
      <c r="BY50" s="318">
        <f t="shared" si="68"/>
        <v>92</v>
      </c>
      <c r="BZ50" s="318">
        <f t="shared" si="68"/>
        <v>0</v>
      </c>
      <c r="CA50" s="318">
        <f t="shared" si="68"/>
        <v>92</v>
      </c>
      <c r="CB50" s="318">
        <f t="shared" si="68"/>
        <v>0</v>
      </c>
      <c r="CC50" s="318">
        <f t="shared" si="68"/>
        <v>85</v>
      </c>
      <c r="CD50" s="318">
        <f t="shared" si="68"/>
        <v>0</v>
      </c>
      <c r="CE50" s="318">
        <f t="shared" ref="CE50:CJ51" si="69">+CE45+CE48</f>
        <v>1097</v>
      </c>
      <c r="CF50" s="318">
        <f t="shared" si="69"/>
        <v>828</v>
      </c>
      <c r="CG50" s="318">
        <f t="shared" si="69"/>
        <v>882</v>
      </c>
      <c r="CH50" s="380">
        <f t="shared" si="69"/>
        <v>1097</v>
      </c>
      <c r="CI50" s="380">
        <f t="shared" si="69"/>
        <v>882</v>
      </c>
      <c r="CJ50" s="367">
        <f t="shared" si="69"/>
        <v>370</v>
      </c>
      <c r="CK50" s="367"/>
      <c r="CL50" s="367"/>
      <c r="CM50" s="367"/>
      <c r="CN50" s="367"/>
      <c r="CO50" s="367"/>
      <c r="CP50" s="367"/>
      <c r="CQ50" s="367"/>
      <c r="CR50" s="367"/>
      <c r="CS50" s="367"/>
      <c r="CT50" s="367"/>
      <c r="CU50" s="367"/>
      <c r="CV50" s="367"/>
      <c r="CW50" s="367"/>
      <c r="CX50" s="367"/>
      <c r="CY50" s="367"/>
      <c r="CZ50" s="367"/>
      <c r="DA50" s="367"/>
      <c r="DB50" s="367"/>
      <c r="DC50" s="367"/>
      <c r="DD50" s="367"/>
      <c r="DE50" s="367"/>
      <c r="DF50" s="367"/>
      <c r="DG50" s="367"/>
      <c r="DH50" s="367"/>
      <c r="DI50" s="367">
        <v>0</v>
      </c>
      <c r="DJ50" s="367">
        <v>0</v>
      </c>
      <c r="DK50" s="367">
        <v>0</v>
      </c>
      <c r="DL50" s="368">
        <v>0</v>
      </c>
      <c r="DM50" s="367">
        <v>0</v>
      </c>
      <c r="DN50" s="367">
        <f>+DN45+DN48</f>
        <v>239</v>
      </c>
      <c r="DO50" s="348"/>
      <c r="DP50" s="348"/>
      <c r="DQ50" s="348"/>
      <c r="DR50" s="348"/>
      <c r="DS50" s="348"/>
      <c r="DT50" s="348"/>
      <c r="DU50" s="348"/>
      <c r="DV50" s="348"/>
      <c r="DW50" s="348"/>
      <c r="DX50" s="348"/>
      <c r="DY50" s="348"/>
      <c r="DZ50" s="348"/>
      <c r="EA50" s="348"/>
      <c r="EB50" s="348"/>
      <c r="EC50" s="348"/>
      <c r="ED50" s="348"/>
      <c r="EE50" s="348"/>
      <c r="EF50" s="348"/>
      <c r="EG50" s="348"/>
      <c r="EH50" s="348"/>
      <c r="EI50" s="348"/>
      <c r="EJ50" s="348"/>
      <c r="EK50" s="348"/>
      <c r="EL50" s="348"/>
      <c r="EM50" s="339">
        <f>EI50+EG50+EE50+EC50+EA50+DY50+DW50+DU50+DS50+DQ50+DO50+EK50</f>
        <v>0</v>
      </c>
      <c r="EN50" s="340">
        <f t="shared" si="64"/>
        <v>0</v>
      </c>
      <c r="EO50" s="340">
        <f t="shared" si="65"/>
        <v>0</v>
      </c>
      <c r="EP50" s="341">
        <f>DQ50+DS50+DU50+DW50+DY50+EA50+EC50+EE50+EG50+EI50+EK50+DO50</f>
        <v>0</v>
      </c>
      <c r="EQ50" s="340">
        <f>DR50+DT50+DV50+DP50</f>
        <v>0</v>
      </c>
      <c r="ER50" s="321">
        <f t="shared" si="3"/>
        <v>1.8586956521739131</v>
      </c>
      <c r="ES50" s="288">
        <f t="shared" si="5"/>
        <v>1.0652173913043479</v>
      </c>
      <c r="ET50" s="289">
        <f t="shared" si="6"/>
        <v>0.80401093892433906</v>
      </c>
      <c r="EU50" s="290">
        <f t="shared" si="4"/>
        <v>1.0076379066478076</v>
      </c>
      <c r="EV50" s="289">
        <f t="shared" si="7"/>
        <v>0.89632611977856069</v>
      </c>
      <c r="EW50" s="458"/>
      <c r="EX50" s="458" t="s">
        <v>606</v>
      </c>
      <c r="EY50" s="458" t="s">
        <v>606</v>
      </c>
      <c r="EZ50" s="458"/>
      <c r="FA50" s="458"/>
      <c r="FB50" s="451"/>
    </row>
    <row r="51" spans="1:158" s="29" customFormat="1" ht="30.75" customHeight="1" thickBot="1" x14ac:dyDescent="0.3">
      <c r="A51" s="453"/>
      <c r="B51" s="453"/>
      <c r="C51" s="453"/>
      <c r="D51" s="453"/>
      <c r="E51" s="453"/>
      <c r="F51" s="206" t="s">
        <v>44</v>
      </c>
      <c r="G51" s="275">
        <f>+G46+G49</f>
        <v>7069225279</v>
      </c>
      <c r="H51" s="363">
        <f>+H46+H49</f>
        <v>658814131</v>
      </c>
      <c r="I51" s="363">
        <f t="shared" ref="I51:AZ51" si="70">+I46+I49</f>
        <v>0</v>
      </c>
      <c r="J51" s="363">
        <f t="shared" si="70"/>
        <v>0</v>
      </c>
      <c r="K51" s="363">
        <f t="shared" si="70"/>
        <v>0</v>
      </c>
      <c r="L51" s="363">
        <f t="shared" si="70"/>
        <v>0</v>
      </c>
      <c r="M51" s="363">
        <f t="shared" si="70"/>
        <v>0</v>
      </c>
      <c r="N51" s="363">
        <f t="shared" si="70"/>
        <v>0</v>
      </c>
      <c r="O51" s="363">
        <f t="shared" si="70"/>
        <v>0</v>
      </c>
      <c r="P51" s="363">
        <f t="shared" si="70"/>
        <v>0</v>
      </c>
      <c r="Q51" s="363">
        <f t="shared" si="70"/>
        <v>0</v>
      </c>
      <c r="R51" s="363">
        <f t="shared" si="70"/>
        <v>0</v>
      </c>
      <c r="S51" s="363">
        <f t="shared" si="70"/>
        <v>0</v>
      </c>
      <c r="T51" s="363">
        <f t="shared" si="70"/>
        <v>0</v>
      </c>
      <c r="U51" s="363">
        <f t="shared" si="70"/>
        <v>0</v>
      </c>
      <c r="V51" s="363">
        <f t="shared" si="70"/>
        <v>0</v>
      </c>
      <c r="W51" s="363">
        <f>+W46+W49</f>
        <v>658814131</v>
      </c>
      <c r="X51" s="363">
        <f>+X46+X49</f>
        <v>658814131</v>
      </c>
      <c r="Y51" s="363">
        <f t="shared" si="70"/>
        <v>644978000</v>
      </c>
      <c r="Z51" s="363">
        <f>+Z46+Z49</f>
        <v>658814131</v>
      </c>
      <c r="AA51" s="363">
        <f t="shared" si="70"/>
        <v>644978000</v>
      </c>
      <c r="AB51" s="381">
        <f>+AB46+AB49</f>
        <v>1576471662</v>
      </c>
      <c r="AC51" s="363">
        <f t="shared" si="70"/>
        <v>62610500</v>
      </c>
      <c r="AD51" s="363">
        <f t="shared" si="70"/>
        <v>62610500</v>
      </c>
      <c r="AE51" s="363">
        <f t="shared" si="70"/>
        <v>498988833</v>
      </c>
      <c r="AF51" s="363">
        <f t="shared" si="70"/>
        <v>498988833</v>
      </c>
      <c r="AG51" s="363">
        <f t="shared" si="70"/>
        <v>793706499</v>
      </c>
      <c r="AH51" s="363">
        <f t="shared" si="70"/>
        <v>793706499</v>
      </c>
      <c r="AI51" s="363">
        <f t="shared" si="70"/>
        <v>24710465</v>
      </c>
      <c r="AJ51" s="363">
        <f t="shared" si="70"/>
        <v>24710465</v>
      </c>
      <c r="AK51" s="363">
        <f t="shared" si="70"/>
        <v>27160000</v>
      </c>
      <c r="AL51" s="363">
        <f>+AL46+AL49</f>
        <v>27160000</v>
      </c>
      <c r="AM51" s="363">
        <f t="shared" si="70"/>
        <v>14803433</v>
      </c>
      <c r="AN51" s="363">
        <f>+AN46+AN49</f>
        <v>14803433</v>
      </c>
      <c r="AO51" s="363">
        <f t="shared" si="70"/>
        <v>0</v>
      </c>
      <c r="AP51" s="363">
        <f t="shared" si="70"/>
        <v>0</v>
      </c>
      <c r="AQ51" s="363">
        <f t="shared" si="70"/>
        <v>47795732.333333336</v>
      </c>
      <c r="AR51" s="363">
        <f t="shared" si="70"/>
        <v>0</v>
      </c>
      <c r="AS51" s="363">
        <f t="shared" si="70"/>
        <v>54671834.333333336</v>
      </c>
      <c r="AT51" s="363">
        <f t="shared" si="70"/>
        <v>24595500</v>
      </c>
      <c r="AU51" s="363">
        <f t="shared" si="70"/>
        <v>44034333.333333336</v>
      </c>
      <c r="AV51" s="363">
        <f>+AV46+AV49</f>
        <v>15965667</v>
      </c>
      <c r="AW51" s="363">
        <f t="shared" si="70"/>
        <v>0</v>
      </c>
      <c r="AX51" s="363">
        <f>+AX46+AX49</f>
        <v>63441009</v>
      </c>
      <c r="AY51" s="363">
        <f t="shared" si="70"/>
        <v>0</v>
      </c>
      <c r="AZ51" s="363">
        <f t="shared" si="70"/>
        <v>8140033</v>
      </c>
      <c r="BA51" s="364">
        <f>+BA46+BA49</f>
        <v>1568481630</v>
      </c>
      <c r="BB51" s="365">
        <f>+BB46+BB49</f>
        <v>1568481629.9999998</v>
      </c>
      <c r="BC51" s="365">
        <f>+BC46+BC49</f>
        <v>1534121939</v>
      </c>
      <c r="BD51" s="365">
        <f>+BD46+BD49</f>
        <v>1568481629.9999998</v>
      </c>
      <c r="BE51" s="365">
        <f>+BE46+BE49</f>
        <v>1534121939</v>
      </c>
      <c r="BF51" s="365">
        <f t="shared" si="67"/>
        <v>1682633542</v>
      </c>
      <c r="BG51" s="365">
        <f t="shared" ref="BG51:CD51" si="71">+BG46+BG49</f>
        <v>1452531800</v>
      </c>
      <c r="BH51" s="365">
        <f t="shared" si="71"/>
        <v>1487818000</v>
      </c>
      <c r="BI51" s="365">
        <f>+BI46+BI49</f>
        <v>104949742</v>
      </c>
      <c r="BJ51" s="365">
        <f>+BJ46+BJ49</f>
        <v>51705541</v>
      </c>
      <c r="BK51" s="365">
        <f t="shared" si="71"/>
        <v>131034000</v>
      </c>
      <c r="BL51" s="365">
        <f t="shared" si="71"/>
        <v>0</v>
      </c>
      <c r="BM51" s="365">
        <f t="shared" si="71"/>
        <v>0</v>
      </c>
      <c r="BN51" s="365">
        <f t="shared" si="71"/>
        <v>0</v>
      </c>
      <c r="BO51" s="365">
        <f t="shared" si="71"/>
        <v>7048000</v>
      </c>
      <c r="BP51" s="365">
        <f t="shared" si="71"/>
        <v>0</v>
      </c>
      <c r="BQ51" s="365">
        <f t="shared" si="71"/>
        <v>-19869400</v>
      </c>
      <c r="BR51" s="365">
        <f t="shared" si="71"/>
        <v>6020000</v>
      </c>
      <c r="BS51" s="365">
        <f t="shared" si="71"/>
        <v>27147400</v>
      </c>
      <c r="BT51" s="365">
        <f t="shared" si="71"/>
        <v>34947601</v>
      </c>
      <c r="BU51" s="365">
        <f t="shared" si="71"/>
        <v>0</v>
      </c>
      <c r="BV51" s="365">
        <f t="shared" si="71"/>
        <v>0</v>
      </c>
      <c r="BW51" s="365">
        <f t="shared" si="71"/>
        <v>221675500</v>
      </c>
      <c r="BX51" s="365">
        <f t="shared" si="71"/>
        <v>33844399</v>
      </c>
      <c r="BY51" s="365">
        <f t="shared" si="71"/>
        <v>7442298</v>
      </c>
      <c r="BZ51" s="365">
        <f t="shared" si="71"/>
        <v>0</v>
      </c>
      <c r="CA51" s="365">
        <f t="shared" si="71"/>
        <v>0</v>
      </c>
      <c r="CB51" s="365">
        <f t="shared" si="71"/>
        <v>0</v>
      </c>
      <c r="CC51" s="365">
        <f t="shared" si="71"/>
        <v>0</v>
      </c>
      <c r="CD51" s="365">
        <f t="shared" si="71"/>
        <v>0</v>
      </c>
      <c r="CE51" s="365">
        <f t="shared" si="69"/>
        <v>1931959340</v>
      </c>
      <c r="CF51" s="365">
        <f t="shared" si="69"/>
        <v>1924517042</v>
      </c>
      <c r="CG51" s="365">
        <f t="shared" si="69"/>
        <v>1614335541</v>
      </c>
      <c r="CH51" s="364">
        <f t="shared" si="69"/>
        <v>1931959340</v>
      </c>
      <c r="CI51" s="364">
        <f t="shared" si="69"/>
        <v>1614335541</v>
      </c>
      <c r="CJ51" s="365">
        <f t="shared" si="69"/>
        <v>1939781000</v>
      </c>
      <c r="CK51" s="363"/>
      <c r="CL51" s="363"/>
      <c r="CM51" s="363"/>
      <c r="CN51" s="363"/>
      <c r="CO51" s="363"/>
      <c r="CP51" s="363"/>
      <c r="CQ51" s="363"/>
      <c r="CR51" s="363"/>
      <c r="CS51" s="363"/>
      <c r="CT51" s="363"/>
      <c r="CU51" s="363"/>
      <c r="CV51" s="363"/>
      <c r="CW51" s="363"/>
      <c r="CX51" s="363"/>
      <c r="CY51" s="363"/>
      <c r="CZ51" s="363"/>
      <c r="DA51" s="363"/>
      <c r="DB51" s="363"/>
      <c r="DC51" s="363"/>
      <c r="DD51" s="363"/>
      <c r="DE51" s="363"/>
      <c r="DF51" s="363"/>
      <c r="DG51" s="363"/>
      <c r="DH51" s="363"/>
      <c r="DI51" s="364">
        <v>0</v>
      </c>
      <c r="DJ51" s="365">
        <v>0</v>
      </c>
      <c r="DK51" s="365">
        <v>0</v>
      </c>
      <c r="DL51" s="364">
        <v>0</v>
      </c>
      <c r="DM51" s="365">
        <v>0</v>
      </c>
      <c r="DN51" s="365">
        <f>+DN46+DN49</f>
        <v>1018385000</v>
      </c>
      <c r="DO51" s="385"/>
      <c r="DP51" s="385"/>
      <c r="DQ51" s="385"/>
      <c r="DR51" s="385"/>
      <c r="DS51" s="385"/>
      <c r="DT51" s="385"/>
      <c r="DU51" s="385"/>
      <c r="DV51" s="385"/>
      <c r="DW51" s="385"/>
      <c r="DX51" s="385"/>
      <c r="DY51" s="385"/>
      <c r="DZ51" s="385"/>
      <c r="EA51" s="385"/>
      <c r="EB51" s="385"/>
      <c r="EC51" s="385"/>
      <c r="ED51" s="385"/>
      <c r="EE51" s="385"/>
      <c r="EF51" s="385"/>
      <c r="EG51" s="385"/>
      <c r="EH51" s="385"/>
      <c r="EI51" s="385"/>
      <c r="EJ51" s="385"/>
      <c r="EK51" s="385"/>
      <c r="EL51" s="385"/>
      <c r="EM51" s="343">
        <f>EK51+EI51+EG51+EE51+EC51+EA51+DY51+DW51+DU51+DS51+DQ51+DO51</f>
        <v>0</v>
      </c>
      <c r="EN51" s="344">
        <f>+EN46+EN49</f>
        <v>0</v>
      </c>
      <c r="EO51" s="345">
        <f>EO46+EO49</f>
        <v>0</v>
      </c>
      <c r="EP51" s="344">
        <f>+EP46+EP49</f>
        <v>0</v>
      </c>
      <c r="EQ51" s="344">
        <f>+EQ46+EQ49</f>
        <v>0</v>
      </c>
      <c r="ER51" s="334">
        <f t="shared" si="3"/>
        <v>0.15267541519022174</v>
      </c>
      <c r="ES51" s="291">
        <f t="shared" si="5"/>
        <v>0.8388263163013342</v>
      </c>
      <c r="ET51" s="292">
        <f t="shared" si="6"/>
        <v>0.83559498772888252</v>
      </c>
      <c r="EU51" s="293">
        <f t="shared" si="4"/>
        <v>0.91368172410349402</v>
      </c>
      <c r="EV51" s="294">
        <f t="shared" si="7"/>
        <v>0.5366126174064455</v>
      </c>
      <c r="EW51" s="458"/>
      <c r="EX51" s="458" t="s">
        <v>606</v>
      </c>
      <c r="EY51" s="458" t="s">
        <v>606</v>
      </c>
      <c r="EZ51" s="458"/>
      <c r="FA51" s="458"/>
      <c r="FB51" s="451"/>
    </row>
    <row r="52" spans="1:158" s="3" customFormat="1" ht="30.75" customHeight="1" x14ac:dyDescent="0.25">
      <c r="A52" s="453" t="s">
        <v>307</v>
      </c>
      <c r="B52" s="453">
        <v>7</v>
      </c>
      <c r="C52" s="453" t="s">
        <v>313</v>
      </c>
      <c r="D52" s="453" t="s">
        <v>271</v>
      </c>
      <c r="E52" s="453">
        <v>268</v>
      </c>
      <c r="F52" s="205" t="s">
        <v>40</v>
      </c>
      <c r="G52" s="280">
        <v>1</v>
      </c>
      <c r="H52" s="346">
        <v>1</v>
      </c>
      <c r="I52" s="346">
        <v>1</v>
      </c>
      <c r="J52" s="346">
        <v>1</v>
      </c>
      <c r="K52" s="346">
        <v>1</v>
      </c>
      <c r="L52" s="346">
        <v>1</v>
      </c>
      <c r="M52" s="346">
        <v>1</v>
      </c>
      <c r="N52" s="346">
        <v>1</v>
      </c>
      <c r="O52" s="346">
        <v>1</v>
      </c>
      <c r="P52" s="346">
        <v>1</v>
      </c>
      <c r="Q52" s="346">
        <v>1</v>
      </c>
      <c r="R52" s="346">
        <v>1</v>
      </c>
      <c r="S52" s="346">
        <v>1</v>
      </c>
      <c r="T52" s="346">
        <v>1</v>
      </c>
      <c r="U52" s="346">
        <v>1</v>
      </c>
      <c r="V52" s="346">
        <v>1</v>
      </c>
      <c r="W52" s="346">
        <v>1</v>
      </c>
      <c r="X52" s="346">
        <v>1</v>
      </c>
      <c r="Y52" s="346">
        <v>1</v>
      </c>
      <c r="Z52" s="346">
        <v>1</v>
      </c>
      <c r="AA52" s="346">
        <v>1</v>
      </c>
      <c r="AB52" s="346">
        <v>1</v>
      </c>
      <c r="AC52" s="346">
        <v>1</v>
      </c>
      <c r="AD52" s="346">
        <v>1</v>
      </c>
      <c r="AE52" s="346">
        <v>1</v>
      </c>
      <c r="AF52" s="346">
        <v>1</v>
      </c>
      <c r="AG52" s="346">
        <v>1</v>
      </c>
      <c r="AH52" s="346">
        <v>1</v>
      </c>
      <c r="AI52" s="346">
        <v>1</v>
      </c>
      <c r="AJ52" s="346">
        <v>0.64</v>
      </c>
      <c r="AK52" s="346">
        <v>1</v>
      </c>
      <c r="AL52" s="346">
        <v>0.877</v>
      </c>
      <c r="AM52" s="346">
        <v>1</v>
      </c>
      <c r="AN52" s="353">
        <v>0.91600000000000004</v>
      </c>
      <c r="AO52" s="346">
        <v>1</v>
      </c>
      <c r="AP52" s="346">
        <v>1</v>
      </c>
      <c r="AQ52" s="346">
        <v>1</v>
      </c>
      <c r="AR52" s="353">
        <v>0.91300000000000003</v>
      </c>
      <c r="AS52" s="346">
        <v>1</v>
      </c>
      <c r="AT52" s="346">
        <v>1</v>
      </c>
      <c r="AU52" s="346">
        <v>1</v>
      </c>
      <c r="AV52" s="353">
        <v>1</v>
      </c>
      <c r="AW52" s="346">
        <v>1</v>
      </c>
      <c r="AX52" s="346">
        <v>1</v>
      </c>
      <c r="AY52" s="346">
        <v>1</v>
      </c>
      <c r="AZ52" s="353">
        <v>1</v>
      </c>
      <c r="BA52" s="346">
        <f>+AB52</f>
        <v>1</v>
      </c>
      <c r="BB52" s="346">
        <f>+AY52</f>
        <v>1</v>
      </c>
      <c r="BC52" s="346">
        <f>+AZ52</f>
        <v>1</v>
      </c>
      <c r="BD52" s="346">
        <f>+G52</f>
        <v>1</v>
      </c>
      <c r="BE52" s="346">
        <f>+AZ52</f>
        <v>1</v>
      </c>
      <c r="BF52" s="346">
        <v>1</v>
      </c>
      <c r="BG52" s="346">
        <v>1</v>
      </c>
      <c r="BH52" s="346">
        <v>1</v>
      </c>
      <c r="BI52" s="346">
        <v>1</v>
      </c>
      <c r="BJ52" s="346">
        <v>1</v>
      </c>
      <c r="BK52" s="346">
        <v>1</v>
      </c>
      <c r="BL52" s="346">
        <v>1</v>
      </c>
      <c r="BM52" s="346">
        <v>1</v>
      </c>
      <c r="BN52" s="346">
        <v>1</v>
      </c>
      <c r="BO52" s="346">
        <v>1</v>
      </c>
      <c r="BP52" s="346">
        <v>1</v>
      </c>
      <c r="BQ52" s="346">
        <v>1</v>
      </c>
      <c r="BR52" s="346">
        <v>1</v>
      </c>
      <c r="BS52" s="346">
        <v>1</v>
      </c>
      <c r="BT52" s="346">
        <v>1</v>
      </c>
      <c r="BU52" s="346">
        <v>1</v>
      </c>
      <c r="BV52" s="346">
        <v>1</v>
      </c>
      <c r="BW52" s="346">
        <v>1</v>
      </c>
      <c r="BX52" s="346">
        <v>1</v>
      </c>
      <c r="BY52" s="346">
        <v>1</v>
      </c>
      <c r="BZ52" s="327"/>
      <c r="CA52" s="346">
        <v>1</v>
      </c>
      <c r="CB52" s="327"/>
      <c r="CC52" s="346">
        <v>1</v>
      </c>
      <c r="CD52" s="327"/>
      <c r="CE52" s="346">
        <f>+BW52</f>
        <v>1</v>
      </c>
      <c r="CF52" s="346">
        <f>+BW52</f>
        <v>1</v>
      </c>
      <c r="CG52" s="346">
        <f>+BX52</f>
        <v>1</v>
      </c>
      <c r="CH52" s="346">
        <f>+BW52</f>
        <v>1</v>
      </c>
      <c r="CI52" s="346">
        <f>+BX52</f>
        <v>1</v>
      </c>
      <c r="CJ52" s="220">
        <v>1</v>
      </c>
      <c r="CK52" s="220"/>
      <c r="CL52" s="220"/>
      <c r="CM52" s="220"/>
      <c r="CN52" s="220"/>
      <c r="CO52" s="220"/>
      <c r="CP52" s="220"/>
      <c r="CQ52" s="220"/>
      <c r="CR52" s="220"/>
      <c r="CS52" s="220"/>
      <c r="CT52" s="220"/>
      <c r="CU52" s="220"/>
      <c r="CV52" s="220"/>
      <c r="CW52" s="220"/>
      <c r="CX52" s="220"/>
      <c r="CY52" s="220"/>
      <c r="CZ52" s="220"/>
      <c r="DA52" s="220"/>
      <c r="DB52" s="220"/>
      <c r="DC52" s="220"/>
      <c r="DD52" s="220"/>
      <c r="DE52" s="220"/>
      <c r="DF52" s="220"/>
      <c r="DG52" s="220"/>
      <c r="DH52" s="220"/>
      <c r="DI52" s="220">
        <f>DG52+DE52+DC52+DA52+CY52+CW52+CU52+CS52+CQ52+CO52+CM52+CK52</f>
        <v>0</v>
      </c>
      <c r="DJ52" s="220">
        <f>CK52+CM52+CO52+CQ52</f>
        <v>0</v>
      </c>
      <c r="DK52" s="220">
        <f>CL52+CN52+CP52+CR52</f>
        <v>0</v>
      </c>
      <c r="DL52" s="220">
        <f>CM52+CO52+CQ52+CS52+CU52+CW52+CY52+DA52+DC52+DE52+DG52+CK52</f>
        <v>0</v>
      </c>
      <c r="DM52" s="220">
        <f>CL52+CN52+CP52+CR52</f>
        <v>0</v>
      </c>
      <c r="DN52" s="220">
        <v>1</v>
      </c>
      <c r="DO52" s="354"/>
      <c r="DP52" s="354"/>
      <c r="DQ52" s="354"/>
      <c r="DR52" s="354"/>
      <c r="DS52" s="354"/>
      <c r="DT52" s="354"/>
      <c r="DU52" s="354"/>
      <c r="DV52" s="354"/>
      <c r="DW52" s="354"/>
      <c r="DX52" s="354"/>
      <c r="DY52" s="354"/>
      <c r="DZ52" s="354"/>
      <c r="EA52" s="354"/>
      <c r="EB52" s="354"/>
      <c r="EC52" s="354"/>
      <c r="ED52" s="354"/>
      <c r="EE52" s="354"/>
      <c r="EF52" s="354"/>
      <c r="EG52" s="354"/>
      <c r="EH52" s="354"/>
      <c r="EI52" s="354"/>
      <c r="EJ52" s="354"/>
      <c r="EK52" s="354"/>
      <c r="EL52" s="354"/>
      <c r="EM52" s="386">
        <f>EK52+EI52+EG52+EE52+EC52+EA52+DY52+DW52+DU52+DS52+DQ52+DO52</f>
        <v>0</v>
      </c>
      <c r="EN52" s="355">
        <f>DO52+DQ52+DS52+DU52</f>
        <v>0</v>
      </c>
      <c r="EO52" s="355">
        <f t="shared" ref="EO52:EO57" si="72">DP52+DR52+DT52+DV52</f>
        <v>0</v>
      </c>
      <c r="EP52" s="355">
        <f>DQ52+DS52+DU52+DW52+DY52+EA52+EC52+EE52+EG52+EI52+EK52+DO52</f>
        <v>0</v>
      </c>
      <c r="EQ52" s="355">
        <f>DP52+DR52+DT52+DV52</f>
        <v>0</v>
      </c>
      <c r="ER52" s="329">
        <f t="shared" si="3"/>
        <v>1</v>
      </c>
      <c r="ES52" s="295">
        <f>+CG52/CF52</f>
        <v>1</v>
      </c>
      <c r="ET52" s="296">
        <f t="shared" si="6"/>
        <v>1</v>
      </c>
      <c r="EU52" s="297">
        <f t="shared" si="4"/>
        <v>1</v>
      </c>
      <c r="EV52" s="296">
        <f>+(AA52+BE52+CI52)/500%</f>
        <v>0.6</v>
      </c>
      <c r="EW52" s="511" t="s">
        <v>685</v>
      </c>
      <c r="EX52" s="458" t="s">
        <v>606</v>
      </c>
      <c r="EY52" s="458" t="s">
        <v>606</v>
      </c>
      <c r="EZ52" s="458" t="s">
        <v>552</v>
      </c>
      <c r="FA52" s="458" t="s">
        <v>553</v>
      </c>
      <c r="FB52" s="451"/>
    </row>
    <row r="53" spans="1:158" s="49" customFormat="1" ht="30.75" customHeight="1" x14ac:dyDescent="0.25">
      <c r="A53" s="453"/>
      <c r="B53" s="453"/>
      <c r="C53" s="453"/>
      <c r="D53" s="453"/>
      <c r="E53" s="453"/>
      <c r="F53" s="206" t="s">
        <v>3</v>
      </c>
      <c r="G53" s="272">
        <f>AA53+BE53+CH53+CJ53+DN53</f>
        <v>3019306132</v>
      </c>
      <c r="H53" s="107">
        <v>450000000</v>
      </c>
      <c r="I53" s="108"/>
      <c r="J53" s="108"/>
      <c r="K53" s="108"/>
      <c r="L53" s="108"/>
      <c r="M53" s="108"/>
      <c r="N53" s="108"/>
      <c r="O53" s="108"/>
      <c r="P53" s="108"/>
      <c r="Q53" s="108"/>
      <c r="R53" s="108"/>
      <c r="S53" s="108"/>
      <c r="T53" s="107"/>
      <c r="U53" s="119"/>
      <c r="V53" s="119"/>
      <c r="W53" s="107">
        <v>450000000</v>
      </c>
      <c r="X53" s="107">
        <v>450000000</v>
      </c>
      <c r="Y53" s="107">
        <v>447516000</v>
      </c>
      <c r="Z53" s="107">
        <v>450000000</v>
      </c>
      <c r="AA53" s="107">
        <v>447516000</v>
      </c>
      <c r="AB53" s="107">
        <v>691670000</v>
      </c>
      <c r="AC53" s="108">
        <v>0</v>
      </c>
      <c r="AD53" s="108">
        <v>0</v>
      </c>
      <c r="AE53" s="108">
        <v>326043000</v>
      </c>
      <c r="AF53" s="108">
        <f>326043000-AD53</f>
        <v>326043000</v>
      </c>
      <c r="AG53" s="108">
        <v>89595000</v>
      </c>
      <c r="AH53" s="108">
        <f>415638000-AF53-AD53</f>
        <v>89595000</v>
      </c>
      <c r="AI53" s="108">
        <v>100480000</v>
      </c>
      <c r="AJ53" s="108">
        <f>516118000-AH53-AF53-AD53</f>
        <v>100480000</v>
      </c>
      <c r="AK53" s="108">
        <v>0</v>
      </c>
      <c r="AL53" s="108">
        <f>516118000-AJ53-AH53-AF53-AD53</f>
        <v>0</v>
      </c>
      <c r="AM53" s="108">
        <v>0</v>
      </c>
      <c r="AN53" s="108">
        <v>0</v>
      </c>
      <c r="AO53" s="108">
        <v>0</v>
      </c>
      <c r="AP53" s="108">
        <v>0</v>
      </c>
      <c r="AQ53" s="108">
        <f>4186666.66666667+32598400</f>
        <v>36785066.666666672</v>
      </c>
      <c r="AR53" s="108">
        <v>0</v>
      </c>
      <c r="AS53" s="108">
        <f>4186666.66666667+32598400-133727930</f>
        <v>-96942863.333333328</v>
      </c>
      <c r="AT53" s="108">
        <v>0</v>
      </c>
      <c r="AU53" s="108">
        <f>4186666.66666667+32598400</f>
        <v>36785066.666666672</v>
      </c>
      <c r="AV53" s="108">
        <v>27531699</v>
      </c>
      <c r="AW53" s="108">
        <v>32598400</v>
      </c>
      <c r="AX53" s="108">
        <v>13283666</v>
      </c>
      <c r="AY53" s="108">
        <v>32598400</v>
      </c>
      <c r="AZ53" s="108">
        <v>0</v>
      </c>
      <c r="BA53" s="108">
        <f>AY53+AW53+AU53+AS53+AQ53+AO53+AM53+AK53+AI53+AG53+AE53+AC53</f>
        <v>557942070</v>
      </c>
      <c r="BB53" s="117">
        <f>AC53+AE53+AG53+AI53+AK53+AM53+AO53+AQ53+AS53+AU53+AW53+AY53</f>
        <v>557942070</v>
      </c>
      <c r="BC53" s="108">
        <f>AD53+AF53+AH53+AJ53+AL53+AN53+AP53+AR53+AT53+AV53+AX53+AZ53</f>
        <v>556933365</v>
      </c>
      <c r="BD53" s="117">
        <f>AE53+AG53+AI53+AK53+AM53+AO53+AQ53+AS53+AU53+AW53+AY53+AC53</f>
        <v>557942070</v>
      </c>
      <c r="BE53" s="108">
        <f>AD53+AF53+AH53+AJ53+AL53+AN53+AP53+AR53+AT53+AV53+AX53+AZ53</f>
        <v>556933365</v>
      </c>
      <c r="BF53" s="117">
        <v>725040000</v>
      </c>
      <c r="BG53" s="108">
        <v>722400000</v>
      </c>
      <c r="BH53" s="108">
        <v>585413000</v>
      </c>
      <c r="BI53" s="108">
        <v>0</v>
      </c>
      <c r="BJ53" s="108">
        <v>0</v>
      </c>
      <c r="BK53" s="313">
        <v>-136987000</v>
      </c>
      <c r="BL53" s="108">
        <v>0</v>
      </c>
      <c r="BM53" s="313">
        <v>0</v>
      </c>
      <c r="BN53" s="108">
        <v>0</v>
      </c>
      <c r="BO53" s="313">
        <v>0</v>
      </c>
      <c r="BP53" s="108">
        <v>0</v>
      </c>
      <c r="BQ53" s="313">
        <v>0</v>
      </c>
      <c r="BR53" s="108">
        <v>0</v>
      </c>
      <c r="BS53" s="313">
        <v>0</v>
      </c>
      <c r="BT53" s="108">
        <v>0</v>
      </c>
      <c r="BU53" s="314">
        <v>2640000</v>
      </c>
      <c r="BV53" s="108">
        <v>0</v>
      </c>
      <c r="BW53" s="314">
        <v>76803767</v>
      </c>
      <c r="BX53" s="108">
        <v>12040000</v>
      </c>
      <c r="BY53" s="108">
        <v>0</v>
      </c>
      <c r="BZ53" s="108"/>
      <c r="CA53" s="108">
        <v>0</v>
      </c>
      <c r="CB53" s="108"/>
      <c r="CC53" s="108">
        <v>0</v>
      </c>
      <c r="CD53" s="108"/>
      <c r="CE53" s="108">
        <f>CC53+CA53+BY53+BW53+BU53+BS53+BQ53+BO53+BM53+BK53+BI53+BG53</f>
        <v>664856767</v>
      </c>
      <c r="CF53" s="108">
        <f>+BG53+BI53+BK53+BM53+BO53+BQ53+BS53+BU53+BW53</f>
        <v>664856767</v>
      </c>
      <c r="CG53" s="108">
        <f>+BH53+BJ53+BL53+BN53+BP53+BR53+BT53+BV53+BX53</f>
        <v>597453000</v>
      </c>
      <c r="CH53" s="107">
        <f>CC53+CA53+BY53+BW53+BU53+BS53+BQ53+BO53+BM53+BK53+BI53+BG53</f>
        <v>664856767</v>
      </c>
      <c r="CI53" s="107">
        <f>+BH53+BJ53+BL53+BN53+BP53+BR53+BT53+BV53+BX53</f>
        <v>597453000</v>
      </c>
      <c r="CJ53" s="108">
        <v>900000000</v>
      </c>
      <c r="CK53" s="108"/>
      <c r="CL53" s="108"/>
      <c r="CM53" s="108"/>
      <c r="CN53" s="108"/>
      <c r="CO53" s="108"/>
      <c r="CP53" s="108"/>
      <c r="CQ53" s="108"/>
      <c r="CR53" s="108"/>
      <c r="CS53" s="108"/>
      <c r="CT53" s="108"/>
      <c r="CU53" s="108"/>
      <c r="CV53" s="108"/>
      <c r="CW53" s="108"/>
      <c r="CX53" s="108"/>
      <c r="CY53" s="108"/>
      <c r="CZ53" s="108"/>
      <c r="DA53" s="108"/>
      <c r="DB53" s="108"/>
      <c r="DC53" s="108"/>
      <c r="DD53" s="108"/>
      <c r="DE53" s="108"/>
      <c r="DF53" s="108"/>
      <c r="DG53" s="108"/>
      <c r="DH53" s="108"/>
      <c r="DI53" s="107"/>
      <c r="DJ53" s="117"/>
      <c r="DK53" s="117"/>
      <c r="DL53" s="107"/>
      <c r="DM53" s="117"/>
      <c r="DN53" s="108">
        <v>450000000</v>
      </c>
      <c r="DO53" s="66"/>
      <c r="DP53" s="66"/>
      <c r="DQ53" s="66"/>
      <c r="DR53" s="66"/>
      <c r="DS53" s="66"/>
      <c r="DT53" s="66"/>
      <c r="DU53" s="66"/>
      <c r="DV53" s="66"/>
      <c r="DW53" s="66"/>
      <c r="DX53" s="66"/>
      <c r="DY53" s="66"/>
      <c r="DZ53" s="66"/>
      <c r="EA53" s="66"/>
      <c r="EB53" s="66"/>
      <c r="EC53" s="66"/>
      <c r="ED53" s="66"/>
      <c r="EE53" s="66"/>
      <c r="EF53" s="66"/>
      <c r="EG53" s="66"/>
      <c r="EH53" s="66"/>
      <c r="EI53" s="66"/>
      <c r="EJ53" s="66"/>
      <c r="EK53" s="66"/>
      <c r="EL53" s="66"/>
      <c r="EM53" s="305">
        <f>EK53+EI53+EG53+EE53+EC53+EA53+DY53+DW53+DU53+DS53+DQ53+DO53</f>
        <v>0</v>
      </c>
      <c r="EN53" s="87">
        <f>DO53+DQ53+DS53+DU53</f>
        <v>0</v>
      </c>
      <c r="EO53" s="87">
        <f t="shared" si="72"/>
        <v>0</v>
      </c>
      <c r="EP53" s="88">
        <f>DQ53+DS53+DU53+DW53+DY53+EA53+EC53+EE53+EG53+EI53+EK53+DO53</f>
        <v>0</v>
      </c>
      <c r="EQ53" s="87">
        <f>DP53+DR53+DT53+DV53</f>
        <v>0</v>
      </c>
      <c r="ER53" s="122">
        <f t="shared" si="3"/>
        <v>0.15676314418275863</v>
      </c>
      <c r="ES53" s="285">
        <f t="shared" si="5"/>
        <v>0.89861911565683139</v>
      </c>
      <c r="ET53" s="286">
        <f t="shared" si="6"/>
        <v>0.89861911565683139</v>
      </c>
      <c r="EU53" s="287">
        <f t="shared" si="4"/>
        <v>0.95761805279160417</v>
      </c>
      <c r="EV53" s="286">
        <f t="shared" si="7"/>
        <v>0.53055314531451425</v>
      </c>
      <c r="EW53" s="512"/>
      <c r="EX53" s="458" t="s">
        <v>606</v>
      </c>
      <c r="EY53" s="458" t="s">
        <v>606</v>
      </c>
      <c r="EZ53" s="458"/>
      <c r="FA53" s="458"/>
      <c r="FB53" s="451"/>
    </row>
    <row r="54" spans="1:158" s="49" customFormat="1" ht="30.75" customHeight="1" x14ac:dyDescent="0.25">
      <c r="A54" s="453"/>
      <c r="B54" s="453"/>
      <c r="C54" s="453"/>
      <c r="D54" s="453"/>
      <c r="E54" s="453"/>
      <c r="F54" s="207" t="s">
        <v>216</v>
      </c>
      <c r="G54" s="273"/>
      <c r="H54" s="107"/>
      <c r="I54" s="108"/>
      <c r="J54" s="108"/>
      <c r="K54" s="108"/>
      <c r="L54" s="108"/>
      <c r="M54" s="108"/>
      <c r="N54" s="108"/>
      <c r="O54" s="108"/>
      <c r="P54" s="108"/>
      <c r="Q54" s="108"/>
      <c r="R54" s="108"/>
      <c r="S54" s="108"/>
      <c r="T54" s="107"/>
      <c r="U54" s="119"/>
      <c r="V54" s="119"/>
      <c r="W54" s="107"/>
      <c r="X54" s="107"/>
      <c r="Y54" s="107"/>
      <c r="Z54" s="107"/>
      <c r="AA54" s="108"/>
      <c r="AB54" s="107"/>
      <c r="AC54" s="108">
        <v>0</v>
      </c>
      <c r="AD54" s="108">
        <v>0</v>
      </c>
      <c r="AE54" s="108">
        <v>0</v>
      </c>
      <c r="AF54" s="108">
        <v>0</v>
      </c>
      <c r="AG54" s="108">
        <v>13025300</v>
      </c>
      <c r="AH54" s="108">
        <v>13025300</v>
      </c>
      <c r="AI54" s="108">
        <v>41275300</v>
      </c>
      <c r="AJ54" s="108">
        <f>54300600-AH54</f>
        <v>41275300</v>
      </c>
      <c r="AK54" s="108">
        <v>49826100</v>
      </c>
      <c r="AL54" s="108">
        <f>104126700-AJ54-AH54</f>
        <v>49826100</v>
      </c>
      <c r="AM54" s="108">
        <v>59253467</v>
      </c>
      <c r="AN54" s="108">
        <v>59253467</v>
      </c>
      <c r="AO54" s="108">
        <v>0</v>
      </c>
      <c r="AP54" s="108">
        <v>58742000</v>
      </c>
      <c r="AQ54" s="108">
        <v>0</v>
      </c>
      <c r="AR54" s="108">
        <v>58742000</v>
      </c>
      <c r="AS54" s="108">
        <v>0</v>
      </c>
      <c r="AT54" s="108">
        <v>58742000</v>
      </c>
      <c r="AU54" s="108">
        <v>0</v>
      </c>
      <c r="AV54" s="108">
        <v>58742000</v>
      </c>
      <c r="AW54" s="108">
        <v>0</v>
      </c>
      <c r="AX54" s="108">
        <v>58742000</v>
      </c>
      <c r="AY54" s="108">
        <v>0</v>
      </c>
      <c r="AZ54" s="108">
        <v>0</v>
      </c>
      <c r="BA54" s="108">
        <f>AY54+AW54+AU54+AS54+AQ54+AO54+AM54+AK54+AI54+AG54+AE54+AC54</f>
        <v>163380167</v>
      </c>
      <c r="BB54" s="117">
        <f>AC54+AE54+AG54+AI54+AK54+AM54+AO54+AQ54+AS54+AU54+AW54+AY54</f>
        <v>163380167</v>
      </c>
      <c r="BC54" s="108">
        <f>AD54+AF54+AH54+AJ54+AL54+AN54+AP54+AR54+AT54+AV54+AX54+AZ54</f>
        <v>457090167</v>
      </c>
      <c r="BD54" s="117">
        <f>AE54+AG54+AI54+AK54+AM54+AO54+AQ54+AS54+AU54+AW54+AY54+AC54</f>
        <v>163380167</v>
      </c>
      <c r="BE54" s="108">
        <f>AD54+AF54+AH54+AJ54+AL54+AN54+AP54+AR54+AT54+AV54+AX54+AZ54</f>
        <v>457090167</v>
      </c>
      <c r="BF54" s="108">
        <v>0</v>
      </c>
      <c r="BG54" s="108">
        <v>0</v>
      </c>
      <c r="BH54" s="108">
        <v>0</v>
      </c>
      <c r="BI54" s="108"/>
      <c r="BJ54" s="108">
        <v>1771000</v>
      </c>
      <c r="BK54" s="108"/>
      <c r="BL54" s="108">
        <v>55558600</v>
      </c>
      <c r="BM54" s="108"/>
      <c r="BN54" s="108">
        <v>75173000</v>
      </c>
      <c r="BO54" s="108"/>
      <c r="BP54" s="108">
        <v>67583000</v>
      </c>
      <c r="BQ54" s="108">
        <v>0</v>
      </c>
      <c r="BR54" s="108">
        <v>67583000</v>
      </c>
      <c r="BS54" s="108"/>
      <c r="BT54" s="108">
        <v>67583000</v>
      </c>
      <c r="BU54" s="108">
        <v>0</v>
      </c>
      <c r="BV54" s="108">
        <v>59667000</v>
      </c>
      <c r="BW54" s="108">
        <v>0</v>
      </c>
      <c r="BX54" s="108">
        <v>72489000</v>
      </c>
      <c r="BY54" s="108"/>
      <c r="BZ54" s="108"/>
      <c r="CA54" s="108"/>
      <c r="CB54" s="108"/>
      <c r="CC54" s="108"/>
      <c r="CD54" s="108"/>
      <c r="CE54" s="108">
        <f>CC54+CA54+BY54+BW54+BU54+BS54+BQ54+BO54+BM54+BK54+BI54+BG54</f>
        <v>0</v>
      </c>
      <c r="CF54" s="108">
        <f>+BG54+BI54+BK54+BM54+BO54+BQ54+BS54+BU54+BW54</f>
        <v>0</v>
      </c>
      <c r="CG54" s="108">
        <f>+BH54+BJ54+BL54+BN54+BP54+BR54+BT54+BV54+BX54</f>
        <v>467407600</v>
      </c>
      <c r="CH54" s="107">
        <f>CC54+CA54+BY54+BW54+BU54+BS54+BQ54+BO54+BM54+BK54+BI54+BG54</f>
        <v>0</v>
      </c>
      <c r="CI54" s="107">
        <f>+BH54+BJ54+BL54+BN54+BP54+BR54+BT54+BV54+BX54</f>
        <v>467407600</v>
      </c>
      <c r="CJ54" s="108">
        <v>0</v>
      </c>
      <c r="CK54" s="108"/>
      <c r="CL54" s="108"/>
      <c r="CM54" s="108"/>
      <c r="CN54" s="108"/>
      <c r="CO54" s="108"/>
      <c r="CP54" s="108"/>
      <c r="CQ54" s="108"/>
      <c r="CR54" s="108"/>
      <c r="CS54" s="108"/>
      <c r="CT54" s="108"/>
      <c r="CU54" s="108"/>
      <c r="CV54" s="108"/>
      <c r="CW54" s="108"/>
      <c r="CX54" s="108"/>
      <c r="CY54" s="108"/>
      <c r="CZ54" s="108"/>
      <c r="DA54" s="108"/>
      <c r="DB54" s="108"/>
      <c r="DC54" s="108"/>
      <c r="DD54" s="108"/>
      <c r="DE54" s="108"/>
      <c r="DF54" s="108"/>
      <c r="DG54" s="108"/>
      <c r="DH54" s="108"/>
      <c r="DI54" s="107"/>
      <c r="DJ54" s="117"/>
      <c r="DK54" s="117"/>
      <c r="DL54" s="107"/>
      <c r="DM54" s="117"/>
      <c r="DN54" s="108">
        <v>0</v>
      </c>
      <c r="DO54" s="66"/>
      <c r="DP54" s="66"/>
      <c r="DQ54" s="66"/>
      <c r="DR54" s="66"/>
      <c r="DS54" s="66"/>
      <c r="DT54" s="66"/>
      <c r="DU54" s="66"/>
      <c r="DV54" s="66"/>
      <c r="DW54" s="66"/>
      <c r="DX54" s="66"/>
      <c r="DY54" s="66"/>
      <c r="DZ54" s="66"/>
      <c r="EA54" s="66"/>
      <c r="EB54" s="66"/>
      <c r="EC54" s="66"/>
      <c r="ED54" s="66"/>
      <c r="EE54" s="66"/>
      <c r="EF54" s="66"/>
      <c r="EG54" s="66"/>
      <c r="EH54" s="66"/>
      <c r="EI54" s="66"/>
      <c r="EJ54" s="66"/>
      <c r="EK54" s="66"/>
      <c r="EL54" s="66"/>
      <c r="EM54" s="305">
        <f>EI54+EG54+EE54+EC54+EA54+DY54+DW54+DU54+DS54+DQ54+DO54+EK54</f>
        <v>0</v>
      </c>
      <c r="EN54" s="87">
        <f>DO54+DQ54+DS54+DU54</f>
        <v>0</v>
      </c>
      <c r="EO54" s="87">
        <f t="shared" si="72"/>
        <v>0</v>
      </c>
      <c r="EP54" s="85">
        <f>DQ54+DS54+DU54+DW54+DY54+EA54+EC54+EE54+EG54+EI54+EK54</f>
        <v>0</v>
      </c>
      <c r="EQ54" s="87">
        <f>DP54+DR54+DT54+DV54</f>
        <v>0</v>
      </c>
      <c r="ER54" s="122" t="e">
        <f t="shared" si="3"/>
        <v>#DIV/0!</v>
      </c>
      <c r="ES54" s="285" t="e">
        <f t="shared" si="5"/>
        <v>#DIV/0!</v>
      </c>
      <c r="ET54" s="286" t="e">
        <f t="shared" si="6"/>
        <v>#DIV/0!</v>
      </c>
      <c r="EU54" s="287">
        <f t="shared" si="4"/>
        <v>5.6585678909239947</v>
      </c>
      <c r="EV54" s="286" t="e">
        <f t="shared" si="7"/>
        <v>#DIV/0!</v>
      </c>
      <c r="EW54" s="512"/>
      <c r="EX54" s="458" t="s">
        <v>606</v>
      </c>
      <c r="EY54" s="458" t="s">
        <v>606</v>
      </c>
      <c r="EZ54" s="458"/>
      <c r="FA54" s="458"/>
      <c r="FB54" s="451"/>
    </row>
    <row r="55" spans="1:158" s="3" customFormat="1" ht="30.75" customHeight="1" x14ac:dyDescent="0.25">
      <c r="A55" s="453"/>
      <c r="B55" s="453"/>
      <c r="C55" s="453"/>
      <c r="D55" s="453"/>
      <c r="E55" s="453"/>
      <c r="F55" s="205" t="s">
        <v>41</v>
      </c>
      <c r="G55" s="271">
        <v>0</v>
      </c>
      <c r="H55" s="106">
        <v>0</v>
      </c>
      <c r="I55" s="298">
        <v>0</v>
      </c>
      <c r="J55" s="298">
        <v>0</v>
      </c>
      <c r="K55" s="298">
        <v>0</v>
      </c>
      <c r="L55" s="298">
        <v>0</v>
      </c>
      <c r="M55" s="298">
        <v>0</v>
      </c>
      <c r="N55" s="299">
        <v>0</v>
      </c>
      <c r="O55" s="298">
        <v>0</v>
      </c>
      <c r="P55" s="299">
        <v>0</v>
      </c>
      <c r="Q55" s="298">
        <v>0</v>
      </c>
      <c r="R55" s="300">
        <v>0</v>
      </c>
      <c r="S55" s="298">
        <v>0</v>
      </c>
      <c r="T55" s="299">
        <v>0</v>
      </c>
      <c r="U55" s="298">
        <v>0</v>
      </c>
      <c r="V55" s="298">
        <v>0</v>
      </c>
      <c r="W55" s="99">
        <v>0</v>
      </c>
      <c r="X55" s="99">
        <v>0</v>
      </c>
      <c r="Y55" s="99">
        <v>0</v>
      </c>
      <c r="Z55" s="99">
        <v>0</v>
      </c>
      <c r="AA55" s="99">
        <v>0</v>
      </c>
      <c r="AB55" s="99">
        <v>0</v>
      </c>
      <c r="AC55" s="99">
        <v>0</v>
      </c>
      <c r="AD55" s="99">
        <v>0</v>
      </c>
      <c r="AE55" s="99">
        <v>0</v>
      </c>
      <c r="AF55" s="99">
        <v>0</v>
      </c>
      <c r="AG55" s="99">
        <v>0</v>
      </c>
      <c r="AH55" s="99">
        <v>0</v>
      </c>
      <c r="AI55" s="99">
        <v>0</v>
      </c>
      <c r="AJ55" s="99">
        <v>0</v>
      </c>
      <c r="AK55" s="99">
        <v>0</v>
      </c>
      <c r="AL55" s="99">
        <v>0</v>
      </c>
      <c r="AM55" s="99">
        <v>0</v>
      </c>
      <c r="AN55" s="99">
        <v>0</v>
      </c>
      <c r="AO55" s="99">
        <v>0</v>
      </c>
      <c r="AP55" s="99">
        <v>0</v>
      </c>
      <c r="AQ55" s="99">
        <v>0</v>
      </c>
      <c r="AR55" s="99">
        <v>0</v>
      </c>
      <c r="AS55" s="99">
        <v>0</v>
      </c>
      <c r="AT55" s="99">
        <v>0</v>
      </c>
      <c r="AU55" s="99">
        <v>0</v>
      </c>
      <c r="AV55" s="99">
        <v>0</v>
      </c>
      <c r="AW55" s="99">
        <v>0</v>
      </c>
      <c r="AX55" s="99">
        <v>0</v>
      </c>
      <c r="AY55" s="99">
        <v>0</v>
      </c>
      <c r="AZ55" s="99">
        <v>0</v>
      </c>
      <c r="BA55" s="99">
        <f>+AB55</f>
        <v>0</v>
      </c>
      <c r="BB55" s="99">
        <f>+AY55</f>
        <v>0</v>
      </c>
      <c r="BC55" s="99">
        <f>+AZ55</f>
        <v>0</v>
      </c>
      <c r="BD55" s="99">
        <f>+G55</f>
        <v>0</v>
      </c>
      <c r="BE55" s="99">
        <f>+AZ55</f>
        <v>0</v>
      </c>
      <c r="BF55" s="216">
        <v>0</v>
      </c>
      <c r="BG55" s="99">
        <v>0</v>
      </c>
      <c r="BH55" s="99">
        <v>0</v>
      </c>
      <c r="BI55" s="99">
        <v>0</v>
      </c>
      <c r="BJ55" s="99">
        <v>0</v>
      </c>
      <c r="BK55" s="99">
        <v>0</v>
      </c>
      <c r="BL55" s="99">
        <v>0</v>
      </c>
      <c r="BM55" s="99">
        <v>0</v>
      </c>
      <c r="BN55" s="99">
        <v>0</v>
      </c>
      <c r="BO55" s="99">
        <v>0</v>
      </c>
      <c r="BP55" s="99">
        <v>0</v>
      </c>
      <c r="BQ55" s="99">
        <v>0</v>
      </c>
      <c r="BR55" s="99">
        <v>0</v>
      </c>
      <c r="BS55" s="99">
        <v>0</v>
      </c>
      <c r="BT55" s="99">
        <v>0</v>
      </c>
      <c r="BU55" s="99">
        <v>0</v>
      </c>
      <c r="BV55" s="99">
        <v>0</v>
      </c>
      <c r="BW55" s="99">
        <v>0</v>
      </c>
      <c r="BX55" s="99">
        <v>0</v>
      </c>
      <c r="BY55" s="99">
        <v>0</v>
      </c>
      <c r="BZ55" s="298"/>
      <c r="CA55" s="99">
        <v>0</v>
      </c>
      <c r="CB55" s="298"/>
      <c r="CC55" s="99">
        <v>0</v>
      </c>
      <c r="CD55" s="298"/>
      <c r="CE55" s="99">
        <f>+BW55</f>
        <v>0</v>
      </c>
      <c r="CF55" s="99">
        <f>+BW55</f>
        <v>0</v>
      </c>
      <c r="CG55" s="99">
        <f>+BX55</f>
        <v>0</v>
      </c>
      <c r="CH55" s="99">
        <f>+BY55</f>
        <v>0</v>
      </c>
      <c r="CI55" s="99">
        <f>+BX55</f>
        <v>0</v>
      </c>
      <c r="CJ55" s="106">
        <v>0</v>
      </c>
      <c r="CK55" s="106">
        <v>0</v>
      </c>
      <c r="CL55" s="106">
        <v>0</v>
      </c>
      <c r="CM55" s="106">
        <v>0</v>
      </c>
      <c r="CN55" s="106">
        <v>0</v>
      </c>
      <c r="CO55" s="106">
        <v>0</v>
      </c>
      <c r="CP55" s="106">
        <v>0</v>
      </c>
      <c r="CQ55" s="106">
        <v>0</v>
      </c>
      <c r="CR55" s="106">
        <v>0</v>
      </c>
      <c r="CS55" s="106">
        <v>0</v>
      </c>
      <c r="CT55" s="106">
        <v>0</v>
      </c>
      <c r="CU55" s="106">
        <v>0</v>
      </c>
      <c r="CV55" s="106">
        <v>0</v>
      </c>
      <c r="CW55" s="106">
        <v>0</v>
      </c>
      <c r="CX55" s="106">
        <v>0</v>
      </c>
      <c r="CY55" s="106">
        <v>0</v>
      </c>
      <c r="CZ55" s="106">
        <v>0</v>
      </c>
      <c r="DA55" s="106">
        <v>0</v>
      </c>
      <c r="DB55" s="106">
        <v>0</v>
      </c>
      <c r="DC55" s="106">
        <v>0</v>
      </c>
      <c r="DD55" s="106">
        <v>0</v>
      </c>
      <c r="DE55" s="106">
        <v>0</v>
      </c>
      <c r="DF55" s="106">
        <v>0</v>
      </c>
      <c r="DG55" s="106">
        <v>0</v>
      </c>
      <c r="DH55" s="106">
        <v>0</v>
      </c>
      <c r="DI55" s="106">
        <v>0</v>
      </c>
      <c r="DJ55" s="106">
        <v>0</v>
      </c>
      <c r="DK55" s="106">
        <v>0</v>
      </c>
      <c r="DL55" s="106">
        <v>0</v>
      </c>
      <c r="DM55" s="106">
        <v>0</v>
      </c>
      <c r="DN55" s="106">
        <v>0</v>
      </c>
      <c r="DO55" s="134"/>
      <c r="DP55" s="134"/>
      <c r="DQ55" s="134"/>
      <c r="DR55" s="134"/>
      <c r="DS55" s="134"/>
      <c r="DT55" s="134"/>
      <c r="DU55" s="134"/>
      <c r="DV55" s="134"/>
      <c r="DW55" s="134"/>
      <c r="DX55" s="134"/>
      <c r="DY55" s="134"/>
      <c r="DZ55" s="134"/>
      <c r="EA55" s="134"/>
      <c r="EB55" s="134"/>
      <c r="EC55" s="134"/>
      <c r="ED55" s="134"/>
      <c r="EE55" s="134"/>
      <c r="EF55" s="134"/>
      <c r="EG55" s="134"/>
      <c r="EH55" s="134"/>
      <c r="EI55" s="134"/>
      <c r="EJ55" s="134"/>
      <c r="EK55" s="134"/>
      <c r="EL55" s="134"/>
      <c r="EM55" s="135">
        <f>EI55+EG55+EE55+EC55+EA55+DY55+DW55+DU55+DS55+DQ55+DO55+EK55</f>
        <v>0</v>
      </c>
      <c r="EN55" s="136">
        <f>DO55+DQ55+DS55+DU55</f>
        <v>0</v>
      </c>
      <c r="EO55" s="136">
        <f t="shared" si="72"/>
        <v>0</v>
      </c>
      <c r="EP55" s="135">
        <f>DQ55+DS55+DU55+DW55+DY55+EA55+EC55+EE55+EG55+EI55+EK55</f>
        <v>0</v>
      </c>
      <c r="EQ55" s="136">
        <v>0</v>
      </c>
      <c r="ER55" s="122" t="e">
        <f t="shared" si="3"/>
        <v>#DIV/0!</v>
      </c>
      <c r="ES55" s="285" t="e">
        <f t="shared" si="5"/>
        <v>#DIV/0!</v>
      </c>
      <c r="ET55" s="286" t="e">
        <f t="shared" si="6"/>
        <v>#DIV/0!</v>
      </c>
      <c r="EU55" s="287" t="e">
        <f t="shared" si="4"/>
        <v>#DIV/0!</v>
      </c>
      <c r="EV55" s="286" t="e">
        <f t="shared" si="7"/>
        <v>#DIV/0!</v>
      </c>
      <c r="EW55" s="512"/>
      <c r="EX55" s="458" t="s">
        <v>606</v>
      </c>
      <c r="EY55" s="458" t="s">
        <v>606</v>
      </c>
      <c r="EZ55" s="458"/>
      <c r="FA55" s="458"/>
      <c r="FB55" s="451"/>
    </row>
    <row r="56" spans="1:158" s="49" customFormat="1" ht="30.75" customHeight="1" x14ac:dyDescent="0.25">
      <c r="A56" s="453"/>
      <c r="B56" s="453"/>
      <c r="C56" s="453"/>
      <c r="D56" s="453"/>
      <c r="E56" s="453"/>
      <c r="F56" s="206" t="s">
        <v>4</v>
      </c>
      <c r="G56" s="272">
        <f>AA56+BE56+CH56+CJ56+DN56</f>
        <v>156976534</v>
      </c>
      <c r="H56" s="107">
        <v>187668702</v>
      </c>
      <c r="I56" s="108">
        <v>0</v>
      </c>
      <c r="J56" s="108">
        <v>0</v>
      </c>
      <c r="K56" s="108">
        <v>0</v>
      </c>
      <c r="L56" s="108">
        <v>0</v>
      </c>
      <c r="M56" s="108">
        <v>0</v>
      </c>
      <c r="N56" s="108">
        <v>0</v>
      </c>
      <c r="O56" s="108">
        <v>0</v>
      </c>
      <c r="P56" s="108">
        <v>0</v>
      </c>
      <c r="Q56" s="108">
        <v>0</v>
      </c>
      <c r="R56" s="108">
        <v>0</v>
      </c>
      <c r="S56" s="108">
        <v>0</v>
      </c>
      <c r="T56" s="107">
        <v>0</v>
      </c>
      <c r="U56" s="119">
        <v>0</v>
      </c>
      <c r="V56" s="119">
        <v>0</v>
      </c>
      <c r="W56" s="107">
        <v>187668702</v>
      </c>
      <c r="X56" s="107">
        <v>187668702</v>
      </c>
      <c r="Y56" s="107">
        <v>0</v>
      </c>
      <c r="Z56" s="107">
        <v>187668702</v>
      </c>
      <c r="AA56" s="108">
        <v>0</v>
      </c>
      <c r="AB56" s="107">
        <v>131174135</v>
      </c>
      <c r="AC56" s="108">
        <v>56494567</v>
      </c>
      <c r="AD56" s="108">
        <v>56494567</v>
      </c>
      <c r="AE56" s="108">
        <v>56557034</v>
      </c>
      <c r="AF56" s="108">
        <f>113051601-AD56</f>
        <v>56557034</v>
      </c>
      <c r="AG56" s="108">
        <v>7384000</v>
      </c>
      <c r="AH56" s="108">
        <f>120435601-AF56-AD56</f>
        <v>7384000</v>
      </c>
      <c r="AI56" s="108">
        <v>3121667</v>
      </c>
      <c r="AJ56" s="108">
        <f>123557268-AH56-AF56-AD56</f>
        <v>3121667</v>
      </c>
      <c r="AK56" s="108">
        <v>3746000</v>
      </c>
      <c r="AL56" s="108">
        <f>127303268-AJ56-AH56-AF56-AD56</f>
        <v>3746000</v>
      </c>
      <c r="AM56" s="108">
        <v>3870867</v>
      </c>
      <c r="AN56" s="108">
        <v>3870867</v>
      </c>
      <c r="AO56" s="108">
        <v>0</v>
      </c>
      <c r="AP56" s="108">
        <v>0</v>
      </c>
      <c r="AQ56" s="108">
        <v>0</v>
      </c>
      <c r="AR56" s="108">
        <v>0</v>
      </c>
      <c r="AS56" s="108">
        <v>0</v>
      </c>
      <c r="AT56" s="108">
        <v>0</v>
      </c>
      <c r="AU56" s="108">
        <v>0</v>
      </c>
      <c r="AV56" s="108">
        <v>0</v>
      </c>
      <c r="AW56" s="108">
        <v>0</v>
      </c>
      <c r="AX56" s="108">
        <v>0</v>
      </c>
      <c r="AY56" s="108">
        <v>0</v>
      </c>
      <c r="AZ56" s="108">
        <v>0</v>
      </c>
      <c r="BA56" s="108">
        <f>AY56+AW56+AU56+AS56+AQ56+AO56+AM56+AK56+AI56+AG56+AE56+AC56</f>
        <v>131174135</v>
      </c>
      <c r="BB56" s="117">
        <f>AC56+AE56+AG56+AI56+AK56+AM56+AO56+AQ56+AS56+AU56+AW56+AY56</f>
        <v>131174135</v>
      </c>
      <c r="BC56" s="108">
        <f>AD56+AF56+AH56+AJ56+AL56+AN56+AP56+AR56+AT56+AV56+AX56+AZ56</f>
        <v>131174135</v>
      </c>
      <c r="BD56" s="117">
        <f>AE56+AG56+AI56+AK56+AM56+AO56+AQ56+AS56+AU56+AW56+AY56+AC56</f>
        <v>131174135</v>
      </c>
      <c r="BE56" s="108">
        <f>AD56+AF56+AH56+AJ56+AL56+AN56+AP56+AR56+AT56+AV56+AX56+AZ56</f>
        <v>131174135</v>
      </c>
      <c r="BF56" s="108">
        <v>25802399</v>
      </c>
      <c r="BG56" s="108">
        <v>25802399</v>
      </c>
      <c r="BH56" s="108"/>
      <c r="BI56" s="108"/>
      <c r="BJ56" s="108">
        <v>25802399</v>
      </c>
      <c r="BK56" s="108"/>
      <c r="BL56" s="108">
        <v>0</v>
      </c>
      <c r="BM56" s="108"/>
      <c r="BN56" s="108">
        <v>0</v>
      </c>
      <c r="BO56" s="108"/>
      <c r="BP56" s="108">
        <v>0</v>
      </c>
      <c r="BQ56" s="108">
        <v>0</v>
      </c>
      <c r="BR56" s="108">
        <v>0</v>
      </c>
      <c r="BS56" s="108">
        <v>0</v>
      </c>
      <c r="BT56" s="108">
        <v>0</v>
      </c>
      <c r="BU56" s="108">
        <v>0</v>
      </c>
      <c r="BV56" s="108">
        <v>0</v>
      </c>
      <c r="BW56" s="108">
        <v>0</v>
      </c>
      <c r="BX56" s="108">
        <v>0</v>
      </c>
      <c r="BY56" s="108"/>
      <c r="BZ56" s="108"/>
      <c r="CA56" s="108"/>
      <c r="CB56" s="108"/>
      <c r="CC56" s="108"/>
      <c r="CD56" s="108"/>
      <c r="CE56" s="108">
        <f>CC56+CA56+BY56+BW56+BU56+BS56+BQ56+BO56+BM56+BK56+BI56+BG56</f>
        <v>25802399</v>
      </c>
      <c r="CF56" s="108">
        <f>+BG56+BI56+BK56+BM56+BO56+BQ56+BS56+BU56+BW56</f>
        <v>25802399</v>
      </c>
      <c r="CG56" s="108">
        <f>+BH56+BJ56+BL56+BN56+BP56+BR56+BT56+BV56+BX56</f>
        <v>25802399</v>
      </c>
      <c r="CH56" s="107">
        <f>CC56+CA56+BY56+BW56+BU56+BS56+BQ56+BO56+BM56+BK56+BI56+BG56</f>
        <v>25802399</v>
      </c>
      <c r="CI56" s="107">
        <f>+BH56+BJ56+BL56+BN56+BP56+BR56+BT56+BV56+BX56</f>
        <v>25802399</v>
      </c>
      <c r="CJ56" s="108">
        <v>0</v>
      </c>
      <c r="CK56" s="108">
        <v>0</v>
      </c>
      <c r="CL56" s="108">
        <v>0</v>
      </c>
      <c r="CM56" s="108">
        <v>0</v>
      </c>
      <c r="CN56" s="108">
        <v>0</v>
      </c>
      <c r="CO56" s="108">
        <v>0</v>
      </c>
      <c r="CP56" s="108">
        <v>0</v>
      </c>
      <c r="CQ56" s="108">
        <v>0</v>
      </c>
      <c r="CR56" s="108">
        <v>0</v>
      </c>
      <c r="CS56" s="108">
        <v>0</v>
      </c>
      <c r="CT56" s="108">
        <v>0</v>
      </c>
      <c r="CU56" s="108">
        <v>0</v>
      </c>
      <c r="CV56" s="108">
        <v>0</v>
      </c>
      <c r="CW56" s="108">
        <v>0</v>
      </c>
      <c r="CX56" s="108">
        <v>0</v>
      </c>
      <c r="CY56" s="108">
        <v>0</v>
      </c>
      <c r="CZ56" s="108">
        <v>0</v>
      </c>
      <c r="DA56" s="108">
        <v>0</v>
      </c>
      <c r="DB56" s="108">
        <v>0</v>
      </c>
      <c r="DC56" s="108">
        <v>0</v>
      </c>
      <c r="DD56" s="108">
        <v>0</v>
      </c>
      <c r="DE56" s="108">
        <v>0</v>
      </c>
      <c r="DF56" s="108">
        <v>0</v>
      </c>
      <c r="DG56" s="108">
        <v>0</v>
      </c>
      <c r="DH56" s="108">
        <v>0</v>
      </c>
      <c r="DI56" s="107">
        <v>0</v>
      </c>
      <c r="DJ56" s="117">
        <v>0</v>
      </c>
      <c r="DK56" s="117">
        <v>0</v>
      </c>
      <c r="DL56" s="107">
        <v>0</v>
      </c>
      <c r="DM56" s="117">
        <v>0</v>
      </c>
      <c r="DN56" s="108">
        <v>0</v>
      </c>
      <c r="DO56" s="66"/>
      <c r="DP56" s="66"/>
      <c r="DQ56" s="66"/>
      <c r="DR56" s="66"/>
      <c r="DS56" s="66"/>
      <c r="DT56" s="66"/>
      <c r="DU56" s="66"/>
      <c r="DV56" s="66"/>
      <c r="DW56" s="66"/>
      <c r="DX56" s="66"/>
      <c r="DY56" s="66"/>
      <c r="DZ56" s="66"/>
      <c r="EA56" s="66"/>
      <c r="EB56" s="66"/>
      <c r="EC56" s="66"/>
      <c r="ED56" s="66"/>
      <c r="EE56" s="66"/>
      <c r="EF56" s="66"/>
      <c r="EG56" s="66"/>
      <c r="EH56" s="66"/>
      <c r="EI56" s="66"/>
      <c r="EJ56" s="66"/>
      <c r="EK56" s="66"/>
      <c r="EL56" s="66"/>
      <c r="EM56" s="304">
        <f>EI56+EG56+EE56+EC56+EA56+DY56+DW56+DU56+DS56+DQ56+DO56+EK56</f>
        <v>0</v>
      </c>
      <c r="EN56" s="87">
        <f>DO56+DQ56+DS56+DU56</f>
        <v>0</v>
      </c>
      <c r="EO56" s="87">
        <f t="shared" si="72"/>
        <v>0</v>
      </c>
      <c r="EP56" s="85">
        <f>DQ56+DS56+DU56+DW56+DY56+EA56+EC56+EE56+EG56+EI56+EK56+DO56</f>
        <v>0</v>
      </c>
      <c r="EQ56" s="87">
        <f>DP56+DR56+DT56+DV56</f>
        <v>0</v>
      </c>
      <c r="ER56" s="122" t="e">
        <f t="shared" si="3"/>
        <v>#DIV/0!</v>
      </c>
      <c r="ES56" s="285">
        <f t="shared" si="5"/>
        <v>1</v>
      </c>
      <c r="ET56" s="286">
        <f t="shared" si="6"/>
        <v>1</v>
      </c>
      <c r="EU56" s="287">
        <f t="shared" si="4"/>
        <v>0.45547280972715953</v>
      </c>
      <c r="EV56" s="286">
        <f t="shared" si="7"/>
        <v>1</v>
      </c>
      <c r="EW56" s="512"/>
      <c r="EX56" s="458" t="s">
        <v>606</v>
      </c>
      <c r="EY56" s="458" t="s">
        <v>606</v>
      </c>
      <c r="EZ56" s="458"/>
      <c r="FA56" s="458"/>
      <c r="FB56" s="451"/>
    </row>
    <row r="57" spans="1:158" s="3" customFormat="1" ht="30.75" customHeight="1" thickBot="1" x14ac:dyDescent="0.3">
      <c r="A57" s="453"/>
      <c r="B57" s="453"/>
      <c r="C57" s="453"/>
      <c r="D57" s="453"/>
      <c r="E57" s="453"/>
      <c r="F57" s="205" t="s">
        <v>42</v>
      </c>
      <c r="G57" s="274">
        <f>+G52+G55</f>
        <v>1</v>
      </c>
      <c r="H57" s="379">
        <f>+H52+H55</f>
        <v>1</v>
      </c>
      <c r="I57" s="379"/>
      <c r="J57" s="379"/>
      <c r="K57" s="379"/>
      <c r="L57" s="379"/>
      <c r="M57" s="379"/>
      <c r="N57" s="379"/>
      <c r="O57" s="379"/>
      <c r="P57" s="379"/>
      <c r="Q57" s="379"/>
      <c r="R57" s="379"/>
      <c r="S57" s="379"/>
      <c r="T57" s="379"/>
      <c r="U57" s="379"/>
      <c r="V57" s="379"/>
      <c r="W57" s="379">
        <f t="shared" ref="W57:AM57" si="73">+W52+W55</f>
        <v>1</v>
      </c>
      <c r="X57" s="379">
        <f t="shared" si="73"/>
        <v>1</v>
      </c>
      <c r="Y57" s="379">
        <f t="shared" si="73"/>
        <v>1</v>
      </c>
      <c r="Z57" s="379">
        <f t="shared" si="73"/>
        <v>1</v>
      </c>
      <c r="AA57" s="379">
        <f t="shared" si="73"/>
        <v>1</v>
      </c>
      <c r="AB57" s="379">
        <f>+AB52+AB55</f>
        <v>1</v>
      </c>
      <c r="AC57" s="379">
        <f t="shared" si="73"/>
        <v>1</v>
      </c>
      <c r="AD57" s="379">
        <f t="shared" si="73"/>
        <v>1</v>
      </c>
      <c r="AE57" s="379">
        <f t="shared" si="73"/>
        <v>1</v>
      </c>
      <c r="AF57" s="379">
        <f t="shared" si="73"/>
        <v>1</v>
      </c>
      <c r="AG57" s="379">
        <f t="shared" si="73"/>
        <v>1</v>
      </c>
      <c r="AH57" s="379">
        <f t="shared" si="73"/>
        <v>1</v>
      </c>
      <c r="AI57" s="379">
        <f t="shared" si="73"/>
        <v>1</v>
      </c>
      <c r="AJ57" s="379">
        <f t="shared" si="73"/>
        <v>0.64</v>
      </c>
      <c r="AK57" s="379">
        <f t="shared" si="73"/>
        <v>1</v>
      </c>
      <c r="AL57" s="379">
        <f t="shared" si="73"/>
        <v>0.877</v>
      </c>
      <c r="AM57" s="379">
        <f t="shared" si="73"/>
        <v>1</v>
      </c>
      <c r="AN57" s="379">
        <f t="shared" ref="AN57:AZ57" si="74">+AN52+AN55</f>
        <v>0.91600000000000004</v>
      </c>
      <c r="AO57" s="379">
        <f t="shared" si="74"/>
        <v>1</v>
      </c>
      <c r="AP57" s="379">
        <f t="shared" si="74"/>
        <v>1</v>
      </c>
      <c r="AQ57" s="379">
        <f t="shared" si="74"/>
        <v>1</v>
      </c>
      <c r="AR57" s="379">
        <f t="shared" si="74"/>
        <v>0.91300000000000003</v>
      </c>
      <c r="AS57" s="379">
        <f t="shared" si="74"/>
        <v>1</v>
      </c>
      <c r="AT57" s="379">
        <f t="shared" si="74"/>
        <v>1</v>
      </c>
      <c r="AU57" s="379">
        <f t="shared" si="74"/>
        <v>1</v>
      </c>
      <c r="AV57" s="379">
        <f t="shared" si="74"/>
        <v>1</v>
      </c>
      <c r="AW57" s="379">
        <f t="shared" si="74"/>
        <v>1</v>
      </c>
      <c r="AX57" s="379">
        <f t="shared" si="74"/>
        <v>1</v>
      </c>
      <c r="AY57" s="379">
        <f t="shared" si="74"/>
        <v>1</v>
      </c>
      <c r="AZ57" s="379">
        <f t="shared" si="74"/>
        <v>1</v>
      </c>
      <c r="BA57" s="379">
        <f t="shared" ref="BA57:CD57" si="75">+BA52+BA55</f>
        <v>1</v>
      </c>
      <c r="BB57" s="379">
        <f t="shared" si="75"/>
        <v>1</v>
      </c>
      <c r="BC57" s="379">
        <f t="shared" si="75"/>
        <v>1</v>
      </c>
      <c r="BD57" s="379">
        <f t="shared" si="75"/>
        <v>1</v>
      </c>
      <c r="BE57" s="379">
        <f t="shared" si="75"/>
        <v>1</v>
      </c>
      <c r="BF57" s="379">
        <f t="shared" si="75"/>
        <v>1</v>
      </c>
      <c r="BG57" s="379">
        <f t="shared" si="75"/>
        <v>1</v>
      </c>
      <c r="BH57" s="379">
        <f t="shared" si="75"/>
        <v>1</v>
      </c>
      <c r="BI57" s="379">
        <f t="shared" si="75"/>
        <v>1</v>
      </c>
      <c r="BJ57" s="379">
        <f>+BJ52+BJ55</f>
        <v>1</v>
      </c>
      <c r="BK57" s="379">
        <f t="shared" si="75"/>
        <v>1</v>
      </c>
      <c r="BL57" s="379">
        <f t="shared" si="75"/>
        <v>1</v>
      </c>
      <c r="BM57" s="379">
        <f t="shared" si="75"/>
        <v>1</v>
      </c>
      <c r="BN57" s="379">
        <f t="shared" si="75"/>
        <v>1</v>
      </c>
      <c r="BO57" s="379">
        <f t="shared" si="75"/>
        <v>1</v>
      </c>
      <c r="BP57" s="379">
        <f t="shared" si="75"/>
        <v>1</v>
      </c>
      <c r="BQ57" s="379">
        <f t="shared" si="75"/>
        <v>1</v>
      </c>
      <c r="BR57" s="379">
        <f t="shared" si="75"/>
        <v>1</v>
      </c>
      <c r="BS57" s="379">
        <f t="shared" si="75"/>
        <v>1</v>
      </c>
      <c r="BT57" s="379">
        <f t="shared" si="75"/>
        <v>1</v>
      </c>
      <c r="BU57" s="379">
        <f t="shared" si="75"/>
        <v>1</v>
      </c>
      <c r="BV57" s="379">
        <f t="shared" si="75"/>
        <v>1</v>
      </c>
      <c r="BW57" s="379">
        <f t="shared" si="75"/>
        <v>1</v>
      </c>
      <c r="BX57" s="379">
        <f t="shared" si="75"/>
        <v>1</v>
      </c>
      <c r="BY57" s="379">
        <f t="shared" si="75"/>
        <v>1</v>
      </c>
      <c r="BZ57" s="379">
        <f t="shared" si="75"/>
        <v>0</v>
      </c>
      <c r="CA57" s="379">
        <f t="shared" si="75"/>
        <v>1</v>
      </c>
      <c r="CB57" s="379">
        <f t="shared" si="75"/>
        <v>0</v>
      </c>
      <c r="CC57" s="379">
        <f t="shared" si="75"/>
        <v>1</v>
      </c>
      <c r="CD57" s="379">
        <f t="shared" si="75"/>
        <v>0</v>
      </c>
      <c r="CE57" s="379">
        <f>+CE52+CE55</f>
        <v>1</v>
      </c>
      <c r="CF57" s="379">
        <f>+CF52+CF55</f>
        <v>1</v>
      </c>
      <c r="CG57" s="379">
        <f>+CG52+CG55</f>
        <v>1</v>
      </c>
      <c r="CH57" s="379">
        <f>+CH52+CH55</f>
        <v>1</v>
      </c>
      <c r="CI57" s="379">
        <f>+CI52+CI55</f>
        <v>1</v>
      </c>
      <c r="CJ57" s="361">
        <f t="shared" ref="CJ57:DL58" si="76">+CJ52+CJ55</f>
        <v>1</v>
      </c>
      <c r="CK57" s="361">
        <f t="shared" si="76"/>
        <v>0</v>
      </c>
      <c r="CL57" s="361">
        <f t="shared" si="76"/>
        <v>0</v>
      </c>
      <c r="CM57" s="361">
        <f t="shared" si="76"/>
        <v>0</v>
      </c>
      <c r="CN57" s="361">
        <f t="shared" si="76"/>
        <v>0</v>
      </c>
      <c r="CO57" s="361">
        <f t="shared" si="76"/>
        <v>0</v>
      </c>
      <c r="CP57" s="361">
        <f t="shared" si="76"/>
        <v>0</v>
      </c>
      <c r="CQ57" s="361">
        <f t="shared" si="76"/>
        <v>0</v>
      </c>
      <c r="CR57" s="361">
        <f t="shared" si="76"/>
        <v>0</v>
      </c>
      <c r="CS57" s="361">
        <f t="shared" si="76"/>
        <v>0</v>
      </c>
      <c r="CT57" s="361">
        <f t="shared" si="76"/>
        <v>0</v>
      </c>
      <c r="CU57" s="361">
        <f t="shared" si="76"/>
        <v>0</v>
      </c>
      <c r="CV57" s="361">
        <f t="shared" si="76"/>
        <v>0</v>
      </c>
      <c r="CW57" s="361">
        <f t="shared" si="76"/>
        <v>0</v>
      </c>
      <c r="CX57" s="361">
        <f t="shared" si="76"/>
        <v>0</v>
      </c>
      <c r="CY57" s="361">
        <f t="shared" si="76"/>
        <v>0</v>
      </c>
      <c r="CZ57" s="361">
        <f t="shared" si="76"/>
        <v>0</v>
      </c>
      <c r="DA57" s="361">
        <f t="shared" si="76"/>
        <v>0</v>
      </c>
      <c r="DB57" s="361">
        <f t="shared" si="76"/>
        <v>0</v>
      </c>
      <c r="DC57" s="361">
        <f t="shared" si="76"/>
        <v>0</v>
      </c>
      <c r="DD57" s="361">
        <f t="shared" si="76"/>
        <v>0</v>
      </c>
      <c r="DE57" s="361">
        <f t="shared" si="76"/>
        <v>0</v>
      </c>
      <c r="DF57" s="361">
        <f t="shared" si="76"/>
        <v>0</v>
      </c>
      <c r="DG57" s="361">
        <f t="shared" si="76"/>
        <v>0</v>
      </c>
      <c r="DH57" s="361">
        <f t="shared" si="76"/>
        <v>0</v>
      </c>
      <c r="DI57" s="361">
        <f t="shared" si="76"/>
        <v>0</v>
      </c>
      <c r="DJ57" s="361">
        <f t="shared" si="76"/>
        <v>0</v>
      </c>
      <c r="DK57" s="361">
        <f t="shared" si="76"/>
        <v>0</v>
      </c>
      <c r="DL57" s="361">
        <f t="shared" si="76"/>
        <v>0</v>
      </c>
      <c r="DM57" s="361">
        <f>+DM52+DM55</f>
        <v>0</v>
      </c>
      <c r="DN57" s="361">
        <f>+DN52+DN55</f>
        <v>1</v>
      </c>
      <c r="DO57" s="390"/>
      <c r="DP57" s="390"/>
      <c r="DQ57" s="390"/>
      <c r="DR57" s="390"/>
      <c r="DS57" s="390"/>
      <c r="DT57" s="390"/>
      <c r="DU57" s="390"/>
      <c r="DV57" s="390"/>
      <c r="DW57" s="390"/>
      <c r="DX57" s="390"/>
      <c r="DY57" s="390"/>
      <c r="DZ57" s="390"/>
      <c r="EA57" s="390"/>
      <c r="EB57" s="390"/>
      <c r="EC57" s="390"/>
      <c r="ED57" s="390"/>
      <c r="EE57" s="390"/>
      <c r="EF57" s="390"/>
      <c r="EG57" s="390"/>
      <c r="EH57" s="390"/>
      <c r="EI57" s="390"/>
      <c r="EJ57" s="390"/>
      <c r="EK57" s="390"/>
      <c r="EL57" s="390"/>
      <c r="EM57" s="356">
        <f>EI57+EG57+EE57+EC57+EA57+DY57+DW57+DU57+DS57+DQ57+DO57+EK57</f>
        <v>0</v>
      </c>
      <c r="EN57" s="357"/>
      <c r="EO57" s="357">
        <f t="shared" si="72"/>
        <v>0</v>
      </c>
      <c r="EP57" s="356">
        <f>DQ57+DS57+DU57+DW57+DY57+EA57+EC57+EE57+EG57+EI57+EK57+DO57</f>
        <v>0</v>
      </c>
      <c r="EQ57" s="357">
        <f>DR57+DT57+DV57+DP57</f>
        <v>0</v>
      </c>
      <c r="ER57" s="321">
        <f t="shared" si="3"/>
        <v>1</v>
      </c>
      <c r="ES57" s="288">
        <f t="shared" si="5"/>
        <v>1</v>
      </c>
      <c r="ET57" s="289">
        <f t="shared" si="6"/>
        <v>1</v>
      </c>
      <c r="EU57" s="290">
        <f t="shared" si="4"/>
        <v>1</v>
      </c>
      <c r="EV57" s="289">
        <f>+(AA57+BE57+CI57)/500%</f>
        <v>0.6</v>
      </c>
      <c r="EW57" s="512"/>
      <c r="EX57" s="458" t="s">
        <v>606</v>
      </c>
      <c r="EY57" s="458" t="s">
        <v>606</v>
      </c>
      <c r="EZ57" s="458"/>
      <c r="FA57" s="458"/>
      <c r="FB57" s="451"/>
    </row>
    <row r="58" spans="1:158" s="50" customFormat="1" ht="30.75" customHeight="1" thickBot="1" x14ac:dyDescent="0.3">
      <c r="A58" s="453"/>
      <c r="B58" s="453"/>
      <c r="C58" s="453"/>
      <c r="D58" s="453"/>
      <c r="E58" s="453"/>
      <c r="F58" s="206" t="s">
        <v>44</v>
      </c>
      <c r="G58" s="275">
        <f>+G53+G56</f>
        <v>3176282666</v>
      </c>
      <c r="H58" s="363">
        <f>+H53+H56</f>
        <v>637668702</v>
      </c>
      <c r="I58" s="363"/>
      <c r="J58" s="363"/>
      <c r="K58" s="363"/>
      <c r="L58" s="363"/>
      <c r="M58" s="363"/>
      <c r="N58" s="363"/>
      <c r="O58" s="363"/>
      <c r="P58" s="363"/>
      <c r="Q58" s="363"/>
      <c r="R58" s="363"/>
      <c r="S58" s="363"/>
      <c r="T58" s="364"/>
      <c r="U58" s="363"/>
      <c r="V58" s="363"/>
      <c r="W58" s="363">
        <f t="shared" ref="W58:AM58" si="77">+W53+W56</f>
        <v>637668702</v>
      </c>
      <c r="X58" s="363">
        <f t="shared" si="77"/>
        <v>637668702</v>
      </c>
      <c r="Y58" s="363">
        <f t="shared" si="77"/>
        <v>447516000</v>
      </c>
      <c r="Z58" s="363">
        <f t="shared" si="77"/>
        <v>637668702</v>
      </c>
      <c r="AA58" s="363">
        <f t="shared" si="77"/>
        <v>447516000</v>
      </c>
      <c r="AB58" s="363">
        <f>+AB53+AB56</f>
        <v>822844135</v>
      </c>
      <c r="AC58" s="363">
        <f t="shared" si="77"/>
        <v>56494567</v>
      </c>
      <c r="AD58" s="363">
        <f t="shared" si="77"/>
        <v>56494567</v>
      </c>
      <c r="AE58" s="363">
        <f t="shared" si="77"/>
        <v>382600034</v>
      </c>
      <c r="AF58" s="363">
        <f t="shared" si="77"/>
        <v>382600034</v>
      </c>
      <c r="AG58" s="363">
        <f t="shared" si="77"/>
        <v>96979000</v>
      </c>
      <c r="AH58" s="363">
        <f t="shared" si="77"/>
        <v>96979000</v>
      </c>
      <c r="AI58" s="363">
        <f t="shared" si="77"/>
        <v>103601667</v>
      </c>
      <c r="AJ58" s="363">
        <f t="shared" si="77"/>
        <v>103601667</v>
      </c>
      <c r="AK58" s="363">
        <f t="shared" si="77"/>
        <v>3746000</v>
      </c>
      <c r="AL58" s="363">
        <f t="shared" si="77"/>
        <v>3746000</v>
      </c>
      <c r="AM58" s="363">
        <f t="shared" si="77"/>
        <v>3870867</v>
      </c>
      <c r="AN58" s="363">
        <f t="shared" ref="AN58:AZ58" si="78">+AN53+AN56</f>
        <v>3870867</v>
      </c>
      <c r="AO58" s="363">
        <f t="shared" si="78"/>
        <v>0</v>
      </c>
      <c r="AP58" s="363">
        <f t="shared" si="78"/>
        <v>0</v>
      </c>
      <c r="AQ58" s="363">
        <f t="shared" si="78"/>
        <v>36785066.666666672</v>
      </c>
      <c r="AR58" s="363">
        <f t="shared" si="78"/>
        <v>0</v>
      </c>
      <c r="AS58" s="363">
        <f t="shared" si="78"/>
        <v>-96942863.333333328</v>
      </c>
      <c r="AT58" s="363">
        <f t="shared" si="78"/>
        <v>0</v>
      </c>
      <c r="AU58" s="363">
        <f t="shared" si="78"/>
        <v>36785066.666666672</v>
      </c>
      <c r="AV58" s="363">
        <f t="shared" si="78"/>
        <v>27531699</v>
      </c>
      <c r="AW58" s="363">
        <f t="shared" si="78"/>
        <v>32598400</v>
      </c>
      <c r="AX58" s="363">
        <f t="shared" si="78"/>
        <v>13283666</v>
      </c>
      <c r="AY58" s="363">
        <f t="shared" si="78"/>
        <v>32598400</v>
      </c>
      <c r="AZ58" s="363">
        <f t="shared" si="78"/>
        <v>0</v>
      </c>
      <c r="BA58" s="363">
        <f t="shared" ref="BA58:CI58" si="79">+BA53+BA56</f>
        <v>689116205</v>
      </c>
      <c r="BB58" s="363">
        <f>+BB53+BB56</f>
        <v>689116205</v>
      </c>
      <c r="BC58" s="363">
        <f t="shared" si="79"/>
        <v>688107500</v>
      </c>
      <c r="BD58" s="363">
        <f t="shared" si="79"/>
        <v>689116205</v>
      </c>
      <c r="BE58" s="363">
        <f t="shared" si="79"/>
        <v>688107500</v>
      </c>
      <c r="BF58" s="363">
        <f t="shared" si="79"/>
        <v>750842399</v>
      </c>
      <c r="BG58" s="363">
        <f t="shared" si="79"/>
        <v>748202399</v>
      </c>
      <c r="BH58" s="363">
        <f t="shared" si="79"/>
        <v>585413000</v>
      </c>
      <c r="BI58" s="363">
        <f t="shared" si="79"/>
        <v>0</v>
      </c>
      <c r="BJ58" s="363">
        <f>+BJ53+BJ56</f>
        <v>25802399</v>
      </c>
      <c r="BK58" s="363">
        <f>+BK53+BK56</f>
        <v>-136987000</v>
      </c>
      <c r="BL58" s="363">
        <f>+BL53+BL56</f>
        <v>0</v>
      </c>
      <c r="BM58" s="363">
        <f t="shared" si="79"/>
        <v>0</v>
      </c>
      <c r="BN58" s="363">
        <f>+BN53+BN56</f>
        <v>0</v>
      </c>
      <c r="BO58" s="363">
        <f t="shared" si="79"/>
        <v>0</v>
      </c>
      <c r="BP58" s="363">
        <f t="shared" si="79"/>
        <v>0</v>
      </c>
      <c r="BQ58" s="363">
        <f t="shared" si="79"/>
        <v>0</v>
      </c>
      <c r="BR58" s="363">
        <f t="shared" si="79"/>
        <v>0</v>
      </c>
      <c r="BS58" s="363">
        <f t="shared" si="79"/>
        <v>0</v>
      </c>
      <c r="BT58" s="363">
        <f t="shared" si="79"/>
        <v>0</v>
      </c>
      <c r="BU58" s="363">
        <f t="shared" si="79"/>
        <v>2640000</v>
      </c>
      <c r="BV58" s="363">
        <f t="shared" si="79"/>
        <v>0</v>
      </c>
      <c r="BW58" s="363">
        <f t="shared" si="79"/>
        <v>76803767</v>
      </c>
      <c r="BX58" s="363">
        <f t="shared" si="79"/>
        <v>12040000</v>
      </c>
      <c r="BY58" s="363">
        <f t="shared" si="79"/>
        <v>0</v>
      </c>
      <c r="BZ58" s="363">
        <f t="shared" si="79"/>
        <v>0</v>
      </c>
      <c r="CA58" s="363">
        <f t="shared" si="79"/>
        <v>0</v>
      </c>
      <c r="CB58" s="363">
        <f t="shared" si="79"/>
        <v>0</v>
      </c>
      <c r="CC58" s="363">
        <f t="shared" si="79"/>
        <v>0</v>
      </c>
      <c r="CD58" s="363">
        <f t="shared" si="79"/>
        <v>0</v>
      </c>
      <c r="CE58" s="363">
        <f t="shared" si="79"/>
        <v>690659166</v>
      </c>
      <c r="CF58" s="363">
        <f t="shared" si="79"/>
        <v>690659166</v>
      </c>
      <c r="CG58" s="363">
        <f t="shared" si="79"/>
        <v>623255399</v>
      </c>
      <c r="CH58" s="363">
        <f t="shared" si="79"/>
        <v>690659166</v>
      </c>
      <c r="CI58" s="363">
        <f t="shared" si="79"/>
        <v>623255399</v>
      </c>
      <c r="CJ58" s="363">
        <f t="shared" si="76"/>
        <v>900000000</v>
      </c>
      <c r="CK58" s="363">
        <f t="shared" si="76"/>
        <v>0</v>
      </c>
      <c r="CL58" s="363">
        <f t="shared" si="76"/>
        <v>0</v>
      </c>
      <c r="CM58" s="363">
        <f t="shared" si="76"/>
        <v>0</v>
      </c>
      <c r="CN58" s="363">
        <f t="shared" si="76"/>
        <v>0</v>
      </c>
      <c r="CO58" s="363">
        <f t="shared" si="76"/>
        <v>0</v>
      </c>
      <c r="CP58" s="363">
        <f t="shared" si="76"/>
        <v>0</v>
      </c>
      <c r="CQ58" s="363">
        <f t="shared" si="76"/>
        <v>0</v>
      </c>
      <c r="CR58" s="363">
        <f t="shared" si="76"/>
        <v>0</v>
      </c>
      <c r="CS58" s="363">
        <f t="shared" si="76"/>
        <v>0</v>
      </c>
      <c r="CT58" s="363">
        <f t="shared" si="76"/>
        <v>0</v>
      </c>
      <c r="CU58" s="363">
        <f t="shared" si="76"/>
        <v>0</v>
      </c>
      <c r="CV58" s="363">
        <f t="shared" si="76"/>
        <v>0</v>
      </c>
      <c r="CW58" s="363">
        <f t="shared" si="76"/>
        <v>0</v>
      </c>
      <c r="CX58" s="363">
        <f t="shared" si="76"/>
        <v>0</v>
      </c>
      <c r="CY58" s="363">
        <f t="shared" si="76"/>
        <v>0</v>
      </c>
      <c r="CZ58" s="363">
        <f t="shared" si="76"/>
        <v>0</v>
      </c>
      <c r="DA58" s="363">
        <f t="shared" si="76"/>
        <v>0</v>
      </c>
      <c r="DB58" s="363">
        <f t="shared" si="76"/>
        <v>0</v>
      </c>
      <c r="DC58" s="363">
        <f t="shared" si="76"/>
        <v>0</v>
      </c>
      <c r="DD58" s="363">
        <f t="shared" si="76"/>
        <v>0</v>
      </c>
      <c r="DE58" s="363">
        <f t="shared" si="76"/>
        <v>0</v>
      </c>
      <c r="DF58" s="363">
        <f t="shared" si="76"/>
        <v>0</v>
      </c>
      <c r="DG58" s="363">
        <f t="shared" si="76"/>
        <v>0</v>
      </c>
      <c r="DH58" s="363">
        <f t="shared" si="76"/>
        <v>0</v>
      </c>
      <c r="DI58" s="363">
        <f t="shared" si="76"/>
        <v>0</v>
      </c>
      <c r="DJ58" s="363">
        <f t="shared" si="76"/>
        <v>0</v>
      </c>
      <c r="DK58" s="363">
        <f t="shared" si="76"/>
        <v>0</v>
      </c>
      <c r="DL58" s="363">
        <f t="shared" si="76"/>
        <v>0</v>
      </c>
      <c r="DM58" s="363">
        <f>+DM53+DM56</f>
        <v>0</v>
      </c>
      <c r="DN58" s="363">
        <f>+DN53+DN56</f>
        <v>450000000</v>
      </c>
      <c r="DO58" s="385"/>
      <c r="DP58" s="385"/>
      <c r="DQ58" s="385"/>
      <c r="DR58" s="385"/>
      <c r="DS58" s="385"/>
      <c r="DT58" s="385"/>
      <c r="DU58" s="385"/>
      <c r="DV58" s="385"/>
      <c r="DW58" s="385"/>
      <c r="DX58" s="385"/>
      <c r="DY58" s="385"/>
      <c r="DZ58" s="385"/>
      <c r="EA58" s="385"/>
      <c r="EB58" s="385"/>
      <c r="EC58" s="385"/>
      <c r="ED58" s="385"/>
      <c r="EE58" s="385"/>
      <c r="EF58" s="385"/>
      <c r="EG58" s="385"/>
      <c r="EH58" s="385"/>
      <c r="EI58" s="385"/>
      <c r="EJ58" s="385"/>
      <c r="EK58" s="385"/>
      <c r="EL58" s="385"/>
      <c r="EM58" s="343">
        <f>EK58+EI58+EG58+EE58+EC58+EA58+DY58+DW58+DU58+DS58+DQ58+DO58</f>
        <v>0</v>
      </c>
      <c r="EN58" s="344">
        <f>+EN53+EN56</f>
        <v>0</v>
      </c>
      <c r="EO58" s="345">
        <f>EO53+EO56</f>
        <v>0</v>
      </c>
      <c r="EP58" s="344">
        <f>+EP53+EP56</f>
        <v>0</v>
      </c>
      <c r="EQ58" s="344">
        <f>+EQ53+EQ56</f>
        <v>0</v>
      </c>
      <c r="ER58" s="334">
        <f t="shared" si="3"/>
        <v>0.15676314418275863</v>
      </c>
      <c r="ES58" s="291">
        <f t="shared" si="5"/>
        <v>0.9024066133946016</v>
      </c>
      <c r="ET58" s="292">
        <f t="shared" si="6"/>
        <v>0.9024066133946016</v>
      </c>
      <c r="EU58" s="293">
        <f>(AA58+BE58+CG58)/(Z58+BD58+CF58)</f>
        <v>0.8718352704491551</v>
      </c>
      <c r="EV58" s="294">
        <f t="shared" si="7"/>
        <v>0.55375389534049735</v>
      </c>
      <c r="EW58" s="513"/>
      <c r="EX58" s="458" t="s">
        <v>606</v>
      </c>
      <c r="EY58" s="458" t="s">
        <v>606</v>
      </c>
      <c r="EZ58" s="458"/>
      <c r="FA58" s="458"/>
      <c r="FB58" s="451"/>
    </row>
    <row r="59" spans="1:158" s="132" customFormat="1" ht="30.75" customHeight="1" x14ac:dyDescent="0.25">
      <c r="A59" s="467" t="s">
        <v>5</v>
      </c>
      <c r="B59" s="467"/>
      <c r="C59" s="467"/>
      <c r="D59" s="467"/>
      <c r="E59" s="467"/>
      <c r="F59" s="209" t="s">
        <v>43</v>
      </c>
      <c r="G59" s="282">
        <f>+G11+G18+G25+G32+G39+G46+G53</f>
        <v>50718863034</v>
      </c>
      <c r="H59" s="371">
        <f t="shared" ref="H59:BS59" si="80">+H11+H18+H25+H32+H39+H46+H53</f>
        <v>4935454528</v>
      </c>
      <c r="I59" s="371">
        <f t="shared" si="80"/>
        <v>0</v>
      </c>
      <c r="J59" s="371">
        <f t="shared" si="80"/>
        <v>0</v>
      </c>
      <c r="K59" s="371">
        <f t="shared" si="80"/>
        <v>0</v>
      </c>
      <c r="L59" s="371">
        <f t="shared" si="80"/>
        <v>0</v>
      </c>
      <c r="M59" s="371">
        <f t="shared" si="80"/>
        <v>0</v>
      </c>
      <c r="N59" s="371">
        <f t="shared" si="80"/>
        <v>0</v>
      </c>
      <c r="O59" s="371">
        <f t="shared" si="80"/>
        <v>0</v>
      </c>
      <c r="P59" s="371">
        <f t="shared" si="80"/>
        <v>0</v>
      </c>
      <c r="Q59" s="371">
        <f t="shared" si="80"/>
        <v>0</v>
      </c>
      <c r="R59" s="371">
        <f t="shared" si="80"/>
        <v>0</v>
      </c>
      <c r="S59" s="371">
        <f t="shared" si="80"/>
        <v>0</v>
      </c>
      <c r="T59" s="371">
        <f t="shared" si="80"/>
        <v>0</v>
      </c>
      <c r="U59" s="371">
        <f t="shared" si="80"/>
        <v>0</v>
      </c>
      <c r="V59" s="371">
        <f t="shared" si="80"/>
        <v>0</v>
      </c>
      <c r="W59" s="371">
        <f t="shared" si="80"/>
        <v>4935454528</v>
      </c>
      <c r="X59" s="371">
        <f t="shared" si="80"/>
        <v>4935454528</v>
      </c>
      <c r="Y59" s="371">
        <f t="shared" si="80"/>
        <v>4588924316</v>
      </c>
      <c r="Z59" s="371">
        <f t="shared" si="80"/>
        <v>4935454528</v>
      </c>
      <c r="AA59" s="371">
        <f t="shared" si="80"/>
        <v>4588924316</v>
      </c>
      <c r="AB59" s="371">
        <f>+AB11+AB18+AB25+AB32+AB39+AB46+AB53</f>
        <v>10067880000</v>
      </c>
      <c r="AC59" s="371">
        <f t="shared" si="80"/>
        <v>0</v>
      </c>
      <c r="AD59" s="371">
        <f t="shared" si="80"/>
        <v>0</v>
      </c>
      <c r="AE59" s="371">
        <f t="shared" si="80"/>
        <v>2665269000</v>
      </c>
      <c r="AF59" s="371">
        <f t="shared" si="80"/>
        <v>2665269000</v>
      </c>
      <c r="AG59" s="371">
        <f t="shared" si="80"/>
        <v>3685714150</v>
      </c>
      <c r="AH59" s="371">
        <f t="shared" si="80"/>
        <v>3685714150</v>
      </c>
      <c r="AI59" s="371">
        <f t="shared" si="80"/>
        <v>881440491</v>
      </c>
      <c r="AJ59" s="371">
        <f t="shared" si="80"/>
        <v>472650491</v>
      </c>
      <c r="AK59" s="371">
        <f t="shared" si="80"/>
        <v>38307944</v>
      </c>
      <c r="AL59" s="371">
        <f t="shared" si="80"/>
        <v>38307944</v>
      </c>
      <c r="AM59" s="371">
        <f>+AM11+AM18+AM25+AM32+AM39+AM46+AM53</f>
        <v>602029987.66666663</v>
      </c>
      <c r="AN59" s="371">
        <f>+AN11+AN18+AN25+AN32+AN39+AN46+AN53</f>
        <v>702989174</v>
      </c>
      <c r="AO59" s="371">
        <f t="shared" si="80"/>
        <v>0</v>
      </c>
      <c r="AP59" s="371">
        <f t="shared" si="80"/>
        <v>24890000</v>
      </c>
      <c r="AQ59" s="371">
        <f t="shared" si="80"/>
        <v>570434551.00000024</v>
      </c>
      <c r="AR59" s="371">
        <f t="shared" si="80"/>
        <v>36764000</v>
      </c>
      <c r="AS59" s="371">
        <f t="shared" si="80"/>
        <v>546934551.00000024</v>
      </c>
      <c r="AT59" s="371">
        <f t="shared" si="80"/>
        <v>81226335</v>
      </c>
      <c r="AU59" s="371">
        <f t="shared" si="80"/>
        <v>425505170.33333331</v>
      </c>
      <c r="AV59" s="391">
        <f>+AV11+AV18+AV25+AV32+AV39+AV46+AV53</f>
        <v>334066472</v>
      </c>
      <c r="AW59" s="391">
        <f t="shared" si="80"/>
        <v>314372077</v>
      </c>
      <c r="AX59" s="391">
        <f>+AX11+AX18+AX25+AX32+AX39+AX46+AX53</f>
        <v>783609288</v>
      </c>
      <c r="AY59" s="391">
        <f t="shared" si="80"/>
        <v>314372078</v>
      </c>
      <c r="AZ59" s="391">
        <f t="shared" si="80"/>
        <v>811678864</v>
      </c>
      <c r="BA59" s="391">
        <f>+BA11+BA18+BA25+BA32+BA39+BA46+BA53</f>
        <v>10044380000</v>
      </c>
      <c r="BB59" s="391">
        <f>+BB11+BB18+BB25+BB32+BB39+BB46+BB53</f>
        <v>10044380000</v>
      </c>
      <c r="BC59" s="391">
        <f>+BC11+BC18+BC25+BC32+BC39+BC46+BC53</f>
        <v>9637165718</v>
      </c>
      <c r="BD59" s="391">
        <f t="shared" si="80"/>
        <v>10044380000</v>
      </c>
      <c r="BE59" s="391">
        <f t="shared" si="80"/>
        <v>9637165718</v>
      </c>
      <c r="BF59" s="371">
        <f t="shared" si="80"/>
        <v>16468441000</v>
      </c>
      <c r="BG59" s="371">
        <f t="shared" si="80"/>
        <v>9170512000</v>
      </c>
      <c r="BH59" s="371">
        <f t="shared" si="80"/>
        <v>8662799908</v>
      </c>
      <c r="BI59" s="371">
        <f>+BI11+BI18+BI25+BI32+BI39+BI46+BI53</f>
        <v>28000000</v>
      </c>
      <c r="BJ59" s="371">
        <f>+BJ11+BJ18+BJ25+BJ32+BJ39+BJ46+BJ53</f>
        <v>0</v>
      </c>
      <c r="BK59" s="371">
        <f t="shared" si="80"/>
        <v>1968874000</v>
      </c>
      <c r="BL59" s="371">
        <f>+BL11+BL18+BL25+BL32+BL39+BL46+BL53</f>
        <v>50000000</v>
      </c>
      <c r="BM59" s="371">
        <f t="shared" si="80"/>
        <v>871146000</v>
      </c>
      <c r="BN59" s="371">
        <f>+BN11+BN18+BN25+BN32+BN39+BN46+BN53</f>
        <v>0</v>
      </c>
      <c r="BO59" s="371">
        <f t="shared" si="80"/>
        <v>20000000</v>
      </c>
      <c r="BP59" s="371">
        <f t="shared" si="80"/>
        <v>274596000</v>
      </c>
      <c r="BQ59" s="371">
        <f t="shared" si="80"/>
        <v>4197269000</v>
      </c>
      <c r="BR59" s="371">
        <f t="shared" si="80"/>
        <v>134020000</v>
      </c>
      <c r="BS59" s="371">
        <f t="shared" si="80"/>
        <v>0</v>
      </c>
      <c r="BT59" s="371">
        <f t="shared" ref="BT59:DN59" si="81">+BT11+BT18+BT25+BT32+BT39+BT46+BT53</f>
        <v>-45866000</v>
      </c>
      <c r="BU59" s="371">
        <f>+BU11+BU18+BU25+BU32+BU39+BU46+BU53</f>
        <v>172640000</v>
      </c>
      <c r="BV59" s="371">
        <f>+BV11+BV18+BV25+BV32+BV39+BV46+BV53</f>
        <v>14028000</v>
      </c>
      <c r="BW59" s="371">
        <f>+BW11+BW18+BW25+BW32+BW39+BW46+BW53</f>
        <v>-120284657</v>
      </c>
      <c r="BX59" s="371">
        <f t="shared" si="81"/>
        <v>456347834</v>
      </c>
      <c r="BY59" s="371">
        <f t="shared" si="81"/>
        <v>160284657</v>
      </c>
      <c r="BZ59" s="371">
        <f t="shared" si="81"/>
        <v>0</v>
      </c>
      <c r="CA59" s="371">
        <f t="shared" si="81"/>
        <v>0</v>
      </c>
      <c r="CB59" s="371">
        <f t="shared" si="81"/>
        <v>0</v>
      </c>
      <c r="CC59" s="371">
        <f t="shared" si="81"/>
        <v>0</v>
      </c>
      <c r="CD59" s="371">
        <f t="shared" si="81"/>
        <v>0</v>
      </c>
      <c r="CE59" s="371">
        <f>+CE11+CE18+CE25+CE32+CE39+CE46+CE53</f>
        <v>16468441000</v>
      </c>
      <c r="CF59" s="371">
        <f t="shared" si="81"/>
        <v>16308156343</v>
      </c>
      <c r="CG59" s="371">
        <f>+CG11+CG18+CG25+CG32+CG39+CG46+CG53</f>
        <v>9545925742</v>
      </c>
      <c r="CH59" s="371">
        <f t="shared" si="81"/>
        <v>16468441000</v>
      </c>
      <c r="CI59" s="371">
        <f t="shared" si="81"/>
        <v>9545925742</v>
      </c>
      <c r="CJ59" s="371">
        <f t="shared" si="81"/>
        <v>12995889000</v>
      </c>
      <c r="CK59" s="371">
        <f t="shared" si="81"/>
        <v>0</v>
      </c>
      <c r="CL59" s="371">
        <f t="shared" si="81"/>
        <v>0</v>
      </c>
      <c r="CM59" s="371">
        <f t="shared" si="81"/>
        <v>0</v>
      </c>
      <c r="CN59" s="371">
        <f t="shared" si="81"/>
        <v>0</v>
      </c>
      <c r="CO59" s="371">
        <f t="shared" si="81"/>
        <v>0</v>
      </c>
      <c r="CP59" s="371">
        <f t="shared" si="81"/>
        <v>0</v>
      </c>
      <c r="CQ59" s="371">
        <f t="shared" si="81"/>
        <v>0</v>
      </c>
      <c r="CR59" s="371">
        <f t="shared" si="81"/>
        <v>0</v>
      </c>
      <c r="CS59" s="371">
        <f t="shared" si="81"/>
        <v>0</v>
      </c>
      <c r="CT59" s="371">
        <f t="shared" si="81"/>
        <v>0</v>
      </c>
      <c r="CU59" s="371">
        <f t="shared" si="81"/>
        <v>0</v>
      </c>
      <c r="CV59" s="371">
        <f t="shared" si="81"/>
        <v>0</v>
      </c>
      <c r="CW59" s="371">
        <f t="shared" si="81"/>
        <v>0</v>
      </c>
      <c r="CX59" s="371">
        <f t="shared" si="81"/>
        <v>0</v>
      </c>
      <c r="CY59" s="371">
        <f t="shared" si="81"/>
        <v>0</v>
      </c>
      <c r="CZ59" s="371">
        <f t="shared" si="81"/>
        <v>0</v>
      </c>
      <c r="DA59" s="371">
        <f t="shared" si="81"/>
        <v>0</v>
      </c>
      <c r="DB59" s="371">
        <f t="shared" si="81"/>
        <v>0</v>
      </c>
      <c r="DC59" s="371">
        <f t="shared" si="81"/>
        <v>0</v>
      </c>
      <c r="DD59" s="371">
        <f t="shared" si="81"/>
        <v>0</v>
      </c>
      <c r="DE59" s="371">
        <f t="shared" si="81"/>
        <v>0</v>
      </c>
      <c r="DF59" s="371">
        <f t="shared" si="81"/>
        <v>0</v>
      </c>
      <c r="DG59" s="371">
        <f t="shared" si="81"/>
        <v>0</v>
      </c>
      <c r="DH59" s="371">
        <f t="shared" si="81"/>
        <v>0</v>
      </c>
      <c r="DI59" s="371">
        <f t="shared" si="81"/>
        <v>0</v>
      </c>
      <c r="DJ59" s="371">
        <f t="shared" si="81"/>
        <v>0</v>
      </c>
      <c r="DK59" s="371">
        <f t="shared" si="81"/>
        <v>0</v>
      </c>
      <c r="DL59" s="371">
        <f t="shared" si="81"/>
        <v>0</v>
      </c>
      <c r="DM59" s="371">
        <f t="shared" si="81"/>
        <v>0</v>
      </c>
      <c r="DN59" s="372">
        <f t="shared" si="81"/>
        <v>7028443000</v>
      </c>
      <c r="DO59" s="359"/>
      <c r="DP59" s="358"/>
      <c r="DQ59" s="358"/>
      <c r="DR59" s="358"/>
      <c r="DS59" s="358"/>
      <c r="DT59" s="358"/>
      <c r="DU59" s="358"/>
      <c r="DV59" s="358"/>
      <c r="DW59" s="358"/>
      <c r="DX59" s="358"/>
      <c r="DY59" s="358"/>
      <c r="DZ59" s="358"/>
      <c r="EA59" s="358"/>
      <c r="EB59" s="358"/>
      <c r="EC59" s="358"/>
      <c r="ED59" s="358"/>
      <c r="EE59" s="358"/>
      <c r="EF59" s="358"/>
      <c r="EG59" s="358"/>
      <c r="EH59" s="358"/>
      <c r="EI59" s="358"/>
      <c r="EJ59" s="358"/>
      <c r="EK59" s="358"/>
      <c r="EL59" s="358"/>
      <c r="EM59" s="358"/>
      <c r="EN59" s="358"/>
      <c r="EO59" s="358"/>
      <c r="EP59" s="358"/>
      <c r="EQ59" s="358"/>
      <c r="ER59" s="505"/>
      <c r="ES59" s="505"/>
      <c r="ET59" s="505"/>
      <c r="EU59" s="505"/>
      <c r="EV59" s="505"/>
      <c r="EW59" s="506"/>
      <c r="EX59" s="506"/>
      <c r="EY59" s="506"/>
      <c r="EZ59" s="506"/>
      <c r="FA59" s="506"/>
    </row>
    <row r="60" spans="1:158" s="132" customFormat="1" ht="30.75" customHeight="1" x14ac:dyDescent="0.25">
      <c r="A60" s="467"/>
      <c r="B60" s="467"/>
      <c r="C60" s="467"/>
      <c r="D60" s="467"/>
      <c r="E60" s="467"/>
      <c r="F60" s="210" t="s">
        <v>45</v>
      </c>
      <c r="G60" s="283">
        <f>+G14+G21+G28+G35+G42+G49+G56</f>
        <v>3705793373.8304195</v>
      </c>
      <c r="H60" s="208">
        <f t="shared" ref="H60:BB60" si="82">+H14+H21+H28+H35+H42+H49+H56</f>
        <v>492875980</v>
      </c>
      <c r="I60" s="208">
        <f t="shared" si="82"/>
        <v>0</v>
      </c>
      <c r="J60" s="208">
        <f t="shared" si="82"/>
        <v>0</v>
      </c>
      <c r="K60" s="208">
        <f t="shared" si="82"/>
        <v>0</v>
      </c>
      <c r="L60" s="208">
        <f t="shared" si="82"/>
        <v>0</v>
      </c>
      <c r="M60" s="208">
        <f t="shared" si="82"/>
        <v>0</v>
      </c>
      <c r="N60" s="208">
        <f t="shared" si="82"/>
        <v>0</v>
      </c>
      <c r="O60" s="208">
        <f t="shared" si="82"/>
        <v>0</v>
      </c>
      <c r="P60" s="208">
        <f t="shared" si="82"/>
        <v>0</v>
      </c>
      <c r="Q60" s="208">
        <f t="shared" si="82"/>
        <v>0</v>
      </c>
      <c r="R60" s="208">
        <f t="shared" si="82"/>
        <v>0</v>
      </c>
      <c r="S60" s="208">
        <f t="shared" si="82"/>
        <v>0</v>
      </c>
      <c r="T60" s="208">
        <f t="shared" si="82"/>
        <v>0</v>
      </c>
      <c r="U60" s="208">
        <f t="shared" si="82"/>
        <v>0</v>
      </c>
      <c r="V60" s="208">
        <f t="shared" si="82"/>
        <v>0</v>
      </c>
      <c r="W60" s="208">
        <f t="shared" si="82"/>
        <v>492875980</v>
      </c>
      <c r="X60" s="208">
        <f t="shared" si="82"/>
        <v>492875980</v>
      </c>
      <c r="Y60" s="208">
        <f t="shared" si="82"/>
        <v>0</v>
      </c>
      <c r="Z60" s="208">
        <f t="shared" si="82"/>
        <v>492875980</v>
      </c>
      <c r="AA60" s="208">
        <f t="shared" si="82"/>
        <v>0</v>
      </c>
      <c r="AB60" s="208">
        <f>+AB14+AB21+AB28+AB35+AB42+AB49+AB56</f>
        <v>1796461446</v>
      </c>
      <c r="AC60" s="208">
        <f>+AC14+AC21+AC28+AC35+AC42+AC49+AC56</f>
        <v>420302557</v>
      </c>
      <c r="AD60" s="208">
        <f t="shared" si="82"/>
        <v>420302557</v>
      </c>
      <c r="AE60" s="208">
        <f t="shared" si="82"/>
        <v>475612458</v>
      </c>
      <c r="AF60" s="208">
        <f t="shared" si="82"/>
        <v>475612458</v>
      </c>
      <c r="AG60" s="208">
        <f t="shared" si="82"/>
        <v>237108188</v>
      </c>
      <c r="AH60" s="208">
        <f t="shared" si="82"/>
        <v>237108188</v>
      </c>
      <c r="AI60" s="208">
        <f t="shared" si="82"/>
        <v>109178008</v>
      </c>
      <c r="AJ60" s="208">
        <f t="shared" si="82"/>
        <v>109178008</v>
      </c>
      <c r="AK60" s="208">
        <f>+AK14+AK21+AK28+AK35+AK42+AK49+AK56</f>
        <v>142791967</v>
      </c>
      <c r="AL60" s="208">
        <f>+AL14+AL21+AL28+AL35+AL42+AL49+AL56</f>
        <v>142791967</v>
      </c>
      <c r="AM60" s="208">
        <f>+AM14+AM21+AM28+AM35+AM42+AM49+AM56</f>
        <v>135933686</v>
      </c>
      <c r="AN60" s="208">
        <f>+AN14+AN21+AN28+AN35+AN42+AN49+AN56</f>
        <v>140092408</v>
      </c>
      <c r="AO60" s="208">
        <f t="shared" si="82"/>
        <v>63971107</v>
      </c>
      <c r="AP60" s="208">
        <f t="shared" si="82"/>
        <v>0</v>
      </c>
      <c r="AQ60" s="208">
        <f>+AQ14+AQ21+AQ28+AQ35+AQ42+AQ49+AQ56</f>
        <v>81086539</v>
      </c>
      <c r="AR60" s="208">
        <f t="shared" si="82"/>
        <v>112211559</v>
      </c>
      <c r="AS60" s="208">
        <f t="shared" si="82"/>
        <v>105781038</v>
      </c>
      <c r="AT60" s="208">
        <f>+AT14+AT21+AT28+AT35+AT42+AT49+AT56</f>
        <v>1564253</v>
      </c>
      <c r="AU60" s="208">
        <f t="shared" si="82"/>
        <v>-8431</v>
      </c>
      <c r="AV60" s="392">
        <f>+AV14+AV21+AV28+AV35+AV42+AV49+AV56</f>
        <v>12817727</v>
      </c>
      <c r="AW60" s="392">
        <f t="shared" si="82"/>
        <v>-1342800</v>
      </c>
      <c r="AX60" s="392">
        <f>+AX14+AX21+AX28+AX35+AX42+AX49+AX56</f>
        <v>34756414</v>
      </c>
      <c r="AY60" s="392">
        <f t="shared" si="82"/>
        <v>0</v>
      </c>
      <c r="AZ60" s="392">
        <f>+AZ14+AZ21+AZ28+AZ35+AZ42+AZ49+AZ56</f>
        <v>14850182.830419362</v>
      </c>
      <c r="BA60" s="392">
        <f t="shared" si="82"/>
        <v>1770414317</v>
      </c>
      <c r="BB60" s="392">
        <f t="shared" si="82"/>
        <v>1770414317</v>
      </c>
      <c r="BC60" s="392">
        <f t="shared" ref="BC60:BE60" si="83">+BC14+BC21+BC28+BC35+BC42+BC49+BC56</f>
        <v>1701285721.8304193</v>
      </c>
      <c r="BD60" s="392">
        <f t="shared" si="83"/>
        <v>1770414317</v>
      </c>
      <c r="BE60" s="392">
        <f t="shared" si="83"/>
        <v>1701285721.8304193</v>
      </c>
      <c r="BF60" s="208">
        <f t="shared" ref="BF60:BR60" si="84">+BF14+BF21+BF28+BF35+BF42+BF49+BF56</f>
        <v>2043657525</v>
      </c>
      <c r="BG60" s="208">
        <f t="shared" si="84"/>
        <v>103664081</v>
      </c>
      <c r="BH60" s="208">
        <f t="shared" si="84"/>
        <v>0</v>
      </c>
      <c r="BI60" s="208">
        <f t="shared" si="84"/>
        <v>384363706</v>
      </c>
      <c r="BJ60" s="208">
        <f t="shared" si="84"/>
        <v>275548817</v>
      </c>
      <c r="BK60" s="208">
        <f t="shared" si="84"/>
        <v>319253417</v>
      </c>
      <c r="BL60" s="208">
        <f t="shared" si="84"/>
        <v>0</v>
      </c>
      <c r="BM60" s="208">
        <f t="shared" si="84"/>
        <v>412348492</v>
      </c>
      <c r="BN60" s="208">
        <f t="shared" si="84"/>
        <v>0</v>
      </c>
      <c r="BO60" s="208">
        <f t="shared" si="84"/>
        <v>124201978</v>
      </c>
      <c r="BP60" s="208">
        <f t="shared" si="84"/>
        <v>0</v>
      </c>
      <c r="BQ60" s="208">
        <f t="shared" si="84"/>
        <v>231880399</v>
      </c>
      <c r="BR60" s="208">
        <f t="shared" si="84"/>
        <v>0</v>
      </c>
      <c r="BS60" s="208">
        <f t="shared" ref="BS60:CC60" si="85">+BV14+BS21+BV28+BV35+BS42+BS49+BS56</f>
        <v>18335267</v>
      </c>
      <c r="BT60" s="208">
        <f>+BW14+BT21+BW28+BW35+BT42+BT49+BT56</f>
        <v>225496550</v>
      </c>
      <c r="BU60" s="208">
        <f>+BU14+BU21+BU28+BU35+BU42+BU49+BU56</f>
        <v>42033582</v>
      </c>
      <c r="BV60" s="208">
        <f>+BV14+BV21+BV28+BV35+BV42+BV49+BV56</f>
        <v>-9265466</v>
      </c>
      <c r="BW60" s="208">
        <f>+BZ14+BW21+BW28+BW35+BW42+BW49+BW56</f>
        <v>-1631382</v>
      </c>
      <c r="BX60" s="208">
        <f t="shared" si="85"/>
        <v>14864186</v>
      </c>
      <c r="BY60" s="208">
        <f t="shared" si="85"/>
        <v>0</v>
      </c>
      <c r="BZ60" s="208">
        <f t="shared" si="85"/>
        <v>0</v>
      </c>
      <c r="CA60" s="208">
        <f t="shared" si="85"/>
        <v>0</v>
      </c>
      <c r="CB60" s="208">
        <f>+CE14+CB21+CE28+CE35+CB42+CB49+CB56</f>
        <v>1669500361</v>
      </c>
      <c r="CC60" s="208">
        <f t="shared" si="85"/>
        <v>1600383238</v>
      </c>
      <c r="CD60" s="208">
        <f t="shared" ref="CD60:DN60" si="86">+CD14+CD21+CD28+CD35+CD42+CD49+CD56</f>
        <v>0</v>
      </c>
      <c r="CE60" s="208">
        <f>+CE14+CE21+CE28+CE35+CE42+CE49+CE56</f>
        <v>2004507652</v>
      </c>
      <c r="CF60" s="208">
        <f>+CF14+CF21+CF28+CF35+CF42+CF49+CF56</f>
        <v>1935390529</v>
      </c>
      <c r="CG60" s="208">
        <f>+CG14+CG21+CG28+CG35+CG42+CG49+CG56</f>
        <v>1743452405</v>
      </c>
      <c r="CH60" s="208">
        <f>+CH14+CH21+CH28+CH35+CH42+CH49+CH56</f>
        <v>2004507652</v>
      </c>
      <c r="CI60" s="208">
        <f t="shared" si="86"/>
        <v>1743452405</v>
      </c>
      <c r="CJ60" s="373">
        <f t="shared" si="86"/>
        <v>0</v>
      </c>
      <c r="CK60" s="373">
        <f t="shared" si="86"/>
        <v>0</v>
      </c>
      <c r="CL60" s="373">
        <f t="shared" si="86"/>
        <v>0</v>
      </c>
      <c r="CM60" s="373">
        <f t="shared" si="86"/>
        <v>0</v>
      </c>
      <c r="CN60" s="373">
        <f t="shared" si="86"/>
        <v>0</v>
      </c>
      <c r="CO60" s="373">
        <f t="shared" si="86"/>
        <v>0</v>
      </c>
      <c r="CP60" s="373">
        <f t="shared" si="86"/>
        <v>0</v>
      </c>
      <c r="CQ60" s="373">
        <f t="shared" si="86"/>
        <v>0</v>
      </c>
      <c r="CR60" s="373">
        <f t="shared" si="86"/>
        <v>0</v>
      </c>
      <c r="CS60" s="373">
        <f t="shared" si="86"/>
        <v>0</v>
      </c>
      <c r="CT60" s="373">
        <f t="shared" si="86"/>
        <v>0</v>
      </c>
      <c r="CU60" s="373">
        <f t="shared" si="86"/>
        <v>0</v>
      </c>
      <c r="CV60" s="373">
        <f t="shared" si="86"/>
        <v>0</v>
      </c>
      <c r="CW60" s="373">
        <f t="shared" si="86"/>
        <v>0</v>
      </c>
      <c r="CX60" s="373">
        <f t="shared" si="86"/>
        <v>0</v>
      </c>
      <c r="CY60" s="373">
        <f t="shared" si="86"/>
        <v>0</v>
      </c>
      <c r="CZ60" s="373">
        <f t="shared" si="86"/>
        <v>0</v>
      </c>
      <c r="DA60" s="373">
        <f t="shared" si="86"/>
        <v>0</v>
      </c>
      <c r="DB60" s="373">
        <f t="shared" si="86"/>
        <v>0</v>
      </c>
      <c r="DC60" s="373">
        <f t="shared" si="86"/>
        <v>0</v>
      </c>
      <c r="DD60" s="373">
        <f t="shared" si="86"/>
        <v>0</v>
      </c>
      <c r="DE60" s="373">
        <f t="shared" si="86"/>
        <v>0</v>
      </c>
      <c r="DF60" s="373">
        <f t="shared" si="86"/>
        <v>0</v>
      </c>
      <c r="DG60" s="373">
        <f t="shared" si="86"/>
        <v>0</v>
      </c>
      <c r="DH60" s="373">
        <f t="shared" si="86"/>
        <v>0</v>
      </c>
      <c r="DI60" s="373">
        <f t="shared" si="86"/>
        <v>0</v>
      </c>
      <c r="DJ60" s="373">
        <f t="shared" si="86"/>
        <v>0</v>
      </c>
      <c r="DK60" s="373">
        <f t="shared" si="86"/>
        <v>0</v>
      </c>
      <c r="DL60" s="373">
        <f t="shared" si="86"/>
        <v>0</v>
      </c>
      <c r="DM60" s="373">
        <f t="shared" si="86"/>
        <v>0</v>
      </c>
      <c r="DN60" s="374">
        <f t="shared" si="86"/>
        <v>0</v>
      </c>
      <c r="DO60" s="360"/>
      <c r="DP60" s="110"/>
      <c r="DQ60" s="110"/>
      <c r="DR60" s="110"/>
      <c r="DS60" s="110"/>
      <c r="DT60" s="110"/>
      <c r="DU60" s="110"/>
      <c r="DV60" s="110"/>
      <c r="DW60" s="110"/>
      <c r="DX60" s="110"/>
      <c r="DY60" s="110"/>
      <c r="DZ60" s="110"/>
      <c r="EA60" s="110"/>
      <c r="EB60" s="110"/>
      <c r="EC60" s="110"/>
      <c r="ED60" s="110"/>
      <c r="EE60" s="110"/>
      <c r="EF60" s="110"/>
      <c r="EG60" s="315"/>
      <c r="EH60" s="315"/>
      <c r="EI60" s="315"/>
      <c r="EJ60" s="315"/>
      <c r="EK60" s="315"/>
      <c r="EL60" s="315"/>
      <c r="EM60" s="110"/>
      <c r="EN60" s="111"/>
      <c r="EO60" s="111"/>
      <c r="EP60" s="111"/>
      <c r="EQ60" s="111"/>
      <c r="ER60" s="506"/>
      <c r="ES60" s="506"/>
      <c r="ET60" s="506"/>
      <c r="EU60" s="506"/>
      <c r="EV60" s="506"/>
      <c r="EW60" s="506"/>
      <c r="EX60" s="506"/>
      <c r="EY60" s="506"/>
      <c r="EZ60" s="506"/>
      <c r="FA60" s="506"/>
    </row>
    <row r="61" spans="1:158" s="132" customFormat="1" ht="30.75" customHeight="1" thickBot="1" x14ac:dyDescent="0.3">
      <c r="A61" s="467"/>
      <c r="B61" s="467"/>
      <c r="C61" s="467"/>
      <c r="D61" s="467"/>
      <c r="E61" s="467"/>
      <c r="F61" s="209" t="s">
        <v>46</v>
      </c>
      <c r="G61" s="284">
        <f>SUM(G59:G60)</f>
        <v>54424656407.830421</v>
      </c>
      <c r="H61" s="375">
        <f t="shared" ref="H61:BS61" si="87">SUM(H59:H60)</f>
        <v>5428330508</v>
      </c>
      <c r="I61" s="375">
        <f t="shared" si="87"/>
        <v>0</v>
      </c>
      <c r="J61" s="375">
        <f t="shared" si="87"/>
        <v>0</v>
      </c>
      <c r="K61" s="375">
        <f t="shared" si="87"/>
        <v>0</v>
      </c>
      <c r="L61" s="375">
        <f t="shared" si="87"/>
        <v>0</v>
      </c>
      <c r="M61" s="375">
        <f t="shared" si="87"/>
        <v>0</v>
      </c>
      <c r="N61" s="375">
        <f t="shared" si="87"/>
        <v>0</v>
      </c>
      <c r="O61" s="375">
        <f t="shared" si="87"/>
        <v>0</v>
      </c>
      <c r="P61" s="375">
        <f t="shared" si="87"/>
        <v>0</v>
      </c>
      <c r="Q61" s="375">
        <f t="shared" si="87"/>
        <v>0</v>
      </c>
      <c r="R61" s="375">
        <f t="shared" si="87"/>
        <v>0</v>
      </c>
      <c r="S61" s="375">
        <f t="shared" si="87"/>
        <v>0</v>
      </c>
      <c r="T61" s="375">
        <f t="shared" si="87"/>
        <v>0</v>
      </c>
      <c r="U61" s="375">
        <f t="shared" si="87"/>
        <v>0</v>
      </c>
      <c r="V61" s="375">
        <f t="shared" si="87"/>
        <v>0</v>
      </c>
      <c r="W61" s="375">
        <f t="shared" si="87"/>
        <v>5428330508</v>
      </c>
      <c r="X61" s="375">
        <f t="shared" si="87"/>
        <v>5428330508</v>
      </c>
      <c r="Y61" s="375">
        <f t="shared" si="87"/>
        <v>4588924316</v>
      </c>
      <c r="Z61" s="375">
        <f t="shared" si="87"/>
        <v>5428330508</v>
      </c>
      <c r="AA61" s="375">
        <f t="shared" si="87"/>
        <v>4588924316</v>
      </c>
      <c r="AB61" s="375">
        <f t="shared" si="87"/>
        <v>11864341446</v>
      </c>
      <c r="AC61" s="375">
        <f t="shared" si="87"/>
        <v>420302557</v>
      </c>
      <c r="AD61" s="375">
        <f t="shared" si="87"/>
        <v>420302557</v>
      </c>
      <c r="AE61" s="375">
        <f t="shared" si="87"/>
        <v>3140881458</v>
      </c>
      <c r="AF61" s="375">
        <f t="shared" si="87"/>
        <v>3140881458</v>
      </c>
      <c r="AG61" s="375">
        <f t="shared" si="87"/>
        <v>3922822338</v>
      </c>
      <c r="AH61" s="375">
        <f t="shared" si="87"/>
        <v>3922822338</v>
      </c>
      <c r="AI61" s="375">
        <f t="shared" si="87"/>
        <v>990618499</v>
      </c>
      <c r="AJ61" s="375">
        <f t="shared" si="87"/>
        <v>581828499</v>
      </c>
      <c r="AK61" s="375">
        <f t="shared" si="87"/>
        <v>181099911</v>
      </c>
      <c r="AL61" s="375">
        <f t="shared" si="87"/>
        <v>181099911</v>
      </c>
      <c r="AM61" s="375">
        <f t="shared" si="87"/>
        <v>737963673.66666663</v>
      </c>
      <c r="AN61" s="375">
        <f>SUM(AN59:AN60)</f>
        <v>843081582</v>
      </c>
      <c r="AO61" s="375">
        <f t="shared" si="87"/>
        <v>63971107</v>
      </c>
      <c r="AP61" s="375">
        <f t="shared" si="87"/>
        <v>24890000</v>
      </c>
      <c r="AQ61" s="375">
        <f t="shared" si="87"/>
        <v>651521090.00000024</v>
      </c>
      <c r="AR61" s="375">
        <f t="shared" si="87"/>
        <v>148975559</v>
      </c>
      <c r="AS61" s="375">
        <f t="shared" si="87"/>
        <v>652715589.00000024</v>
      </c>
      <c r="AT61" s="375">
        <f t="shared" si="87"/>
        <v>82790588</v>
      </c>
      <c r="AU61" s="375">
        <f t="shared" si="87"/>
        <v>425496739.33333331</v>
      </c>
      <c r="AV61" s="375">
        <f>SUM(AV59:AV60)</f>
        <v>346884199</v>
      </c>
      <c r="AW61" s="375">
        <f t="shared" si="87"/>
        <v>313029277</v>
      </c>
      <c r="AX61" s="375">
        <f>SUM(AX59:AX60)</f>
        <v>818365702</v>
      </c>
      <c r="AY61" s="375">
        <f t="shared" si="87"/>
        <v>314372078</v>
      </c>
      <c r="AZ61" s="375">
        <f t="shared" si="87"/>
        <v>826529046.8304193</v>
      </c>
      <c r="BA61" s="375">
        <f t="shared" si="87"/>
        <v>11814794317</v>
      </c>
      <c r="BB61" s="375">
        <f t="shared" si="87"/>
        <v>11814794317</v>
      </c>
      <c r="BC61" s="375">
        <f t="shared" si="87"/>
        <v>11338451439.83042</v>
      </c>
      <c r="BD61" s="375">
        <f t="shared" si="87"/>
        <v>11814794317</v>
      </c>
      <c r="BE61" s="375">
        <f t="shared" si="87"/>
        <v>11338451439.83042</v>
      </c>
      <c r="BF61" s="375">
        <f t="shared" si="87"/>
        <v>18512098525</v>
      </c>
      <c r="BG61" s="375">
        <f t="shared" si="87"/>
        <v>9274176081</v>
      </c>
      <c r="BH61" s="375">
        <f t="shared" si="87"/>
        <v>8662799908</v>
      </c>
      <c r="BI61" s="375">
        <f t="shared" si="87"/>
        <v>412363706</v>
      </c>
      <c r="BJ61" s="375">
        <f>SUM(BJ59:BJ60)</f>
        <v>275548817</v>
      </c>
      <c r="BK61" s="375">
        <f t="shared" si="87"/>
        <v>2288127417</v>
      </c>
      <c r="BL61" s="375">
        <f t="shared" si="87"/>
        <v>50000000</v>
      </c>
      <c r="BM61" s="375">
        <f t="shared" si="87"/>
        <v>1283494492</v>
      </c>
      <c r="BN61" s="375">
        <f t="shared" si="87"/>
        <v>0</v>
      </c>
      <c r="BO61" s="375">
        <f t="shared" si="87"/>
        <v>144201978</v>
      </c>
      <c r="BP61" s="375">
        <f t="shared" si="87"/>
        <v>274596000</v>
      </c>
      <c r="BQ61" s="375">
        <f t="shared" si="87"/>
        <v>4429149399</v>
      </c>
      <c r="BR61" s="375">
        <f t="shared" si="87"/>
        <v>134020000</v>
      </c>
      <c r="BS61" s="375">
        <f t="shared" si="87"/>
        <v>18335267</v>
      </c>
      <c r="BT61" s="375">
        <f t="shared" ref="BT61:DN61" si="88">SUM(BT59:BT60)</f>
        <v>179630550</v>
      </c>
      <c r="BU61" s="375">
        <f t="shared" si="88"/>
        <v>214673582</v>
      </c>
      <c r="BV61" s="375">
        <f>SUM(BV59:BV60)</f>
        <v>4762534</v>
      </c>
      <c r="BW61" s="375">
        <f t="shared" si="88"/>
        <v>-121916039</v>
      </c>
      <c r="BX61" s="375">
        <f t="shared" si="88"/>
        <v>471212020</v>
      </c>
      <c r="BY61" s="375">
        <f t="shared" si="88"/>
        <v>160284657</v>
      </c>
      <c r="BZ61" s="375">
        <f t="shared" si="88"/>
        <v>0</v>
      </c>
      <c r="CA61" s="375">
        <f t="shared" si="88"/>
        <v>0</v>
      </c>
      <c r="CB61" s="375">
        <f t="shared" si="88"/>
        <v>1669500361</v>
      </c>
      <c r="CC61" s="375">
        <f t="shared" si="88"/>
        <v>1600383238</v>
      </c>
      <c r="CD61" s="375">
        <f t="shared" si="88"/>
        <v>0</v>
      </c>
      <c r="CE61" s="375">
        <f t="shared" si="88"/>
        <v>18472948652</v>
      </c>
      <c r="CF61" s="375">
        <f t="shared" si="88"/>
        <v>18243546872</v>
      </c>
      <c r="CG61" s="375">
        <f t="shared" si="88"/>
        <v>11289378147</v>
      </c>
      <c r="CH61" s="375">
        <f t="shared" si="88"/>
        <v>18472948652</v>
      </c>
      <c r="CI61" s="375">
        <f t="shared" si="88"/>
        <v>11289378147</v>
      </c>
      <c r="CJ61" s="375">
        <f t="shared" si="88"/>
        <v>12995889000</v>
      </c>
      <c r="CK61" s="375">
        <f t="shared" si="88"/>
        <v>0</v>
      </c>
      <c r="CL61" s="375">
        <f t="shared" si="88"/>
        <v>0</v>
      </c>
      <c r="CM61" s="375">
        <f t="shared" si="88"/>
        <v>0</v>
      </c>
      <c r="CN61" s="375">
        <f t="shared" si="88"/>
        <v>0</v>
      </c>
      <c r="CO61" s="375">
        <f t="shared" si="88"/>
        <v>0</v>
      </c>
      <c r="CP61" s="375">
        <f t="shared" si="88"/>
        <v>0</v>
      </c>
      <c r="CQ61" s="375">
        <f t="shared" si="88"/>
        <v>0</v>
      </c>
      <c r="CR61" s="375">
        <f t="shared" si="88"/>
        <v>0</v>
      </c>
      <c r="CS61" s="375">
        <f t="shared" si="88"/>
        <v>0</v>
      </c>
      <c r="CT61" s="375">
        <f t="shared" si="88"/>
        <v>0</v>
      </c>
      <c r="CU61" s="375">
        <f t="shared" si="88"/>
        <v>0</v>
      </c>
      <c r="CV61" s="375">
        <f t="shared" si="88"/>
        <v>0</v>
      </c>
      <c r="CW61" s="375">
        <f t="shared" si="88"/>
        <v>0</v>
      </c>
      <c r="CX61" s="375">
        <f t="shared" si="88"/>
        <v>0</v>
      </c>
      <c r="CY61" s="375">
        <f t="shared" si="88"/>
        <v>0</v>
      </c>
      <c r="CZ61" s="375">
        <f t="shared" si="88"/>
        <v>0</v>
      </c>
      <c r="DA61" s="375">
        <f t="shared" si="88"/>
        <v>0</v>
      </c>
      <c r="DB61" s="375">
        <f t="shared" si="88"/>
        <v>0</v>
      </c>
      <c r="DC61" s="375">
        <f t="shared" si="88"/>
        <v>0</v>
      </c>
      <c r="DD61" s="375">
        <f t="shared" si="88"/>
        <v>0</v>
      </c>
      <c r="DE61" s="375">
        <f t="shared" si="88"/>
        <v>0</v>
      </c>
      <c r="DF61" s="375">
        <f t="shared" si="88"/>
        <v>0</v>
      </c>
      <c r="DG61" s="375">
        <f t="shared" si="88"/>
        <v>0</v>
      </c>
      <c r="DH61" s="375">
        <f t="shared" si="88"/>
        <v>0</v>
      </c>
      <c r="DI61" s="375">
        <f t="shared" si="88"/>
        <v>0</v>
      </c>
      <c r="DJ61" s="375">
        <f t="shared" si="88"/>
        <v>0</v>
      </c>
      <c r="DK61" s="375">
        <f t="shared" si="88"/>
        <v>0</v>
      </c>
      <c r="DL61" s="375">
        <f t="shared" si="88"/>
        <v>0</v>
      </c>
      <c r="DM61" s="375">
        <f t="shared" si="88"/>
        <v>0</v>
      </c>
      <c r="DN61" s="376">
        <f t="shared" si="88"/>
        <v>7028443000</v>
      </c>
      <c r="DO61" s="393"/>
      <c r="DP61" s="316"/>
      <c r="DQ61" s="316"/>
      <c r="DR61" s="316"/>
      <c r="DS61" s="316"/>
      <c r="DT61" s="316"/>
      <c r="DU61" s="316"/>
      <c r="DV61" s="316"/>
      <c r="DW61" s="316"/>
      <c r="DX61" s="316"/>
      <c r="DY61" s="316"/>
      <c r="DZ61" s="316"/>
      <c r="EA61" s="316"/>
      <c r="EB61" s="316"/>
      <c r="EC61" s="316"/>
      <c r="ED61" s="316"/>
      <c r="EE61" s="316"/>
      <c r="EF61" s="316"/>
      <c r="EG61" s="316"/>
      <c r="EH61" s="316"/>
      <c r="EI61" s="316"/>
      <c r="EJ61" s="316"/>
      <c r="EK61" s="316"/>
      <c r="EL61" s="316"/>
      <c r="EM61" s="316"/>
      <c r="EN61" s="316"/>
      <c r="EO61" s="316"/>
      <c r="EP61" s="316"/>
      <c r="EQ61" s="316"/>
      <c r="ER61" s="506"/>
      <c r="ES61" s="506"/>
      <c r="ET61" s="506"/>
      <c r="EU61" s="506"/>
      <c r="EV61" s="506"/>
      <c r="EW61" s="506"/>
      <c r="EX61" s="506"/>
      <c r="EY61" s="506"/>
      <c r="EZ61" s="506"/>
      <c r="FA61" s="506"/>
    </row>
    <row r="62" spans="1:158" ht="30.75" customHeight="1" x14ac:dyDescent="0.25">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197"/>
      <c r="BD62" s="192"/>
      <c r="BE62" s="42"/>
      <c r="BF62" s="42"/>
      <c r="BG62" s="42"/>
      <c r="BH62" s="42"/>
      <c r="BI62" s="42"/>
      <c r="BJ62" s="42"/>
      <c r="BK62" s="42"/>
      <c r="BL62" s="42"/>
      <c r="BM62" s="42"/>
      <c r="BN62" s="42"/>
      <c r="BO62" s="42"/>
      <c r="BP62" s="42"/>
      <c r="BQ62" s="42"/>
      <c r="BR62" s="42"/>
      <c r="BS62" s="42"/>
      <c r="BT62" s="42"/>
      <c r="BU62" s="42"/>
      <c r="BV62" s="42"/>
      <c r="BW62" s="42"/>
      <c r="BX62" s="42"/>
      <c r="BY62" s="42"/>
      <c r="BZ62" s="42"/>
      <c r="CA62" s="42"/>
      <c r="CB62" s="42"/>
      <c r="CC62" s="42"/>
      <c r="CD62" s="42"/>
      <c r="CE62" s="42"/>
      <c r="CF62" s="42"/>
      <c r="CG62" s="42"/>
      <c r="CH62" s="42"/>
      <c r="CI62" s="42"/>
      <c r="CJ62" s="42"/>
      <c r="CK62" s="42"/>
      <c r="CL62" s="42"/>
      <c r="CM62" s="42"/>
      <c r="CN62" s="42"/>
      <c r="CO62" s="42"/>
      <c r="CP62" s="42"/>
      <c r="CQ62" s="42"/>
      <c r="CR62" s="42"/>
      <c r="CS62" s="42"/>
      <c r="CT62" s="42"/>
      <c r="CU62" s="42"/>
      <c r="CV62" s="42"/>
      <c r="CW62" s="42"/>
      <c r="CX62" s="42"/>
      <c r="CY62" s="42"/>
      <c r="CZ62" s="42"/>
      <c r="DA62" s="42"/>
      <c r="DB62" s="42"/>
      <c r="DC62" s="42"/>
      <c r="DD62" s="42"/>
      <c r="DE62" s="42"/>
      <c r="DF62" s="42"/>
      <c r="DG62" s="42"/>
      <c r="DH62" s="42"/>
      <c r="DI62" s="42"/>
      <c r="DJ62" s="42"/>
      <c r="DK62" s="42"/>
      <c r="DL62" s="42"/>
      <c r="DM62" s="42"/>
      <c r="DN62" s="42"/>
      <c r="DO62" s="42"/>
      <c r="DP62" s="42"/>
      <c r="DQ62" s="42"/>
      <c r="DR62" s="42"/>
      <c r="DS62" s="42"/>
      <c r="DT62" s="42"/>
      <c r="DU62" s="42"/>
      <c r="DV62" s="42"/>
      <c r="DW62" s="42"/>
      <c r="DX62" s="42"/>
      <c r="DY62" s="42"/>
      <c r="DZ62" s="42"/>
      <c r="EA62" s="42"/>
      <c r="EB62" s="42"/>
      <c r="EC62" s="42"/>
      <c r="ED62" s="42"/>
      <c r="EE62" s="42"/>
      <c r="EF62" s="42"/>
    </row>
    <row r="63" spans="1:158" ht="30.75" customHeight="1" x14ac:dyDescent="0.25">
      <c r="F63" s="22" t="s">
        <v>34</v>
      </c>
      <c r="G63" s="20"/>
      <c r="H63" s="20"/>
      <c r="I63" s="21"/>
      <c r="J63" s="53"/>
      <c r="K63" s="21"/>
      <c r="L63" s="21"/>
      <c r="M63" s="21"/>
      <c r="N63" s="21"/>
      <c r="O63" s="21"/>
      <c r="P63" s="21"/>
      <c r="Q63" s="21"/>
      <c r="R63" s="21"/>
      <c r="S63" s="21"/>
      <c r="T63" s="21"/>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s="30"/>
      <c r="BE63"/>
      <c r="BF63" s="44"/>
      <c r="BW63"/>
      <c r="BX63"/>
      <c r="BY63"/>
      <c r="BZ63"/>
      <c r="CA63"/>
      <c r="CB63"/>
      <c r="CC63"/>
      <c r="CD63"/>
      <c r="CE63"/>
      <c r="CF63"/>
      <c r="CG63"/>
      <c r="CH63"/>
      <c r="CI63"/>
    </row>
    <row r="64" spans="1:158" ht="30.75" customHeight="1" x14ac:dyDescent="0.25">
      <c r="F64" s="198" t="s">
        <v>35</v>
      </c>
      <c r="G64" s="463" t="s">
        <v>36</v>
      </c>
      <c r="H64" s="463"/>
      <c r="I64" s="463"/>
      <c r="J64" s="463"/>
      <c r="K64" s="463"/>
      <c r="L64" s="463"/>
      <c r="M64" s="463"/>
      <c r="N64" s="446" t="s">
        <v>37</v>
      </c>
      <c r="O64" s="447"/>
      <c r="P64" s="447"/>
      <c r="Q64" s="447"/>
      <c r="R64" s="447"/>
      <c r="S64" s="447"/>
      <c r="T64" s="448"/>
      <c r="U64" s="464"/>
      <c r="V64" s="464"/>
      <c r="W64" s="464"/>
      <c r="X64" s="464"/>
      <c r="Y64" s="464"/>
      <c r="Z64" s="464"/>
      <c r="AA64" s="464"/>
      <c r="AB64" s="464"/>
      <c r="AC64" s="464"/>
      <c r="AD64" s="464"/>
      <c r="AE64" s="464"/>
      <c r="AF64" s="464"/>
      <c r="AG64" s="464"/>
      <c r="AH64" s="464"/>
      <c r="AI64" s="464"/>
      <c r="AJ64" s="464"/>
      <c r="AK64" s="464"/>
      <c r="AL64" s="464"/>
      <c r="AM64" s="464"/>
      <c r="AN64" s="464"/>
      <c r="AO64" s="464"/>
      <c r="AP64" s="464"/>
      <c r="AQ64" s="464"/>
      <c r="AR64" s="464"/>
      <c r="AS64" s="464"/>
      <c r="AT64" s="464"/>
      <c r="AU64" s="464"/>
      <c r="AV64" s="464"/>
      <c r="AW64" s="464"/>
      <c r="AX64" s="464"/>
      <c r="AY64" s="464"/>
      <c r="AZ64" s="464"/>
      <c r="BA64" s="464"/>
      <c r="BB64" s="464"/>
      <c r="BC64" s="464"/>
      <c r="BD64" s="464"/>
      <c r="BE64" s="464"/>
    </row>
    <row r="65" spans="6:136" ht="30.75" customHeight="1" x14ac:dyDescent="0.25">
      <c r="F65" s="199">
        <v>13</v>
      </c>
      <c r="G65" s="449" t="s">
        <v>89</v>
      </c>
      <c r="H65" s="449"/>
      <c r="I65" s="449"/>
      <c r="J65" s="449"/>
      <c r="K65" s="449"/>
      <c r="L65" s="449"/>
      <c r="M65" s="449"/>
      <c r="N65" s="449" t="s">
        <v>80</v>
      </c>
      <c r="O65" s="449"/>
      <c r="P65" s="449"/>
      <c r="Q65" s="449"/>
      <c r="R65" s="449"/>
      <c r="S65" s="449"/>
      <c r="T65" s="449"/>
      <c r="U65" s="465"/>
      <c r="V65" s="466"/>
      <c r="W65" s="466"/>
      <c r="X65" s="466"/>
      <c r="Y65" s="466"/>
      <c r="Z65" s="466"/>
      <c r="AA65" s="466"/>
      <c r="AB65" s="466"/>
      <c r="AC65" s="466"/>
      <c r="AD65" s="466"/>
      <c r="AE65" s="466"/>
      <c r="AF65" s="466"/>
      <c r="AG65" s="466"/>
      <c r="AH65" s="466"/>
      <c r="AI65" s="466"/>
      <c r="AJ65" s="466"/>
      <c r="AK65" s="466"/>
      <c r="AL65" s="466"/>
      <c r="AM65" s="466"/>
      <c r="AN65" s="466"/>
      <c r="AO65" s="466"/>
      <c r="AP65" s="466"/>
      <c r="AQ65" s="466"/>
      <c r="AR65" s="466"/>
      <c r="AS65" s="466"/>
      <c r="AT65" s="466"/>
      <c r="AU65" s="466"/>
      <c r="AV65" s="466"/>
      <c r="AW65" s="466"/>
      <c r="AX65" s="466"/>
      <c r="AY65" s="466"/>
      <c r="AZ65" s="466"/>
      <c r="BA65" s="466"/>
      <c r="BB65" s="466"/>
      <c r="BC65" s="466"/>
      <c r="BD65" s="466"/>
      <c r="BE65" s="466"/>
    </row>
    <row r="66" spans="6:136" ht="30.75" customHeight="1" x14ac:dyDescent="0.25">
      <c r="F66" s="199">
        <v>14</v>
      </c>
      <c r="G66" s="449" t="s">
        <v>258</v>
      </c>
      <c r="H66" s="449"/>
      <c r="I66" s="449"/>
      <c r="J66" s="449"/>
      <c r="K66" s="449"/>
      <c r="L66" s="449"/>
      <c r="M66" s="449"/>
      <c r="N66" s="450" t="s">
        <v>530</v>
      </c>
      <c r="O66" s="450"/>
      <c r="P66" s="450"/>
      <c r="Q66" s="450"/>
      <c r="R66" s="450"/>
      <c r="S66" s="450"/>
      <c r="T66" s="450"/>
      <c r="AA66" s="235"/>
      <c r="BF66" s="57"/>
    </row>
    <row r="67" spans="6:136" ht="30.75" customHeight="1" x14ac:dyDescent="0.25">
      <c r="AH67" s="58"/>
      <c r="AI67" s="58"/>
      <c r="AJ67" s="58"/>
      <c r="AK67" s="58"/>
      <c r="AL67" s="58"/>
      <c r="AM67" s="58"/>
      <c r="AN67" s="58"/>
      <c r="AO67" s="58"/>
      <c r="AP67" s="58"/>
      <c r="AQ67" s="58"/>
      <c r="AR67" s="58"/>
      <c r="AS67" s="58"/>
      <c r="AT67" s="58"/>
      <c r="AU67" s="58"/>
      <c r="AV67" s="42"/>
      <c r="AW67" s="42"/>
      <c r="AX67" s="58"/>
      <c r="BF67" s="61"/>
      <c r="CJ67" s="62"/>
      <c r="CK67" s="62"/>
      <c r="CL67" s="62"/>
      <c r="CM67" s="62"/>
      <c r="CN67" s="62"/>
      <c r="CO67" s="62"/>
      <c r="CP67" s="62"/>
      <c r="CQ67" s="62"/>
      <c r="CR67" s="62"/>
      <c r="CS67" s="62"/>
      <c r="CT67" s="62"/>
      <c r="CU67" s="62"/>
      <c r="CV67" s="62"/>
      <c r="CW67" s="62"/>
      <c r="CX67" s="62"/>
      <c r="CY67" s="62"/>
      <c r="CZ67" s="62"/>
      <c r="DA67" s="62"/>
      <c r="DB67" s="62"/>
      <c r="DC67" s="62"/>
      <c r="DD67" s="62"/>
      <c r="DE67" s="62"/>
      <c r="DF67" s="62"/>
      <c r="DG67" s="62"/>
      <c r="DH67" s="62"/>
    </row>
    <row r="68" spans="6:136" ht="30.75" customHeight="1" x14ac:dyDescent="0.25">
      <c r="AW68" s="42"/>
      <c r="BF68" s="63"/>
      <c r="CJ68" s="62"/>
      <c r="CK68" s="62"/>
      <c r="CL68" s="62"/>
      <c r="CM68" s="62"/>
      <c r="CN68" s="62"/>
      <c r="CO68" s="62"/>
      <c r="CP68" s="62"/>
      <c r="CQ68" s="62"/>
      <c r="CR68" s="62"/>
      <c r="CS68" s="62"/>
      <c r="CT68" s="62"/>
      <c r="CU68" s="62"/>
      <c r="CV68" s="62"/>
      <c r="CW68" s="62"/>
      <c r="CX68" s="62"/>
      <c r="CY68" s="62"/>
      <c r="CZ68" s="62"/>
      <c r="DA68" s="62"/>
      <c r="DB68" s="62"/>
      <c r="DC68" s="62"/>
      <c r="DD68" s="62"/>
      <c r="DE68" s="62"/>
      <c r="DF68" s="62"/>
      <c r="DG68" s="62"/>
      <c r="DH68" s="62"/>
    </row>
    <row r="69" spans="6:136" ht="30.75" customHeight="1" x14ac:dyDescent="0.25">
      <c r="G69" s="44"/>
      <c r="AW69" s="42"/>
      <c r="CJ69" s="62"/>
      <c r="CK69" s="62"/>
      <c r="CL69" s="62"/>
      <c r="CM69" s="62"/>
      <c r="CN69" s="62"/>
      <c r="CO69" s="62"/>
      <c r="CP69" s="62"/>
      <c r="CQ69" s="62"/>
      <c r="CR69" s="62"/>
      <c r="CS69" s="62"/>
      <c r="CT69" s="62"/>
      <c r="CU69" s="62"/>
      <c r="CV69" s="62"/>
      <c r="CW69" s="62"/>
      <c r="CX69" s="62"/>
      <c r="CY69" s="62"/>
      <c r="CZ69" s="62"/>
      <c r="DA69" s="62"/>
      <c r="DB69" s="62"/>
      <c r="DC69" s="62"/>
      <c r="DD69" s="62"/>
      <c r="DE69" s="62"/>
      <c r="DF69" s="62"/>
      <c r="DG69" s="62"/>
      <c r="DH69" s="62"/>
      <c r="DN69" s="62"/>
      <c r="DO69" s="62"/>
      <c r="DP69" s="62"/>
      <c r="DQ69" s="62"/>
      <c r="DR69" s="62"/>
      <c r="DS69" s="62"/>
      <c r="DT69" s="62"/>
      <c r="DU69" s="62"/>
      <c r="DV69" s="62"/>
      <c r="DW69" s="62"/>
      <c r="DX69" s="62"/>
      <c r="DY69" s="62"/>
      <c r="DZ69" s="62"/>
      <c r="EA69" s="62"/>
      <c r="EB69" s="62"/>
      <c r="EC69" s="62"/>
      <c r="ED69" s="62"/>
      <c r="EE69" s="62"/>
      <c r="EF69" s="62"/>
    </row>
    <row r="70" spans="6:136" ht="30.75" customHeight="1" x14ac:dyDescent="0.25">
      <c r="AW70" s="42"/>
      <c r="BF70" s="64"/>
      <c r="CJ70" s="62"/>
      <c r="CK70" s="62"/>
      <c r="CL70" s="62"/>
      <c r="CM70" s="62"/>
      <c r="CN70" s="62"/>
      <c r="CO70" s="62"/>
      <c r="CP70" s="62"/>
      <c r="CQ70" s="62"/>
      <c r="CR70" s="62"/>
      <c r="CS70" s="62"/>
      <c r="CT70" s="62"/>
      <c r="CU70" s="62"/>
      <c r="CV70" s="62"/>
      <c r="CW70" s="62"/>
      <c r="CX70" s="62"/>
      <c r="CY70" s="62"/>
      <c r="CZ70" s="62"/>
      <c r="DA70" s="62"/>
      <c r="DB70" s="62"/>
      <c r="DC70" s="62"/>
      <c r="DD70" s="62"/>
      <c r="DE70" s="62"/>
      <c r="DF70" s="62"/>
      <c r="DG70" s="62"/>
      <c r="DH70" s="62"/>
    </row>
    <row r="71" spans="6:136" ht="30.75" customHeight="1" x14ac:dyDescent="0.25">
      <c r="G71" s="44"/>
      <c r="Q71" s="44"/>
      <c r="AW71" s="42"/>
    </row>
    <row r="72" spans="6:136" ht="30.75" customHeight="1" x14ac:dyDescent="0.25">
      <c r="AW72" s="42"/>
      <c r="BF72" s="58"/>
      <c r="CJ72" s="60"/>
      <c r="CK72" s="60"/>
      <c r="CL72" s="60"/>
      <c r="CM72" s="60"/>
      <c r="CN72" s="60"/>
      <c r="CO72" s="60"/>
      <c r="CP72" s="60"/>
      <c r="CQ72" s="60"/>
      <c r="CR72" s="60"/>
      <c r="CS72" s="60"/>
      <c r="CT72" s="60"/>
      <c r="CU72" s="60"/>
      <c r="CV72" s="60"/>
      <c r="CW72" s="60"/>
      <c r="CX72" s="60"/>
      <c r="CY72" s="60"/>
      <c r="CZ72" s="60"/>
      <c r="DA72" s="60"/>
      <c r="DB72" s="60"/>
      <c r="DC72" s="60"/>
      <c r="DD72" s="60"/>
      <c r="DE72" s="60"/>
      <c r="DF72" s="60"/>
      <c r="DG72" s="60"/>
      <c r="DH72" s="60"/>
    </row>
    <row r="73" spans="6:136" ht="30.75" customHeight="1" x14ac:dyDescent="0.25">
      <c r="AW73" s="42"/>
    </row>
    <row r="74" spans="6:136" ht="30.75" customHeight="1" x14ac:dyDescent="0.25">
      <c r="AW74" s="42"/>
      <c r="BF74" s="58"/>
      <c r="CJ74" s="58"/>
      <c r="CK74" s="58"/>
      <c r="CL74" s="58"/>
      <c r="CM74" s="58"/>
      <c r="CN74" s="58"/>
      <c r="CO74" s="58"/>
      <c r="CP74" s="58"/>
      <c r="CQ74" s="58"/>
      <c r="CR74" s="58"/>
      <c r="CS74" s="58"/>
      <c r="CT74" s="58"/>
      <c r="CU74" s="58"/>
      <c r="CV74" s="58"/>
      <c r="CW74" s="58"/>
      <c r="CX74" s="58"/>
      <c r="CY74" s="58"/>
      <c r="CZ74" s="58"/>
      <c r="DA74" s="58"/>
      <c r="DB74" s="58"/>
      <c r="DC74" s="58"/>
      <c r="DD74" s="58"/>
      <c r="DE74" s="58"/>
      <c r="DF74" s="58"/>
      <c r="DG74" s="58"/>
      <c r="DH74" s="58"/>
    </row>
    <row r="75" spans="6:136" ht="30.75" customHeight="1" x14ac:dyDescent="0.25">
      <c r="AW75" s="42"/>
    </row>
    <row r="76" spans="6:136" ht="30.75" customHeight="1" x14ac:dyDescent="0.25">
      <c r="AW76" s="42"/>
    </row>
    <row r="77" spans="6:136" ht="30.75" customHeight="1" x14ac:dyDescent="0.25">
      <c r="AW77" s="42"/>
    </row>
    <row r="78" spans="6:136" ht="30.75" customHeight="1" x14ac:dyDescent="0.25">
      <c r="AW78" s="42"/>
    </row>
    <row r="79" spans="6:136" ht="30.75" customHeight="1" x14ac:dyDescent="0.25">
      <c r="AW79" s="42"/>
    </row>
    <row r="80" spans="6:136" ht="30.75" customHeight="1" x14ac:dyDescent="0.25">
      <c r="AW80" s="42"/>
    </row>
  </sheetData>
  <mergeCells count="113">
    <mergeCell ref="ER59:FA61"/>
    <mergeCell ref="ET7:ET9"/>
    <mergeCell ref="ES7:ES9"/>
    <mergeCell ref="FA52:FA58"/>
    <mergeCell ref="EZ38:EZ44"/>
    <mergeCell ref="EW45:EW51"/>
    <mergeCell ref="EX38:EX44"/>
    <mergeCell ref="FB52:FB58"/>
    <mergeCell ref="EW38:EW44"/>
    <mergeCell ref="FB38:FB44"/>
    <mergeCell ref="FB45:FB51"/>
    <mergeCell ref="EY38:EY44"/>
    <mergeCell ref="FA45:FA51"/>
    <mergeCell ref="FA38:FA44"/>
    <mergeCell ref="EZ52:EZ58"/>
    <mergeCell ref="EY45:EY51"/>
    <mergeCell ref="EY52:EY58"/>
    <mergeCell ref="EW52:EW58"/>
    <mergeCell ref="EX52:EX58"/>
    <mergeCell ref="EX45:EX51"/>
    <mergeCell ref="EZ45:EZ51"/>
    <mergeCell ref="EX10:EX16"/>
    <mergeCell ref="EY10:EY16"/>
    <mergeCell ref="EZ10:EZ16"/>
    <mergeCell ref="FA10:FA16"/>
    <mergeCell ref="A1:E3"/>
    <mergeCell ref="A4:E4"/>
    <mergeCell ref="A5:E5"/>
    <mergeCell ref="A7:G8"/>
    <mergeCell ref="F1:FA1"/>
    <mergeCell ref="F2:FA2"/>
    <mergeCell ref="F3:EQ3"/>
    <mergeCell ref="H7:EQ7"/>
    <mergeCell ref="H8:AA8"/>
    <mergeCell ref="AB8:BE8"/>
    <mergeCell ref="BF8:CI8"/>
    <mergeCell ref="ER3:FA3"/>
    <mergeCell ref="F5:FA5"/>
    <mergeCell ref="F4:FA4"/>
    <mergeCell ref="FA7:FA9"/>
    <mergeCell ref="EY7:EY9"/>
    <mergeCell ref="EZ7:EZ9"/>
    <mergeCell ref="ER7:ER9"/>
    <mergeCell ref="EU7:EU9"/>
    <mergeCell ref="DN8:EQ8"/>
    <mergeCell ref="CJ8:DM8"/>
    <mergeCell ref="EX7:EX9"/>
    <mergeCell ref="EV7:EV9"/>
    <mergeCell ref="EW7:EW9"/>
    <mergeCell ref="A45:A51"/>
    <mergeCell ref="A52:A58"/>
    <mergeCell ref="B52:B58"/>
    <mergeCell ref="D31:D37"/>
    <mergeCell ref="E31:E37"/>
    <mergeCell ref="C45:C51"/>
    <mergeCell ref="B45:B51"/>
    <mergeCell ref="B31:B37"/>
    <mergeCell ref="C31:C37"/>
    <mergeCell ref="D38:D44"/>
    <mergeCell ref="A38:A44"/>
    <mergeCell ref="B38:B44"/>
    <mergeCell ref="C38:C44"/>
    <mergeCell ref="E38:E44"/>
    <mergeCell ref="D45:D51"/>
    <mergeCell ref="E45:E51"/>
    <mergeCell ref="C52:C58"/>
    <mergeCell ref="D52:D58"/>
    <mergeCell ref="E52:E58"/>
    <mergeCell ref="D10:D16"/>
    <mergeCell ref="E10:E16"/>
    <mergeCell ref="EW10:EW16"/>
    <mergeCell ref="G66:M66"/>
    <mergeCell ref="N66:T66"/>
    <mergeCell ref="G64:M64"/>
    <mergeCell ref="N64:T64"/>
    <mergeCell ref="U64:BE64"/>
    <mergeCell ref="G65:M65"/>
    <mergeCell ref="N65:T65"/>
    <mergeCell ref="U65:BE65"/>
    <mergeCell ref="A59:E61"/>
    <mergeCell ref="EY17:EY23"/>
    <mergeCell ref="EZ17:EZ23"/>
    <mergeCell ref="FA17:FA23"/>
    <mergeCell ref="FB17:FB23"/>
    <mergeCell ref="B17:B23"/>
    <mergeCell ref="C17:C23"/>
    <mergeCell ref="D17:D23"/>
    <mergeCell ref="E17:E23"/>
    <mergeCell ref="EW17:EW23"/>
    <mergeCell ref="FB31:FB37"/>
    <mergeCell ref="A10:A16"/>
    <mergeCell ref="A17:A23"/>
    <mergeCell ref="A24:A30"/>
    <mergeCell ref="A31:A37"/>
    <mergeCell ref="EW31:EW37"/>
    <mergeCell ref="EX31:EX37"/>
    <mergeCell ref="EY31:EY37"/>
    <mergeCell ref="EZ31:EZ37"/>
    <mergeCell ref="FA31:FA37"/>
    <mergeCell ref="EX24:EX30"/>
    <mergeCell ref="EY24:EY30"/>
    <mergeCell ref="EZ24:EZ30"/>
    <mergeCell ref="FA24:FA30"/>
    <mergeCell ref="FB24:FB30"/>
    <mergeCell ref="B24:B30"/>
    <mergeCell ref="C24:C30"/>
    <mergeCell ref="D24:D30"/>
    <mergeCell ref="E24:E30"/>
    <mergeCell ref="EW24:EW30"/>
    <mergeCell ref="EX17:EX23"/>
    <mergeCell ref="FB10:FB16"/>
    <mergeCell ref="B10:B16"/>
    <mergeCell ref="C10:C16"/>
  </mergeCells>
  <printOptions horizontalCentered="1" verticalCentered="1"/>
  <pageMargins left="0" right="0" top="0.74803149606299213" bottom="0" header="0.31496062992125984" footer="0"/>
  <pageSetup scale="20"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E124"/>
  <sheetViews>
    <sheetView showGridLines="0" zoomScale="35" zoomScaleNormal="35" zoomScalePageLayoutView="75" workbookViewId="0">
      <selection activeCell="A4" sqref="A4:C4"/>
    </sheetView>
  </sheetViews>
  <sheetFormatPr baseColWidth="10" defaultColWidth="24.42578125" defaultRowHeight="57.75" customHeight="1" x14ac:dyDescent="0.25"/>
  <cols>
    <col min="1" max="2" width="24.42578125" style="6"/>
    <col min="3" max="3" width="45.85546875" style="12" customWidth="1"/>
    <col min="4" max="5" width="20" style="6" customWidth="1"/>
    <col min="6" max="6" width="14.85546875" style="6" customWidth="1"/>
    <col min="7" max="13" width="11.42578125" style="6" customWidth="1"/>
    <col min="14" max="19" width="11.42578125" style="7" customWidth="1"/>
    <col min="20" max="21" width="19.140625" style="7" customWidth="1"/>
    <col min="22" max="22" width="99.140625" style="46" customWidth="1"/>
    <col min="23" max="24" width="24.42578125" style="8"/>
    <col min="25" max="16384" width="24.42578125" style="6"/>
  </cols>
  <sheetData>
    <row r="1" spans="1:31" s="123" customFormat="1" ht="57.75" customHeight="1" x14ac:dyDescent="0.25">
      <c r="A1" s="521"/>
      <c r="B1" s="522"/>
      <c r="C1" s="522"/>
      <c r="D1" s="527" t="s">
        <v>38</v>
      </c>
      <c r="E1" s="483"/>
      <c r="F1" s="483"/>
      <c r="G1" s="483"/>
      <c r="H1" s="483"/>
      <c r="I1" s="483"/>
      <c r="J1" s="483"/>
      <c r="K1" s="483"/>
      <c r="L1" s="483"/>
      <c r="M1" s="483"/>
      <c r="N1" s="483"/>
      <c r="O1" s="483"/>
      <c r="P1" s="483"/>
      <c r="Q1" s="483"/>
      <c r="R1" s="483"/>
      <c r="S1" s="483"/>
      <c r="T1" s="483"/>
      <c r="U1" s="483"/>
      <c r="V1" s="484"/>
    </row>
    <row r="2" spans="1:31" s="123" customFormat="1" ht="57.75" customHeight="1" x14ac:dyDescent="0.25">
      <c r="A2" s="523"/>
      <c r="B2" s="524"/>
      <c r="C2" s="524"/>
      <c r="D2" s="528" t="s">
        <v>256</v>
      </c>
      <c r="E2" s="529"/>
      <c r="F2" s="529"/>
      <c r="G2" s="529"/>
      <c r="H2" s="529"/>
      <c r="I2" s="529"/>
      <c r="J2" s="529"/>
      <c r="K2" s="529"/>
      <c r="L2" s="529"/>
      <c r="M2" s="529"/>
      <c r="N2" s="529"/>
      <c r="O2" s="529"/>
      <c r="P2" s="529"/>
      <c r="Q2" s="529"/>
      <c r="R2" s="529"/>
      <c r="S2" s="529"/>
      <c r="T2" s="529"/>
      <c r="U2" s="529"/>
      <c r="V2" s="530"/>
    </row>
    <row r="3" spans="1:31" s="123" customFormat="1" ht="57.75" customHeight="1" thickBot="1" x14ac:dyDescent="0.3">
      <c r="A3" s="525"/>
      <c r="B3" s="526"/>
      <c r="C3" s="526"/>
      <c r="D3" s="548" t="s">
        <v>39</v>
      </c>
      <c r="E3" s="549"/>
      <c r="F3" s="549"/>
      <c r="G3" s="549"/>
      <c r="H3" s="549"/>
      <c r="I3" s="549"/>
      <c r="J3" s="549"/>
      <c r="K3" s="549"/>
      <c r="L3" s="549"/>
      <c r="M3" s="549"/>
      <c r="N3" s="549"/>
      <c r="O3" s="549"/>
      <c r="P3" s="549"/>
      <c r="Q3" s="549"/>
      <c r="R3" s="549"/>
      <c r="S3" s="549"/>
      <c r="T3" s="549"/>
      <c r="U3" s="550"/>
      <c r="V3" s="45" t="s">
        <v>238</v>
      </c>
    </row>
    <row r="4" spans="1:31" ht="57.75" customHeight="1" thickBot="1" x14ac:dyDescent="0.3">
      <c r="A4" s="543" t="s">
        <v>0</v>
      </c>
      <c r="B4" s="544"/>
      <c r="C4" s="545"/>
      <c r="D4" s="537" t="s">
        <v>316</v>
      </c>
      <c r="E4" s="538"/>
      <c r="F4" s="538"/>
      <c r="G4" s="538"/>
      <c r="H4" s="538"/>
      <c r="I4" s="538"/>
      <c r="J4" s="538"/>
      <c r="K4" s="538"/>
      <c r="L4" s="538"/>
      <c r="M4" s="538"/>
      <c r="N4" s="538"/>
      <c r="O4" s="538"/>
      <c r="P4" s="538"/>
      <c r="Q4" s="538"/>
      <c r="R4" s="538"/>
      <c r="S4" s="538"/>
      <c r="T4" s="538"/>
      <c r="U4" s="538"/>
      <c r="V4" s="539"/>
      <c r="W4" s="6"/>
      <c r="X4" s="6"/>
    </row>
    <row r="5" spans="1:31" ht="57.75" customHeight="1" thickBot="1" x14ac:dyDescent="0.3">
      <c r="A5" s="534" t="s">
        <v>2</v>
      </c>
      <c r="B5" s="535"/>
      <c r="C5" s="536"/>
      <c r="D5" s="540" t="s">
        <v>317</v>
      </c>
      <c r="E5" s="541"/>
      <c r="F5" s="541"/>
      <c r="G5" s="541"/>
      <c r="H5" s="541"/>
      <c r="I5" s="541"/>
      <c r="J5" s="541"/>
      <c r="K5" s="541"/>
      <c r="L5" s="541"/>
      <c r="M5" s="541"/>
      <c r="N5" s="541"/>
      <c r="O5" s="541"/>
      <c r="P5" s="541"/>
      <c r="Q5" s="541"/>
      <c r="R5" s="541"/>
      <c r="S5" s="541"/>
      <c r="T5" s="541"/>
      <c r="U5" s="541"/>
      <c r="V5" s="542"/>
      <c r="W5" s="6"/>
      <c r="X5" s="6"/>
    </row>
    <row r="6" spans="1:31" ht="57.75" customHeight="1" thickBot="1" x14ac:dyDescent="0.3">
      <c r="A6" s="551"/>
      <c r="B6" s="552"/>
      <c r="C6" s="552"/>
      <c r="D6" s="552"/>
      <c r="E6" s="552"/>
      <c r="F6" s="552"/>
      <c r="G6" s="552"/>
      <c r="H6" s="552"/>
      <c r="I6" s="552"/>
      <c r="J6" s="552"/>
      <c r="K6" s="552"/>
      <c r="L6" s="552"/>
      <c r="M6" s="552"/>
      <c r="N6" s="552"/>
      <c r="O6" s="552"/>
      <c r="P6" s="552"/>
      <c r="Q6" s="552"/>
      <c r="R6" s="552"/>
      <c r="S6" s="552"/>
      <c r="T6" s="552"/>
      <c r="U6" s="552"/>
      <c r="V6" s="553"/>
      <c r="W6" s="6"/>
      <c r="X6" s="6"/>
    </row>
    <row r="7" spans="1:31" s="8" customFormat="1" ht="39" customHeight="1" x14ac:dyDescent="0.25">
      <c r="A7" s="546" t="s">
        <v>22</v>
      </c>
      <c r="B7" s="531" t="s">
        <v>23</v>
      </c>
      <c r="C7" s="531" t="s">
        <v>68</v>
      </c>
      <c r="D7" s="531" t="s">
        <v>24</v>
      </c>
      <c r="E7" s="531"/>
      <c r="F7" s="533" t="s">
        <v>585</v>
      </c>
      <c r="G7" s="533"/>
      <c r="H7" s="533"/>
      <c r="I7" s="533"/>
      <c r="J7" s="533"/>
      <c r="K7" s="533"/>
      <c r="L7" s="533"/>
      <c r="M7" s="533"/>
      <c r="N7" s="533"/>
      <c r="O7" s="533"/>
      <c r="P7" s="533"/>
      <c r="Q7" s="533"/>
      <c r="R7" s="533"/>
      <c r="S7" s="533"/>
      <c r="T7" s="531" t="s">
        <v>28</v>
      </c>
      <c r="U7" s="531"/>
      <c r="V7" s="554" t="s">
        <v>687</v>
      </c>
    </row>
    <row r="8" spans="1:31" s="8" customFormat="1" ht="57.75" customHeight="1" thickBot="1" x14ac:dyDescent="0.3">
      <c r="A8" s="547"/>
      <c r="B8" s="532"/>
      <c r="C8" s="532"/>
      <c r="D8" s="253" t="s">
        <v>25</v>
      </c>
      <c r="E8" s="253" t="s">
        <v>26</v>
      </c>
      <c r="F8" s="253" t="s">
        <v>27</v>
      </c>
      <c r="G8" s="254" t="s">
        <v>6</v>
      </c>
      <c r="H8" s="254" t="s">
        <v>7</v>
      </c>
      <c r="I8" s="254" t="s">
        <v>8</v>
      </c>
      <c r="J8" s="254" t="s">
        <v>9</v>
      </c>
      <c r="K8" s="254" t="s">
        <v>10</v>
      </c>
      <c r="L8" s="254" t="s">
        <v>11</v>
      </c>
      <c r="M8" s="254" t="s">
        <v>12</v>
      </c>
      <c r="N8" s="254" t="s">
        <v>13</v>
      </c>
      <c r="O8" s="254" t="s">
        <v>14</v>
      </c>
      <c r="P8" s="254" t="s">
        <v>15</v>
      </c>
      <c r="Q8" s="254" t="s">
        <v>16</v>
      </c>
      <c r="R8" s="254" t="s">
        <v>17</v>
      </c>
      <c r="S8" s="255" t="s">
        <v>18</v>
      </c>
      <c r="T8" s="255" t="s">
        <v>29</v>
      </c>
      <c r="U8" s="255" t="s">
        <v>30</v>
      </c>
      <c r="V8" s="555"/>
    </row>
    <row r="9" spans="1:31" ht="57.75" customHeight="1" x14ac:dyDescent="0.25">
      <c r="A9" s="556" t="s">
        <v>304</v>
      </c>
      <c r="B9" s="561" t="s">
        <v>318</v>
      </c>
      <c r="C9" s="519" t="s">
        <v>531</v>
      </c>
      <c r="D9" s="516" t="s">
        <v>319</v>
      </c>
      <c r="E9" s="516" t="s">
        <v>319</v>
      </c>
      <c r="F9" s="267" t="s">
        <v>19</v>
      </c>
      <c r="G9" s="264">
        <v>8.3299999999999999E-2</v>
      </c>
      <c r="H9" s="264">
        <v>8.3299999999999999E-2</v>
      </c>
      <c r="I9" s="264">
        <v>8.3299999999999999E-2</v>
      </c>
      <c r="J9" s="264">
        <v>8.3299999999999999E-2</v>
      </c>
      <c r="K9" s="264">
        <v>8.3299999999999999E-2</v>
      </c>
      <c r="L9" s="264">
        <v>8.3299999999999999E-2</v>
      </c>
      <c r="M9" s="264">
        <v>8.3299999999999999E-2</v>
      </c>
      <c r="N9" s="264">
        <v>8.3299999999999999E-2</v>
      </c>
      <c r="O9" s="264">
        <v>8.3299999999999999E-2</v>
      </c>
      <c r="P9" s="264">
        <v>8.3299999999999999E-2</v>
      </c>
      <c r="Q9" s="264">
        <v>8.3299999999999999E-2</v>
      </c>
      <c r="R9" s="264">
        <v>8.3699999999999997E-2</v>
      </c>
      <c r="S9" s="256">
        <f>SUM(G9:R9)</f>
        <v>1</v>
      </c>
      <c r="T9" s="515">
        <v>0.15</v>
      </c>
      <c r="U9" s="517">
        <v>0.05</v>
      </c>
      <c r="V9" s="514" t="s">
        <v>662</v>
      </c>
    </row>
    <row r="10" spans="1:31" ht="57.75" customHeight="1" x14ac:dyDescent="0.25">
      <c r="A10" s="556"/>
      <c r="B10" s="561"/>
      <c r="C10" s="519"/>
      <c r="D10" s="516"/>
      <c r="E10" s="516"/>
      <c r="F10" s="268" t="s">
        <v>20</v>
      </c>
      <c r="G10" s="265">
        <v>0</v>
      </c>
      <c r="H10" s="265">
        <v>8.3299999999999999E-2</v>
      </c>
      <c r="I10" s="264">
        <v>8.3299999999999999E-2</v>
      </c>
      <c r="J10" s="264">
        <v>0.1666</v>
      </c>
      <c r="K10" s="264">
        <v>8.3299999999999999E-2</v>
      </c>
      <c r="L10" s="264">
        <v>8.3299999999999999E-2</v>
      </c>
      <c r="M10" s="264">
        <v>8.3299999999999999E-2</v>
      </c>
      <c r="N10" s="264">
        <v>8.3299999999999999E-2</v>
      </c>
      <c r="O10" s="265">
        <v>8.3299999999999999E-2</v>
      </c>
      <c r="P10" s="265"/>
      <c r="Q10" s="265"/>
      <c r="R10" s="265"/>
      <c r="S10" s="257">
        <f>SUM(G10:R10)</f>
        <v>0.74970000000000003</v>
      </c>
      <c r="T10" s="515"/>
      <c r="U10" s="517"/>
      <c r="V10" s="514"/>
    </row>
    <row r="11" spans="1:31" ht="57.75" customHeight="1" x14ac:dyDescent="0.25">
      <c r="A11" s="556"/>
      <c r="B11" s="561"/>
      <c r="C11" s="519" t="s">
        <v>532</v>
      </c>
      <c r="D11" s="516" t="s">
        <v>319</v>
      </c>
      <c r="E11" s="516" t="s">
        <v>319</v>
      </c>
      <c r="F11" s="269" t="s">
        <v>19</v>
      </c>
      <c r="G11" s="264">
        <v>8.3299999999999999E-2</v>
      </c>
      <c r="H11" s="264">
        <v>8.3299999999999999E-2</v>
      </c>
      <c r="I11" s="264">
        <v>8.3299999999999999E-2</v>
      </c>
      <c r="J11" s="264">
        <v>8.3299999999999999E-2</v>
      </c>
      <c r="K11" s="264">
        <v>8.3299999999999999E-2</v>
      </c>
      <c r="L11" s="264">
        <v>8.3299999999999999E-2</v>
      </c>
      <c r="M11" s="264">
        <v>8.3299999999999999E-2</v>
      </c>
      <c r="N11" s="264">
        <v>8.3299999999999999E-2</v>
      </c>
      <c r="O11" s="264">
        <v>8.3299999999999999E-2</v>
      </c>
      <c r="P11" s="264">
        <v>8.3299999999999999E-2</v>
      </c>
      <c r="Q11" s="264">
        <v>8.3299999999999999E-2</v>
      </c>
      <c r="R11" s="264">
        <v>8.3699999999999997E-2</v>
      </c>
      <c r="S11" s="256">
        <f t="shared" ref="S11:S64" si="0">SUM(G11:R11)</f>
        <v>1</v>
      </c>
      <c r="T11" s="515"/>
      <c r="U11" s="517">
        <v>0.03</v>
      </c>
      <c r="V11" s="514" t="s">
        <v>663</v>
      </c>
    </row>
    <row r="12" spans="1:31" ht="57.75" customHeight="1" x14ac:dyDescent="0.25">
      <c r="A12" s="556"/>
      <c r="B12" s="561"/>
      <c r="C12" s="519"/>
      <c r="D12" s="516"/>
      <c r="E12" s="516"/>
      <c r="F12" s="270" t="s">
        <v>20</v>
      </c>
      <c r="G12" s="265">
        <v>8.3299999999999999E-2</v>
      </c>
      <c r="H12" s="265">
        <v>8.3299999999999999E-2</v>
      </c>
      <c r="I12" s="265">
        <v>8.3299999999999999E-2</v>
      </c>
      <c r="J12" s="265">
        <v>8.3299999999999999E-2</v>
      </c>
      <c r="K12" s="265">
        <v>8.3299999999999999E-2</v>
      </c>
      <c r="L12" s="265">
        <v>8.3299999999999999E-2</v>
      </c>
      <c r="M12" s="265">
        <v>8.3299999999999999E-2</v>
      </c>
      <c r="N12" s="265">
        <v>8.3299999999999999E-2</v>
      </c>
      <c r="O12" s="265">
        <v>8.3299999999999999E-2</v>
      </c>
      <c r="P12" s="265"/>
      <c r="Q12" s="265"/>
      <c r="R12" s="265"/>
      <c r="S12" s="258">
        <f t="shared" si="0"/>
        <v>0.74970000000000003</v>
      </c>
      <c r="T12" s="515"/>
      <c r="U12" s="517"/>
      <c r="V12" s="514"/>
      <c r="Y12" s="8"/>
      <c r="Z12" s="8"/>
      <c r="AA12" s="8"/>
      <c r="AB12" s="8"/>
      <c r="AC12" s="8"/>
      <c r="AD12" s="8"/>
      <c r="AE12" s="8"/>
    </row>
    <row r="13" spans="1:31" ht="57.75" customHeight="1" x14ac:dyDescent="0.25">
      <c r="A13" s="556"/>
      <c r="B13" s="561"/>
      <c r="C13" s="519" t="s">
        <v>533</v>
      </c>
      <c r="D13" s="516" t="s">
        <v>319</v>
      </c>
      <c r="E13" s="516" t="s">
        <v>319</v>
      </c>
      <c r="F13" s="269" t="s">
        <v>19</v>
      </c>
      <c r="G13" s="264">
        <v>5.8799999999999998E-2</v>
      </c>
      <c r="H13" s="264">
        <v>5.8799999999999998E-2</v>
      </c>
      <c r="I13" s="264">
        <v>0.1176</v>
      </c>
      <c r="J13" s="264">
        <v>5.8799999999999998E-2</v>
      </c>
      <c r="K13" s="264">
        <v>5.8799999999999998E-2</v>
      </c>
      <c r="L13" s="264">
        <v>0.1764</v>
      </c>
      <c r="M13" s="264">
        <v>5.8799999999999998E-2</v>
      </c>
      <c r="N13" s="264">
        <v>5.8799999999999998E-2</v>
      </c>
      <c r="O13" s="264">
        <v>0.1176</v>
      </c>
      <c r="P13" s="264">
        <v>5.8799999999999998E-2</v>
      </c>
      <c r="Q13" s="264">
        <v>5.8799999999999998E-2</v>
      </c>
      <c r="R13" s="264">
        <v>0.11799999999999999</v>
      </c>
      <c r="S13" s="256">
        <f t="shared" si="0"/>
        <v>0.99999999999999989</v>
      </c>
      <c r="T13" s="515"/>
      <c r="U13" s="517">
        <v>0.03</v>
      </c>
      <c r="V13" s="514" t="s">
        <v>664</v>
      </c>
      <c r="Y13" s="8"/>
      <c r="Z13" s="8"/>
      <c r="AA13" s="8"/>
      <c r="AB13" s="8"/>
      <c r="AC13" s="8"/>
      <c r="AD13" s="8"/>
      <c r="AE13" s="8"/>
    </row>
    <row r="14" spans="1:31" ht="57.75" customHeight="1" x14ac:dyDescent="0.25">
      <c r="A14" s="556"/>
      <c r="B14" s="561"/>
      <c r="C14" s="519"/>
      <c r="D14" s="516"/>
      <c r="E14" s="516"/>
      <c r="F14" s="270" t="s">
        <v>20</v>
      </c>
      <c r="G14" s="265">
        <v>0</v>
      </c>
      <c r="H14" s="265">
        <v>0.1176</v>
      </c>
      <c r="I14" s="265">
        <v>0.1176</v>
      </c>
      <c r="J14" s="265">
        <v>5.8799999999999998E-2</v>
      </c>
      <c r="K14" s="265">
        <v>5.8799999999999998E-2</v>
      </c>
      <c r="L14" s="265">
        <v>0.1764</v>
      </c>
      <c r="M14" s="265">
        <v>5.8799999999999998E-2</v>
      </c>
      <c r="N14" s="265">
        <v>5.8799999999999998E-2</v>
      </c>
      <c r="O14" s="265">
        <v>0.1176</v>
      </c>
      <c r="P14" s="265"/>
      <c r="Q14" s="265"/>
      <c r="R14" s="265"/>
      <c r="S14" s="258">
        <f t="shared" si="0"/>
        <v>0.76439999999999997</v>
      </c>
      <c r="T14" s="515"/>
      <c r="U14" s="517"/>
      <c r="V14" s="514"/>
      <c r="Y14" s="8"/>
      <c r="Z14" s="8"/>
      <c r="AA14" s="8"/>
      <c r="AB14" s="8"/>
      <c r="AC14" s="8"/>
      <c r="AD14" s="8"/>
      <c r="AE14" s="8"/>
    </row>
    <row r="15" spans="1:31" ht="57.75" customHeight="1" x14ac:dyDescent="0.25">
      <c r="A15" s="556"/>
      <c r="B15" s="561"/>
      <c r="C15" s="519" t="s">
        <v>534</v>
      </c>
      <c r="D15" s="516" t="s">
        <v>319</v>
      </c>
      <c r="E15" s="516" t="s">
        <v>319</v>
      </c>
      <c r="F15" s="269" t="s">
        <v>19</v>
      </c>
      <c r="G15" s="264">
        <v>0</v>
      </c>
      <c r="H15" s="264">
        <v>0</v>
      </c>
      <c r="I15" s="264">
        <v>0.25</v>
      </c>
      <c r="J15" s="264">
        <v>0</v>
      </c>
      <c r="K15" s="264">
        <v>0</v>
      </c>
      <c r="L15" s="264">
        <v>0.25</v>
      </c>
      <c r="M15" s="264">
        <v>0</v>
      </c>
      <c r="N15" s="264">
        <v>0</v>
      </c>
      <c r="O15" s="264">
        <v>0.25</v>
      </c>
      <c r="P15" s="264">
        <v>0</v>
      </c>
      <c r="Q15" s="264">
        <v>0</v>
      </c>
      <c r="R15" s="264">
        <v>0.25</v>
      </c>
      <c r="S15" s="256">
        <f t="shared" si="0"/>
        <v>1</v>
      </c>
      <c r="T15" s="515"/>
      <c r="U15" s="517">
        <v>0.02</v>
      </c>
      <c r="V15" s="514" t="s">
        <v>665</v>
      </c>
    </row>
    <row r="16" spans="1:31" ht="57.75" customHeight="1" x14ac:dyDescent="0.25">
      <c r="A16" s="556"/>
      <c r="B16" s="561"/>
      <c r="C16" s="519"/>
      <c r="D16" s="516"/>
      <c r="E16" s="516"/>
      <c r="F16" s="270" t="s">
        <v>20</v>
      </c>
      <c r="G16" s="265">
        <v>0</v>
      </c>
      <c r="H16" s="265">
        <v>0</v>
      </c>
      <c r="I16" s="265">
        <v>0.25</v>
      </c>
      <c r="J16" s="265">
        <v>0</v>
      </c>
      <c r="K16" s="265">
        <v>0</v>
      </c>
      <c r="L16" s="265">
        <v>0.25</v>
      </c>
      <c r="M16" s="265">
        <v>0</v>
      </c>
      <c r="N16" s="265">
        <v>0</v>
      </c>
      <c r="O16" s="265">
        <v>0.25</v>
      </c>
      <c r="P16" s="265"/>
      <c r="Q16" s="265"/>
      <c r="R16" s="265"/>
      <c r="S16" s="259">
        <f t="shared" si="0"/>
        <v>0.75</v>
      </c>
      <c r="T16" s="515"/>
      <c r="U16" s="517"/>
      <c r="V16" s="514"/>
    </row>
    <row r="17" spans="1:22" ht="57.75" customHeight="1" x14ac:dyDescent="0.25">
      <c r="A17" s="556"/>
      <c r="B17" s="561"/>
      <c r="C17" s="518" t="s">
        <v>535</v>
      </c>
      <c r="D17" s="516" t="s">
        <v>319</v>
      </c>
      <c r="E17" s="516" t="s">
        <v>319</v>
      </c>
      <c r="F17" s="269" t="s">
        <v>19</v>
      </c>
      <c r="G17" s="264">
        <v>8.3299999999999999E-2</v>
      </c>
      <c r="H17" s="264">
        <v>8.3299999999999999E-2</v>
      </c>
      <c r="I17" s="264">
        <v>8.3299999999999999E-2</v>
      </c>
      <c r="J17" s="264">
        <v>8.3299999999999999E-2</v>
      </c>
      <c r="K17" s="264">
        <v>8.3299999999999999E-2</v>
      </c>
      <c r="L17" s="264">
        <v>8.3299999999999999E-2</v>
      </c>
      <c r="M17" s="264">
        <v>8.3299999999999999E-2</v>
      </c>
      <c r="N17" s="264">
        <v>8.3299999999999999E-2</v>
      </c>
      <c r="O17" s="264">
        <v>8.3299999999999999E-2</v>
      </c>
      <c r="P17" s="264">
        <v>8.3299999999999999E-2</v>
      </c>
      <c r="Q17" s="264">
        <v>8.3299999999999999E-2</v>
      </c>
      <c r="R17" s="264">
        <v>8.3699999999999997E-2</v>
      </c>
      <c r="S17" s="256">
        <f t="shared" si="0"/>
        <v>1</v>
      </c>
      <c r="T17" s="515"/>
      <c r="U17" s="517">
        <v>0.02</v>
      </c>
      <c r="V17" s="514" t="s">
        <v>666</v>
      </c>
    </row>
    <row r="18" spans="1:22" ht="57.75" customHeight="1" x14ac:dyDescent="0.25">
      <c r="A18" s="556"/>
      <c r="B18" s="561"/>
      <c r="C18" s="518"/>
      <c r="D18" s="516"/>
      <c r="E18" s="516"/>
      <c r="F18" s="270" t="s">
        <v>20</v>
      </c>
      <c r="G18" s="265">
        <v>0</v>
      </c>
      <c r="H18" s="265">
        <v>8.3299999999999999E-2</v>
      </c>
      <c r="I18" s="265">
        <v>0.1666</v>
      </c>
      <c r="J18" s="265">
        <v>8.3299999999999999E-2</v>
      </c>
      <c r="K18" s="265">
        <v>8.3299999999999999E-2</v>
      </c>
      <c r="L18" s="265">
        <v>8.3299999999999999E-2</v>
      </c>
      <c r="M18" s="265">
        <v>8.3299999999999999E-2</v>
      </c>
      <c r="N18" s="265">
        <v>8.3299999999999999E-2</v>
      </c>
      <c r="O18" s="265">
        <v>8.3299999999999999E-2</v>
      </c>
      <c r="P18" s="265"/>
      <c r="Q18" s="265"/>
      <c r="R18" s="265"/>
      <c r="S18" s="259">
        <f t="shared" si="0"/>
        <v>0.74970000000000003</v>
      </c>
      <c r="T18" s="515"/>
      <c r="U18" s="517"/>
      <c r="V18" s="514"/>
    </row>
    <row r="19" spans="1:22" ht="57.75" customHeight="1" x14ac:dyDescent="0.25">
      <c r="A19" s="557" t="s">
        <v>304</v>
      </c>
      <c r="B19" s="556" t="s">
        <v>345</v>
      </c>
      <c r="C19" s="518" t="s">
        <v>569</v>
      </c>
      <c r="D19" s="516" t="s">
        <v>319</v>
      </c>
      <c r="E19" s="516" t="s">
        <v>319</v>
      </c>
      <c r="F19" s="269" t="s">
        <v>19</v>
      </c>
      <c r="G19" s="264">
        <v>2.5000000000000001E-2</v>
      </c>
      <c r="H19" s="264">
        <v>2.5000000000000001E-2</v>
      </c>
      <c r="I19" s="264">
        <v>0.1</v>
      </c>
      <c r="J19" s="264">
        <v>0.1</v>
      </c>
      <c r="K19" s="264">
        <v>0.125</v>
      </c>
      <c r="L19" s="264">
        <v>0.125</v>
      </c>
      <c r="M19" s="264">
        <v>2.5000000000000001E-2</v>
      </c>
      <c r="N19" s="264">
        <v>2.5000000000000001E-2</v>
      </c>
      <c r="O19" s="264">
        <v>0.1</v>
      </c>
      <c r="P19" s="264">
        <v>0.1</v>
      </c>
      <c r="Q19" s="264">
        <v>0.125</v>
      </c>
      <c r="R19" s="264">
        <v>0.125</v>
      </c>
      <c r="S19" s="256">
        <f t="shared" si="0"/>
        <v>1</v>
      </c>
      <c r="T19" s="515">
        <v>0.15</v>
      </c>
      <c r="U19" s="517">
        <v>0.05</v>
      </c>
      <c r="V19" s="514" t="s">
        <v>659</v>
      </c>
    </row>
    <row r="20" spans="1:22" ht="57.75" customHeight="1" x14ac:dyDescent="0.25">
      <c r="A20" s="557"/>
      <c r="B20" s="556"/>
      <c r="C20" s="518"/>
      <c r="D20" s="516"/>
      <c r="E20" s="516"/>
      <c r="F20" s="270" t="s">
        <v>20</v>
      </c>
      <c r="G20" s="265">
        <v>0</v>
      </c>
      <c r="H20" s="265">
        <v>0.05</v>
      </c>
      <c r="I20" s="265">
        <v>0.1</v>
      </c>
      <c r="J20" s="265">
        <v>0.1</v>
      </c>
      <c r="K20" s="265">
        <v>0.125</v>
      </c>
      <c r="L20" s="265">
        <v>0.125</v>
      </c>
      <c r="M20" s="265">
        <v>2.5000000000000001E-2</v>
      </c>
      <c r="N20" s="265">
        <v>2.5000000000000001E-2</v>
      </c>
      <c r="O20" s="265">
        <v>0.1</v>
      </c>
      <c r="P20" s="265"/>
      <c r="Q20" s="265"/>
      <c r="R20" s="265"/>
      <c r="S20" s="259">
        <f t="shared" si="0"/>
        <v>0.65</v>
      </c>
      <c r="T20" s="515"/>
      <c r="U20" s="517"/>
      <c r="V20" s="514"/>
    </row>
    <row r="21" spans="1:22" ht="57.75" customHeight="1" x14ac:dyDescent="0.25">
      <c r="A21" s="557"/>
      <c r="B21" s="556"/>
      <c r="C21" s="518" t="s">
        <v>570</v>
      </c>
      <c r="D21" s="520" t="s">
        <v>319</v>
      </c>
      <c r="E21" s="516" t="s">
        <v>319</v>
      </c>
      <c r="F21" s="269" t="s">
        <v>19</v>
      </c>
      <c r="G21" s="264">
        <v>2.5000000000000001E-2</v>
      </c>
      <c r="H21" s="264">
        <v>2.5000000000000001E-2</v>
      </c>
      <c r="I21" s="264">
        <v>0.1</v>
      </c>
      <c r="J21" s="264">
        <v>0.1</v>
      </c>
      <c r="K21" s="264">
        <v>0.125</v>
      </c>
      <c r="L21" s="264">
        <v>0.125</v>
      </c>
      <c r="M21" s="264">
        <v>2.5000000000000001E-2</v>
      </c>
      <c r="N21" s="264">
        <v>2.5000000000000001E-2</v>
      </c>
      <c r="O21" s="264">
        <v>0.1</v>
      </c>
      <c r="P21" s="264">
        <v>0.1</v>
      </c>
      <c r="Q21" s="264">
        <v>0.125</v>
      </c>
      <c r="R21" s="264">
        <v>0.125</v>
      </c>
      <c r="S21" s="256">
        <f t="shared" si="0"/>
        <v>1</v>
      </c>
      <c r="T21" s="515"/>
      <c r="U21" s="517">
        <v>0.05</v>
      </c>
      <c r="V21" s="558" t="s">
        <v>660</v>
      </c>
    </row>
    <row r="22" spans="1:22" ht="57.75" customHeight="1" x14ac:dyDescent="0.25">
      <c r="A22" s="557"/>
      <c r="B22" s="556"/>
      <c r="C22" s="518"/>
      <c r="D22" s="520"/>
      <c r="E22" s="516"/>
      <c r="F22" s="270" t="s">
        <v>20</v>
      </c>
      <c r="G22" s="265">
        <v>0</v>
      </c>
      <c r="H22" s="265">
        <v>0.05</v>
      </c>
      <c r="I22" s="265">
        <v>0.1</v>
      </c>
      <c r="J22" s="265">
        <v>0.1</v>
      </c>
      <c r="K22" s="265">
        <v>0.125</v>
      </c>
      <c r="L22" s="265">
        <v>0.125</v>
      </c>
      <c r="M22" s="265">
        <v>2.5000000000000001E-2</v>
      </c>
      <c r="N22" s="265">
        <v>2.5000000000000001E-2</v>
      </c>
      <c r="O22" s="265">
        <v>0.1</v>
      </c>
      <c r="P22" s="265"/>
      <c r="Q22" s="265"/>
      <c r="R22" s="265"/>
      <c r="S22" s="259">
        <f t="shared" si="0"/>
        <v>0.65</v>
      </c>
      <c r="T22" s="515"/>
      <c r="U22" s="517"/>
      <c r="V22" s="559"/>
    </row>
    <row r="23" spans="1:22" ht="57.75" customHeight="1" x14ac:dyDescent="0.25">
      <c r="A23" s="557"/>
      <c r="B23" s="556"/>
      <c r="C23" s="518" t="s">
        <v>571</v>
      </c>
      <c r="D23" s="516" t="s">
        <v>319</v>
      </c>
      <c r="E23" s="516" t="s">
        <v>319</v>
      </c>
      <c r="F23" s="269" t="s">
        <v>19</v>
      </c>
      <c r="G23" s="264">
        <v>2.5000000000000001E-2</v>
      </c>
      <c r="H23" s="264">
        <v>2.5000000000000001E-2</v>
      </c>
      <c r="I23" s="264">
        <v>0.1</v>
      </c>
      <c r="J23" s="264">
        <v>0.1</v>
      </c>
      <c r="K23" s="264">
        <v>0.125</v>
      </c>
      <c r="L23" s="264">
        <v>0.125</v>
      </c>
      <c r="M23" s="264">
        <v>2.5000000000000001E-2</v>
      </c>
      <c r="N23" s="264">
        <v>2.5000000000000001E-2</v>
      </c>
      <c r="O23" s="264">
        <v>0.1</v>
      </c>
      <c r="P23" s="264">
        <v>0.1</v>
      </c>
      <c r="Q23" s="264">
        <v>0.125</v>
      </c>
      <c r="R23" s="264">
        <v>0.125</v>
      </c>
      <c r="S23" s="256">
        <f t="shared" si="0"/>
        <v>1</v>
      </c>
      <c r="T23" s="515"/>
      <c r="U23" s="517">
        <v>0.05</v>
      </c>
      <c r="V23" s="514" t="s">
        <v>661</v>
      </c>
    </row>
    <row r="24" spans="1:22" ht="57.75" customHeight="1" x14ac:dyDescent="0.25">
      <c r="A24" s="557"/>
      <c r="B24" s="556"/>
      <c r="C24" s="518"/>
      <c r="D24" s="516"/>
      <c r="E24" s="516"/>
      <c r="F24" s="270" t="s">
        <v>20</v>
      </c>
      <c r="G24" s="265">
        <v>0</v>
      </c>
      <c r="H24" s="265">
        <v>0.05</v>
      </c>
      <c r="I24" s="265">
        <v>0.1</v>
      </c>
      <c r="J24" s="265">
        <v>0.1</v>
      </c>
      <c r="K24" s="265">
        <v>0.125</v>
      </c>
      <c r="L24" s="265">
        <v>0.125</v>
      </c>
      <c r="M24" s="265">
        <v>2.5000000000000001E-2</v>
      </c>
      <c r="N24" s="265">
        <v>2.5000000000000001E-2</v>
      </c>
      <c r="O24" s="265">
        <v>0.1</v>
      </c>
      <c r="P24" s="265"/>
      <c r="Q24" s="265"/>
      <c r="R24" s="265"/>
      <c r="S24" s="259">
        <f t="shared" si="0"/>
        <v>0.65</v>
      </c>
      <c r="T24" s="515"/>
      <c r="U24" s="517"/>
      <c r="V24" s="560"/>
    </row>
    <row r="25" spans="1:22" ht="57.75" customHeight="1" x14ac:dyDescent="0.25">
      <c r="A25" s="556" t="s">
        <v>304</v>
      </c>
      <c r="B25" s="556" t="s">
        <v>344</v>
      </c>
      <c r="C25" s="518" t="s">
        <v>536</v>
      </c>
      <c r="D25" s="516" t="s">
        <v>319</v>
      </c>
      <c r="E25" s="516" t="s">
        <v>319</v>
      </c>
      <c r="F25" s="269" t="s">
        <v>19</v>
      </c>
      <c r="G25" s="264">
        <v>0.05</v>
      </c>
      <c r="H25" s="264">
        <v>0.1</v>
      </c>
      <c r="I25" s="264">
        <v>0.05</v>
      </c>
      <c r="J25" s="264">
        <v>0.1</v>
      </c>
      <c r="K25" s="264">
        <v>0.1</v>
      </c>
      <c r="L25" s="264">
        <v>0.05</v>
      </c>
      <c r="M25" s="264">
        <v>0.1</v>
      </c>
      <c r="N25" s="264">
        <v>0.1</v>
      </c>
      <c r="O25" s="264">
        <v>0.1</v>
      </c>
      <c r="P25" s="264">
        <v>0.1</v>
      </c>
      <c r="Q25" s="264">
        <v>0.1</v>
      </c>
      <c r="R25" s="264">
        <v>0.05</v>
      </c>
      <c r="S25" s="256">
        <f t="shared" si="0"/>
        <v>1</v>
      </c>
      <c r="T25" s="515">
        <v>0.15</v>
      </c>
      <c r="U25" s="517">
        <v>4.4999999999999998E-2</v>
      </c>
      <c r="V25" s="514" t="s">
        <v>673</v>
      </c>
    </row>
    <row r="26" spans="1:22" ht="57.75" customHeight="1" x14ac:dyDescent="0.25">
      <c r="A26" s="556"/>
      <c r="B26" s="556"/>
      <c r="C26" s="518"/>
      <c r="D26" s="516"/>
      <c r="E26" s="516"/>
      <c r="F26" s="270" t="s">
        <v>20</v>
      </c>
      <c r="G26" s="265">
        <v>0</v>
      </c>
      <c r="H26" s="265">
        <v>0.1389</v>
      </c>
      <c r="I26" s="264">
        <v>0.1028</v>
      </c>
      <c r="J26" s="264">
        <v>0.13189999999999999</v>
      </c>
      <c r="K26" s="264">
        <v>0.12709999999999999</v>
      </c>
      <c r="L26" s="264">
        <v>9.5799999999999996E-2</v>
      </c>
      <c r="M26" s="264">
        <v>0.12570000000000001</v>
      </c>
      <c r="N26" s="264">
        <v>5.1999999999999998E-2</v>
      </c>
      <c r="O26" s="265">
        <v>0.1</v>
      </c>
      <c r="P26" s="265"/>
      <c r="Q26" s="265"/>
      <c r="R26" s="265"/>
      <c r="S26" s="259">
        <f t="shared" si="0"/>
        <v>0.87419999999999998</v>
      </c>
      <c r="T26" s="515"/>
      <c r="U26" s="517"/>
      <c r="V26" s="514"/>
    </row>
    <row r="27" spans="1:22" ht="57.75" customHeight="1" x14ac:dyDescent="0.25">
      <c r="A27" s="556"/>
      <c r="B27" s="556"/>
      <c r="C27" s="518" t="s">
        <v>537</v>
      </c>
      <c r="D27" s="516" t="s">
        <v>319</v>
      </c>
      <c r="E27" s="516" t="s">
        <v>319</v>
      </c>
      <c r="F27" s="269" t="s">
        <v>19</v>
      </c>
      <c r="G27" s="264">
        <v>8.3299999999999999E-2</v>
      </c>
      <c r="H27" s="264">
        <v>8.3299999999999999E-2</v>
      </c>
      <c r="I27" s="264">
        <v>8.3299999999999999E-2</v>
      </c>
      <c r="J27" s="264">
        <v>8.3299999999999999E-2</v>
      </c>
      <c r="K27" s="264">
        <v>8.3299999999999999E-2</v>
      </c>
      <c r="L27" s="264">
        <v>8.3299999999999999E-2</v>
      </c>
      <c r="M27" s="264">
        <v>8.3299999999999999E-2</v>
      </c>
      <c r="N27" s="264">
        <v>8.3299999999999999E-2</v>
      </c>
      <c r="O27" s="264">
        <v>8.3299999999999999E-2</v>
      </c>
      <c r="P27" s="264">
        <v>8.3299999999999999E-2</v>
      </c>
      <c r="Q27" s="264">
        <v>8.3299999999999999E-2</v>
      </c>
      <c r="R27" s="264">
        <v>8.3699999999999997E-2</v>
      </c>
      <c r="S27" s="256">
        <f t="shared" si="0"/>
        <v>1</v>
      </c>
      <c r="T27" s="515"/>
      <c r="U27" s="517">
        <v>0.03</v>
      </c>
      <c r="V27" s="514" t="s">
        <v>674</v>
      </c>
    </row>
    <row r="28" spans="1:22" ht="57.75" customHeight="1" x14ac:dyDescent="0.25">
      <c r="A28" s="556"/>
      <c r="B28" s="556"/>
      <c r="C28" s="518"/>
      <c r="D28" s="516"/>
      <c r="E28" s="516"/>
      <c r="F28" s="270" t="s">
        <v>20</v>
      </c>
      <c r="G28" s="265">
        <v>0</v>
      </c>
      <c r="H28" s="265">
        <v>8.3299999999999999E-2</v>
      </c>
      <c r="I28" s="265">
        <v>8.3299999999999999E-2</v>
      </c>
      <c r="J28" s="265">
        <v>0.1666</v>
      </c>
      <c r="K28" s="265">
        <v>8.3299999999999999E-2</v>
      </c>
      <c r="L28" s="265">
        <v>8.3299999999999999E-2</v>
      </c>
      <c r="M28" s="265">
        <v>8.3299999999999999E-2</v>
      </c>
      <c r="N28" s="265">
        <v>8.3299999999999999E-2</v>
      </c>
      <c r="O28" s="264">
        <v>8.3299999999999999E-2</v>
      </c>
      <c r="P28" s="265"/>
      <c r="Q28" s="265"/>
      <c r="R28" s="265"/>
      <c r="S28" s="258">
        <f t="shared" si="0"/>
        <v>0.74970000000000003</v>
      </c>
      <c r="T28" s="515"/>
      <c r="U28" s="517"/>
      <c r="V28" s="514"/>
    </row>
    <row r="29" spans="1:22" ht="57.75" customHeight="1" x14ac:dyDescent="0.25">
      <c r="A29" s="556"/>
      <c r="B29" s="556"/>
      <c r="C29" s="518" t="s">
        <v>538</v>
      </c>
      <c r="D29" s="516" t="s">
        <v>319</v>
      </c>
      <c r="E29" s="516" t="s">
        <v>319</v>
      </c>
      <c r="F29" s="269" t="s">
        <v>19</v>
      </c>
      <c r="G29" s="264">
        <v>8.3333333333333329E-2</v>
      </c>
      <c r="H29" s="264">
        <v>8.3333333333333329E-2</v>
      </c>
      <c r="I29" s="264">
        <v>8.3333333333333329E-2</v>
      </c>
      <c r="J29" s="264">
        <v>8.3333333333333329E-2</v>
      </c>
      <c r="K29" s="264">
        <v>8.3333333333333329E-2</v>
      </c>
      <c r="L29" s="264">
        <v>8.3333333333333329E-2</v>
      </c>
      <c r="M29" s="264">
        <v>8.3333333333333329E-2</v>
      </c>
      <c r="N29" s="264">
        <v>8.3333333333333329E-2</v>
      </c>
      <c r="O29" s="264">
        <v>8.3333333333333329E-2</v>
      </c>
      <c r="P29" s="264">
        <v>8.3333333333333329E-2</v>
      </c>
      <c r="Q29" s="264">
        <v>8.3333333333333329E-2</v>
      </c>
      <c r="R29" s="264">
        <v>8.3333333333333329E-2</v>
      </c>
      <c r="S29" s="256">
        <f t="shared" si="0"/>
        <v>1</v>
      </c>
      <c r="T29" s="515"/>
      <c r="U29" s="517">
        <v>4.4999999999999998E-2</v>
      </c>
      <c r="V29" s="514" t="s">
        <v>675</v>
      </c>
    </row>
    <row r="30" spans="1:22" ht="57.75" customHeight="1" x14ac:dyDescent="0.25">
      <c r="A30" s="556"/>
      <c r="B30" s="556"/>
      <c r="C30" s="518"/>
      <c r="D30" s="516"/>
      <c r="E30" s="516"/>
      <c r="F30" s="270" t="s">
        <v>20</v>
      </c>
      <c r="G30" s="265">
        <v>0</v>
      </c>
      <c r="H30" s="265">
        <v>3.4799999999999998E-2</v>
      </c>
      <c r="I30" s="264">
        <v>8.4099999999999994E-2</v>
      </c>
      <c r="J30" s="264">
        <v>0.1057</v>
      </c>
      <c r="K30" s="264">
        <v>9.0800000000000006E-2</v>
      </c>
      <c r="L30" s="264">
        <v>0.1182</v>
      </c>
      <c r="M30" s="264">
        <v>9.1499999999999998E-2</v>
      </c>
      <c r="N30" s="264">
        <v>9.8599999999999993E-2</v>
      </c>
      <c r="O30" s="264">
        <v>8.3299999999999999E-2</v>
      </c>
      <c r="P30" s="265"/>
      <c r="Q30" s="265"/>
      <c r="R30" s="265"/>
      <c r="S30" s="257">
        <f t="shared" si="0"/>
        <v>0.70700000000000007</v>
      </c>
      <c r="T30" s="515"/>
      <c r="U30" s="517"/>
      <c r="V30" s="514"/>
    </row>
    <row r="31" spans="1:22" ht="57.75" customHeight="1" x14ac:dyDescent="0.25">
      <c r="A31" s="556"/>
      <c r="B31" s="556"/>
      <c r="C31" s="518" t="s">
        <v>539</v>
      </c>
      <c r="D31" s="516" t="s">
        <v>319</v>
      </c>
      <c r="E31" s="516" t="s">
        <v>319</v>
      </c>
      <c r="F31" s="269" t="s">
        <v>19</v>
      </c>
      <c r="G31" s="264">
        <v>4.2857142857142858E-2</v>
      </c>
      <c r="H31" s="264">
        <v>4.2857142857142858E-2</v>
      </c>
      <c r="I31" s="264">
        <v>5.7142857142857141E-2</v>
      </c>
      <c r="J31" s="264">
        <v>7.1428571428571425E-2</v>
      </c>
      <c r="K31" s="264">
        <v>0.1</v>
      </c>
      <c r="L31" s="264">
        <v>0.1</v>
      </c>
      <c r="M31" s="264">
        <v>0.1</v>
      </c>
      <c r="N31" s="264">
        <v>0.1</v>
      </c>
      <c r="O31" s="264">
        <v>0.1</v>
      </c>
      <c r="P31" s="264">
        <v>0.1</v>
      </c>
      <c r="Q31" s="264">
        <v>0.1</v>
      </c>
      <c r="R31" s="264">
        <v>8.5714285714285715E-2</v>
      </c>
      <c r="S31" s="256">
        <f t="shared" si="0"/>
        <v>0.99999999999999989</v>
      </c>
      <c r="T31" s="515"/>
      <c r="U31" s="517">
        <v>1.4999999999999999E-2</v>
      </c>
      <c r="V31" s="514" t="s">
        <v>676</v>
      </c>
    </row>
    <row r="32" spans="1:22" ht="57.75" customHeight="1" x14ac:dyDescent="0.25">
      <c r="A32" s="556"/>
      <c r="B32" s="556"/>
      <c r="C32" s="518"/>
      <c r="D32" s="516"/>
      <c r="E32" s="516"/>
      <c r="F32" s="270" t="s">
        <v>20</v>
      </c>
      <c r="G32" s="265">
        <v>0</v>
      </c>
      <c r="H32" s="265">
        <v>4.6199999999999998E-2</v>
      </c>
      <c r="I32" s="265">
        <v>9.2299999999999993E-2</v>
      </c>
      <c r="J32" s="265">
        <v>9.2299999999999993E-2</v>
      </c>
      <c r="K32" s="265">
        <v>0.1</v>
      </c>
      <c r="L32" s="265">
        <v>8.3299999999999999E-2</v>
      </c>
      <c r="M32" s="265">
        <v>0.1245</v>
      </c>
      <c r="N32" s="265">
        <v>0.1</v>
      </c>
      <c r="O32" s="265">
        <v>0.1</v>
      </c>
      <c r="P32" s="265"/>
      <c r="Q32" s="265"/>
      <c r="R32" s="265"/>
      <c r="S32" s="258">
        <f t="shared" si="0"/>
        <v>0.73859999999999992</v>
      </c>
      <c r="T32" s="515"/>
      <c r="U32" s="517"/>
      <c r="V32" s="514"/>
    </row>
    <row r="33" spans="1:22" ht="57.75" customHeight="1" x14ac:dyDescent="0.25">
      <c r="A33" s="556"/>
      <c r="B33" s="556"/>
      <c r="C33" s="518" t="s">
        <v>540</v>
      </c>
      <c r="D33" s="516" t="s">
        <v>319</v>
      </c>
      <c r="E33" s="516" t="s">
        <v>319</v>
      </c>
      <c r="F33" s="269" t="s">
        <v>19</v>
      </c>
      <c r="G33" s="264">
        <v>8.3299999999999999E-2</v>
      </c>
      <c r="H33" s="264">
        <v>8.3299999999999999E-2</v>
      </c>
      <c r="I33" s="264">
        <v>8.3299999999999999E-2</v>
      </c>
      <c r="J33" s="264">
        <v>8.3299999999999999E-2</v>
      </c>
      <c r="K33" s="264">
        <v>8.3299999999999999E-2</v>
      </c>
      <c r="L33" s="264">
        <v>8.3299999999999999E-2</v>
      </c>
      <c r="M33" s="264">
        <v>8.3299999999999999E-2</v>
      </c>
      <c r="N33" s="264">
        <v>8.3299999999999999E-2</v>
      </c>
      <c r="O33" s="264">
        <v>8.3299999999999999E-2</v>
      </c>
      <c r="P33" s="264">
        <v>8.3299999999999999E-2</v>
      </c>
      <c r="Q33" s="264">
        <v>8.3299999999999999E-2</v>
      </c>
      <c r="R33" s="264">
        <v>8.3699999999999997E-2</v>
      </c>
      <c r="S33" s="256">
        <f t="shared" si="0"/>
        <v>1</v>
      </c>
      <c r="T33" s="515"/>
      <c r="U33" s="517">
        <v>1.4999999999999999E-2</v>
      </c>
      <c r="V33" s="562" t="s">
        <v>686</v>
      </c>
    </row>
    <row r="34" spans="1:22" ht="57.75" customHeight="1" x14ac:dyDescent="0.25">
      <c r="A34" s="556"/>
      <c r="B34" s="556"/>
      <c r="C34" s="518"/>
      <c r="D34" s="516"/>
      <c r="E34" s="516"/>
      <c r="F34" s="270" t="s">
        <v>20</v>
      </c>
      <c r="G34" s="265">
        <v>0</v>
      </c>
      <c r="H34" s="265">
        <v>0</v>
      </c>
      <c r="I34" s="265">
        <v>8.3299999999999999E-2</v>
      </c>
      <c r="J34" s="265">
        <v>0.1666</v>
      </c>
      <c r="K34" s="265">
        <v>8.3299999999999999E-2</v>
      </c>
      <c r="L34" s="265">
        <v>0.1666</v>
      </c>
      <c r="M34" s="265">
        <v>8.3299999999999999E-2</v>
      </c>
      <c r="N34" s="265">
        <v>8.3299999999999999E-2</v>
      </c>
      <c r="O34" s="264">
        <v>8.3299999999999999E-2</v>
      </c>
      <c r="P34" s="265"/>
      <c r="Q34" s="265"/>
      <c r="R34" s="265"/>
      <c r="S34" s="258">
        <f t="shared" si="0"/>
        <v>0.74970000000000014</v>
      </c>
      <c r="T34" s="515"/>
      <c r="U34" s="517"/>
      <c r="V34" s="562"/>
    </row>
    <row r="35" spans="1:22" ht="57.75" customHeight="1" x14ac:dyDescent="0.25">
      <c r="A35" s="556" t="s">
        <v>320</v>
      </c>
      <c r="B35" s="556" t="s">
        <v>332</v>
      </c>
      <c r="C35" s="518" t="s">
        <v>541</v>
      </c>
      <c r="D35" s="516" t="s">
        <v>319</v>
      </c>
      <c r="E35" s="516" t="s">
        <v>319</v>
      </c>
      <c r="F35" s="269" t="s">
        <v>19</v>
      </c>
      <c r="G35" s="264">
        <v>0</v>
      </c>
      <c r="H35" s="264">
        <v>7.3134328358208961E-2</v>
      </c>
      <c r="I35" s="264">
        <v>0.10298507462686568</v>
      </c>
      <c r="J35" s="264">
        <v>0.10298507462686568</v>
      </c>
      <c r="K35" s="264">
        <v>0.10298507462686568</v>
      </c>
      <c r="L35" s="264">
        <v>0.10298507462686568</v>
      </c>
      <c r="M35" s="264">
        <v>0.10298507462686568</v>
      </c>
      <c r="N35" s="264">
        <v>0.10298507462686568</v>
      </c>
      <c r="O35" s="264">
        <v>0.10298507462686568</v>
      </c>
      <c r="P35" s="264">
        <v>0.10298507462686568</v>
      </c>
      <c r="Q35" s="264">
        <v>0.10298507462686568</v>
      </c>
      <c r="R35" s="264">
        <v>0</v>
      </c>
      <c r="S35" s="260">
        <f t="shared" si="0"/>
        <v>1</v>
      </c>
      <c r="T35" s="515">
        <v>0.15</v>
      </c>
      <c r="U35" s="517">
        <v>0.1275</v>
      </c>
      <c r="V35" s="558" t="s">
        <v>656</v>
      </c>
    </row>
    <row r="36" spans="1:22" ht="57.75" customHeight="1" x14ac:dyDescent="0.25">
      <c r="A36" s="556"/>
      <c r="B36" s="556"/>
      <c r="C36" s="518"/>
      <c r="D36" s="516"/>
      <c r="E36" s="516"/>
      <c r="F36" s="270" t="s">
        <v>20</v>
      </c>
      <c r="G36" s="265">
        <v>3.7313432835820895E-3</v>
      </c>
      <c r="H36" s="265">
        <v>9.8900000000000002E-2</v>
      </c>
      <c r="I36" s="265">
        <v>8.0199999999999994E-2</v>
      </c>
      <c r="J36" s="265">
        <v>8.8599999999999998E-2</v>
      </c>
      <c r="K36" s="265">
        <v>0.16320000000000001</v>
      </c>
      <c r="L36" s="265">
        <v>0.10539999999999999</v>
      </c>
      <c r="M36" s="265">
        <v>0.1119</v>
      </c>
      <c r="N36" s="265">
        <v>9.3299999999999994E-2</v>
      </c>
      <c r="O36" s="265">
        <v>0.1138</v>
      </c>
      <c r="P36" s="265"/>
      <c r="Q36" s="265"/>
      <c r="R36" s="265"/>
      <c r="S36" s="258">
        <f t="shared" si="0"/>
        <v>0.85903134328358222</v>
      </c>
      <c r="T36" s="515"/>
      <c r="U36" s="517"/>
      <c r="V36" s="559"/>
    </row>
    <row r="37" spans="1:22" ht="57.75" customHeight="1" x14ac:dyDescent="0.25">
      <c r="A37" s="556"/>
      <c r="B37" s="556"/>
      <c r="C37" s="518" t="s">
        <v>542</v>
      </c>
      <c r="D37" s="516" t="s">
        <v>319</v>
      </c>
      <c r="E37" s="516" t="s">
        <v>319</v>
      </c>
      <c r="F37" s="269" t="s">
        <v>19</v>
      </c>
      <c r="G37" s="264">
        <v>0</v>
      </c>
      <c r="H37" s="264">
        <v>0.1</v>
      </c>
      <c r="I37" s="264">
        <v>0.1</v>
      </c>
      <c r="J37" s="264">
        <v>0.1</v>
      </c>
      <c r="K37" s="264">
        <v>0.1</v>
      </c>
      <c r="L37" s="264">
        <v>0.1</v>
      </c>
      <c r="M37" s="264">
        <v>0.1</v>
      </c>
      <c r="N37" s="264">
        <v>0.1</v>
      </c>
      <c r="O37" s="264">
        <v>0.1</v>
      </c>
      <c r="P37" s="264">
        <v>0.1</v>
      </c>
      <c r="Q37" s="264">
        <v>0.1</v>
      </c>
      <c r="R37" s="264">
        <v>0</v>
      </c>
      <c r="S37" s="261">
        <f t="shared" si="0"/>
        <v>0.99999999999999989</v>
      </c>
      <c r="T37" s="515"/>
      <c r="U37" s="517">
        <v>2.2499999999999999E-2</v>
      </c>
      <c r="V37" s="563" t="s">
        <v>657</v>
      </c>
    </row>
    <row r="38" spans="1:22" ht="57.75" customHeight="1" x14ac:dyDescent="0.25">
      <c r="A38" s="556"/>
      <c r="B38" s="556"/>
      <c r="C38" s="518"/>
      <c r="D38" s="516"/>
      <c r="E38" s="516"/>
      <c r="F38" s="270" t="s">
        <v>20</v>
      </c>
      <c r="G38" s="265">
        <v>3.5000000000000003E-2</v>
      </c>
      <c r="H38" s="265">
        <v>0.115</v>
      </c>
      <c r="I38" s="265">
        <v>0.115</v>
      </c>
      <c r="J38" s="265">
        <v>0.1</v>
      </c>
      <c r="K38" s="265">
        <v>9.5000000000000001E-2</v>
      </c>
      <c r="L38" s="265">
        <v>7.0000000000000007E-2</v>
      </c>
      <c r="M38" s="265">
        <v>0.09</v>
      </c>
      <c r="N38" s="265">
        <v>8.5000000000000006E-2</v>
      </c>
      <c r="O38" s="265">
        <v>0.1</v>
      </c>
      <c r="P38" s="265"/>
      <c r="Q38" s="265"/>
      <c r="R38" s="265"/>
      <c r="S38" s="258">
        <f t="shared" si="0"/>
        <v>0.80499999999999994</v>
      </c>
      <c r="T38" s="515"/>
      <c r="U38" s="517"/>
      <c r="V38" s="564"/>
    </row>
    <row r="39" spans="1:22" ht="57.75" customHeight="1" x14ac:dyDescent="0.25">
      <c r="A39" s="556" t="s">
        <v>321</v>
      </c>
      <c r="B39" s="556" t="s">
        <v>322</v>
      </c>
      <c r="C39" s="518" t="s">
        <v>543</v>
      </c>
      <c r="D39" s="516" t="s">
        <v>319</v>
      </c>
      <c r="E39" s="516" t="s">
        <v>319</v>
      </c>
      <c r="F39" s="269" t="s">
        <v>19</v>
      </c>
      <c r="G39" s="264">
        <v>8.3299999999999999E-2</v>
      </c>
      <c r="H39" s="264">
        <v>8.3299999999999999E-2</v>
      </c>
      <c r="I39" s="264">
        <v>8.3299999999999999E-2</v>
      </c>
      <c r="J39" s="264">
        <v>8.3299999999999999E-2</v>
      </c>
      <c r="K39" s="264">
        <v>8.3299999999999999E-2</v>
      </c>
      <c r="L39" s="264">
        <v>8.3299999999999999E-2</v>
      </c>
      <c r="M39" s="264">
        <v>8.3299999999999999E-2</v>
      </c>
      <c r="N39" s="264">
        <v>8.3299999999999999E-2</v>
      </c>
      <c r="O39" s="264">
        <v>8.3299999999999999E-2</v>
      </c>
      <c r="P39" s="264">
        <v>8.3299999999999999E-2</v>
      </c>
      <c r="Q39" s="264">
        <v>8.3299999999999999E-2</v>
      </c>
      <c r="R39" s="264">
        <v>8.3699999999999997E-2</v>
      </c>
      <c r="S39" s="256">
        <f t="shared" si="0"/>
        <v>1</v>
      </c>
      <c r="T39" s="515">
        <v>0.15</v>
      </c>
      <c r="U39" s="517">
        <v>0.04</v>
      </c>
      <c r="V39" s="514" t="s">
        <v>669</v>
      </c>
    </row>
    <row r="40" spans="1:22" ht="57.75" customHeight="1" x14ac:dyDescent="0.25">
      <c r="A40" s="556"/>
      <c r="B40" s="556"/>
      <c r="C40" s="518"/>
      <c r="D40" s="516"/>
      <c r="E40" s="516"/>
      <c r="F40" s="270" t="s">
        <v>20</v>
      </c>
      <c r="G40" s="265">
        <v>8.3299999999999999E-2</v>
      </c>
      <c r="H40" s="265">
        <v>8.3299999999999999E-2</v>
      </c>
      <c r="I40" s="265">
        <v>8.3299999999999999E-2</v>
      </c>
      <c r="J40" s="265">
        <v>8.3299999999999999E-2</v>
      </c>
      <c r="K40" s="265">
        <v>8.3299999999999999E-2</v>
      </c>
      <c r="L40" s="265">
        <v>8.3299999999999999E-2</v>
      </c>
      <c r="M40" s="265">
        <v>8.3299999999999999E-2</v>
      </c>
      <c r="N40" s="265">
        <v>8.3299999999999999E-2</v>
      </c>
      <c r="O40" s="264">
        <v>8.3299999999999999E-2</v>
      </c>
      <c r="P40" s="265"/>
      <c r="Q40" s="265"/>
      <c r="R40" s="265"/>
      <c r="S40" s="258">
        <f t="shared" si="0"/>
        <v>0.74970000000000003</v>
      </c>
      <c r="T40" s="515"/>
      <c r="U40" s="517"/>
      <c r="V40" s="560"/>
    </row>
    <row r="41" spans="1:22" ht="57.75" customHeight="1" x14ac:dyDescent="0.25">
      <c r="A41" s="556"/>
      <c r="B41" s="556"/>
      <c r="C41" s="518" t="s">
        <v>544</v>
      </c>
      <c r="D41" s="516" t="s">
        <v>319</v>
      </c>
      <c r="E41" s="516" t="s">
        <v>319</v>
      </c>
      <c r="F41" s="269" t="s">
        <v>19</v>
      </c>
      <c r="G41" s="264">
        <v>8.3299999999999999E-2</v>
      </c>
      <c r="H41" s="264">
        <v>8.3299999999999999E-2</v>
      </c>
      <c r="I41" s="264">
        <v>8.3299999999999999E-2</v>
      </c>
      <c r="J41" s="264">
        <v>8.3299999999999999E-2</v>
      </c>
      <c r="K41" s="264">
        <v>8.3299999999999999E-2</v>
      </c>
      <c r="L41" s="264">
        <v>8.3299999999999999E-2</v>
      </c>
      <c r="M41" s="264">
        <v>8.3299999999999999E-2</v>
      </c>
      <c r="N41" s="264">
        <v>8.3299999999999999E-2</v>
      </c>
      <c r="O41" s="264">
        <v>8.3299999999999999E-2</v>
      </c>
      <c r="P41" s="264">
        <v>8.3299999999999999E-2</v>
      </c>
      <c r="Q41" s="264">
        <v>8.3299999999999999E-2</v>
      </c>
      <c r="R41" s="264">
        <v>8.3699999999999997E-2</v>
      </c>
      <c r="S41" s="256">
        <f t="shared" si="0"/>
        <v>1</v>
      </c>
      <c r="T41" s="515"/>
      <c r="U41" s="517">
        <v>0.03</v>
      </c>
      <c r="V41" s="514" t="s">
        <v>670</v>
      </c>
    </row>
    <row r="42" spans="1:22" ht="57.75" customHeight="1" x14ac:dyDescent="0.25">
      <c r="A42" s="556"/>
      <c r="B42" s="556"/>
      <c r="C42" s="518"/>
      <c r="D42" s="516"/>
      <c r="E42" s="516"/>
      <c r="F42" s="270" t="s">
        <v>20</v>
      </c>
      <c r="G42" s="265">
        <v>0</v>
      </c>
      <c r="H42" s="265">
        <v>8.3299999999999999E-2</v>
      </c>
      <c r="I42" s="265">
        <v>8.3299999999999999E-2</v>
      </c>
      <c r="J42" s="265">
        <v>0.1666</v>
      </c>
      <c r="K42" s="265">
        <v>8.3299999999999999E-2</v>
      </c>
      <c r="L42" s="265">
        <v>8.3299999999999999E-2</v>
      </c>
      <c r="M42" s="265">
        <v>8.3299999999999999E-2</v>
      </c>
      <c r="N42" s="265">
        <v>8.3299999999999999E-2</v>
      </c>
      <c r="O42" s="264">
        <v>8.3299999999999999E-2</v>
      </c>
      <c r="P42" s="265"/>
      <c r="Q42" s="265"/>
      <c r="R42" s="265"/>
      <c r="S42" s="258">
        <f t="shared" si="0"/>
        <v>0.74970000000000003</v>
      </c>
      <c r="T42" s="515"/>
      <c r="U42" s="517"/>
      <c r="V42" s="514"/>
    </row>
    <row r="43" spans="1:22" ht="57.75" customHeight="1" x14ac:dyDescent="0.25">
      <c r="A43" s="556"/>
      <c r="B43" s="556"/>
      <c r="C43" s="518" t="s">
        <v>545</v>
      </c>
      <c r="D43" s="516" t="s">
        <v>319</v>
      </c>
      <c r="E43" s="516" t="s">
        <v>319</v>
      </c>
      <c r="F43" s="269" t="s">
        <v>19</v>
      </c>
      <c r="G43" s="264">
        <v>0</v>
      </c>
      <c r="H43" s="264">
        <v>0</v>
      </c>
      <c r="I43" s="264">
        <v>0.25</v>
      </c>
      <c r="J43" s="264">
        <v>0</v>
      </c>
      <c r="K43" s="264">
        <v>0</v>
      </c>
      <c r="L43" s="264">
        <v>0.25</v>
      </c>
      <c r="M43" s="264">
        <v>0</v>
      </c>
      <c r="N43" s="264">
        <v>0</v>
      </c>
      <c r="O43" s="264">
        <v>0.25</v>
      </c>
      <c r="P43" s="264">
        <v>0</v>
      </c>
      <c r="Q43" s="264">
        <v>0</v>
      </c>
      <c r="R43" s="264">
        <v>0.25</v>
      </c>
      <c r="S43" s="256">
        <f t="shared" si="0"/>
        <v>1</v>
      </c>
      <c r="T43" s="515"/>
      <c r="U43" s="517">
        <v>0.05</v>
      </c>
      <c r="V43" s="514" t="s">
        <v>671</v>
      </c>
    </row>
    <row r="44" spans="1:22" ht="57.75" customHeight="1" x14ac:dyDescent="0.25">
      <c r="A44" s="556"/>
      <c r="B44" s="556"/>
      <c r="C44" s="518"/>
      <c r="D44" s="516"/>
      <c r="E44" s="516"/>
      <c r="F44" s="270" t="s">
        <v>20</v>
      </c>
      <c r="G44" s="265">
        <v>0</v>
      </c>
      <c r="H44" s="265">
        <v>0</v>
      </c>
      <c r="I44" s="265">
        <v>0.25</v>
      </c>
      <c r="J44" s="265">
        <v>0</v>
      </c>
      <c r="K44" s="265">
        <v>0</v>
      </c>
      <c r="L44" s="265">
        <v>0.25</v>
      </c>
      <c r="M44" s="265">
        <v>0</v>
      </c>
      <c r="N44" s="265">
        <v>0</v>
      </c>
      <c r="O44" s="265">
        <v>0.25</v>
      </c>
      <c r="P44" s="265"/>
      <c r="Q44" s="265"/>
      <c r="R44" s="265"/>
      <c r="S44" s="258">
        <f t="shared" si="0"/>
        <v>0.75</v>
      </c>
      <c r="T44" s="515"/>
      <c r="U44" s="517"/>
      <c r="V44" s="514"/>
    </row>
    <row r="45" spans="1:22" ht="57.75" customHeight="1" x14ac:dyDescent="0.25">
      <c r="A45" s="556"/>
      <c r="B45" s="556"/>
      <c r="C45" s="518" t="s">
        <v>546</v>
      </c>
      <c r="D45" s="516" t="s">
        <v>319</v>
      </c>
      <c r="E45" s="516" t="s">
        <v>319</v>
      </c>
      <c r="F45" s="269" t="s">
        <v>19</v>
      </c>
      <c r="G45" s="264">
        <v>8.3299999999999999E-2</v>
      </c>
      <c r="H45" s="264">
        <v>8.3299999999999999E-2</v>
      </c>
      <c r="I45" s="264">
        <v>8.3299999999999999E-2</v>
      </c>
      <c r="J45" s="264">
        <v>8.3299999999999999E-2</v>
      </c>
      <c r="K45" s="264">
        <v>8.3299999999999999E-2</v>
      </c>
      <c r="L45" s="264">
        <v>8.3299999999999999E-2</v>
      </c>
      <c r="M45" s="264">
        <v>8.3299999999999999E-2</v>
      </c>
      <c r="N45" s="264">
        <v>8.3299999999999999E-2</v>
      </c>
      <c r="O45" s="264">
        <v>8.3299999999999999E-2</v>
      </c>
      <c r="P45" s="264">
        <v>8.3299999999999999E-2</v>
      </c>
      <c r="Q45" s="264">
        <v>8.3299999999999999E-2</v>
      </c>
      <c r="R45" s="264">
        <v>8.3699999999999997E-2</v>
      </c>
      <c r="S45" s="256">
        <f t="shared" si="0"/>
        <v>1</v>
      </c>
      <c r="T45" s="515"/>
      <c r="U45" s="517">
        <v>0.03</v>
      </c>
      <c r="V45" s="514" t="s">
        <v>672</v>
      </c>
    </row>
    <row r="46" spans="1:22" ht="57.75" customHeight="1" x14ac:dyDescent="0.25">
      <c r="A46" s="556"/>
      <c r="B46" s="556"/>
      <c r="C46" s="518"/>
      <c r="D46" s="516"/>
      <c r="E46" s="516"/>
      <c r="F46" s="270" t="s">
        <v>20</v>
      </c>
      <c r="G46" s="265">
        <v>0</v>
      </c>
      <c r="H46" s="265">
        <v>8.3299999999999999E-2</v>
      </c>
      <c r="I46" s="265">
        <v>8.3299999999999999E-2</v>
      </c>
      <c r="J46" s="265">
        <v>0.1666</v>
      </c>
      <c r="K46" s="265">
        <v>8.3299999999999999E-2</v>
      </c>
      <c r="L46" s="265">
        <v>8.3299999999999999E-2</v>
      </c>
      <c r="M46" s="265">
        <v>8.3299999999999999E-2</v>
      </c>
      <c r="N46" s="265">
        <v>8.3299999999999999E-2</v>
      </c>
      <c r="O46" s="266">
        <v>8.3299999999999999E-2</v>
      </c>
      <c r="P46" s="265"/>
      <c r="Q46" s="265"/>
      <c r="R46" s="265"/>
      <c r="S46" s="258">
        <f t="shared" si="0"/>
        <v>0.74970000000000003</v>
      </c>
      <c r="T46" s="515"/>
      <c r="U46" s="517"/>
      <c r="V46" s="514"/>
    </row>
    <row r="47" spans="1:22" ht="57.75" customHeight="1" x14ac:dyDescent="0.25">
      <c r="A47" s="556" t="s">
        <v>307</v>
      </c>
      <c r="B47" s="556" t="s">
        <v>323</v>
      </c>
      <c r="C47" s="518" t="s">
        <v>572</v>
      </c>
      <c r="D47" s="516" t="s">
        <v>319</v>
      </c>
      <c r="E47" s="516" t="s">
        <v>319</v>
      </c>
      <c r="F47" s="269" t="s">
        <v>19</v>
      </c>
      <c r="G47" s="264">
        <v>8.3299999999999999E-2</v>
      </c>
      <c r="H47" s="264">
        <v>8.3299999999999999E-2</v>
      </c>
      <c r="I47" s="264">
        <v>8.3299999999999999E-2</v>
      </c>
      <c r="J47" s="264">
        <v>8.3299999999999999E-2</v>
      </c>
      <c r="K47" s="264">
        <v>8.3299999999999999E-2</v>
      </c>
      <c r="L47" s="264">
        <v>8.3299999999999999E-2</v>
      </c>
      <c r="M47" s="264">
        <v>8.3299999999999999E-2</v>
      </c>
      <c r="N47" s="264">
        <v>8.3299999999999999E-2</v>
      </c>
      <c r="O47" s="264">
        <v>8.3299999999999999E-2</v>
      </c>
      <c r="P47" s="264">
        <v>8.3299999999999999E-2</v>
      </c>
      <c r="Q47" s="264">
        <v>8.3299999999999999E-2</v>
      </c>
      <c r="R47" s="264">
        <v>8.3699999999999997E-2</v>
      </c>
      <c r="S47" s="256">
        <f t="shared" si="0"/>
        <v>1</v>
      </c>
      <c r="T47" s="515">
        <v>0.15</v>
      </c>
      <c r="U47" s="517">
        <v>4.4999999999999998E-2</v>
      </c>
      <c r="V47" s="514" t="s">
        <v>649</v>
      </c>
    </row>
    <row r="48" spans="1:22" ht="57.75" customHeight="1" x14ac:dyDescent="0.25">
      <c r="A48" s="556"/>
      <c r="B48" s="556"/>
      <c r="C48" s="518"/>
      <c r="D48" s="516"/>
      <c r="E48" s="516"/>
      <c r="F48" s="270" t="s">
        <v>20</v>
      </c>
      <c r="G48" s="265">
        <v>0</v>
      </c>
      <c r="H48" s="265">
        <v>0</v>
      </c>
      <c r="I48" s="265">
        <v>8.3299999999999999E-2</v>
      </c>
      <c r="J48" s="265">
        <v>8.3299999999999999E-2</v>
      </c>
      <c r="K48" s="265">
        <v>8.3299999999999999E-2</v>
      </c>
      <c r="L48" s="265">
        <v>0.24990000000000001</v>
      </c>
      <c r="M48" s="265">
        <v>8.3299999999999999E-2</v>
      </c>
      <c r="N48" s="265">
        <v>8.3299999999999999E-2</v>
      </c>
      <c r="O48" s="264">
        <v>8.3299999999999999E-2</v>
      </c>
      <c r="P48" s="265"/>
      <c r="Q48" s="265"/>
      <c r="R48" s="265"/>
      <c r="S48" s="258">
        <f t="shared" si="0"/>
        <v>0.74970000000000014</v>
      </c>
      <c r="T48" s="515"/>
      <c r="U48" s="517"/>
      <c r="V48" s="514"/>
    </row>
    <row r="49" spans="1:22" ht="57.75" customHeight="1" x14ac:dyDescent="0.25">
      <c r="A49" s="556"/>
      <c r="B49" s="556"/>
      <c r="C49" s="518" t="s">
        <v>573</v>
      </c>
      <c r="D49" s="516" t="s">
        <v>319</v>
      </c>
      <c r="E49" s="516" t="s">
        <v>319</v>
      </c>
      <c r="F49" s="269" t="s">
        <v>19</v>
      </c>
      <c r="G49" s="264">
        <v>8.3299999999999999E-2</v>
      </c>
      <c r="H49" s="264">
        <v>8.3299999999999999E-2</v>
      </c>
      <c r="I49" s="264">
        <v>8.3299999999999999E-2</v>
      </c>
      <c r="J49" s="264">
        <v>8.3299999999999999E-2</v>
      </c>
      <c r="K49" s="264">
        <v>8.3299999999999999E-2</v>
      </c>
      <c r="L49" s="264">
        <v>8.3299999999999999E-2</v>
      </c>
      <c r="M49" s="264">
        <v>8.3299999999999999E-2</v>
      </c>
      <c r="N49" s="264">
        <v>8.3299999999999999E-2</v>
      </c>
      <c r="O49" s="264">
        <v>8.3299999999999999E-2</v>
      </c>
      <c r="P49" s="264">
        <v>8.3299999999999999E-2</v>
      </c>
      <c r="Q49" s="264">
        <v>8.3299999999999999E-2</v>
      </c>
      <c r="R49" s="264">
        <v>8.3699999999999997E-2</v>
      </c>
      <c r="S49" s="256">
        <f t="shared" si="0"/>
        <v>1</v>
      </c>
      <c r="T49" s="515"/>
      <c r="U49" s="517">
        <v>0.03</v>
      </c>
      <c r="V49" s="514" t="s">
        <v>650</v>
      </c>
    </row>
    <row r="50" spans="1:22" ht="57.75" customHeight="1" x14ac:dyDescent="0.25">
      <c r="A50" s="556"/>
      <c r="B50" s="556"/>
      <c r="C50" s="518"/>
      <c r="D50" s="516"/>
      <c r="E50" s="516"/>
      <c r="F50" s="270" t="s">
        <v>20</v>
      </c>
      <c r="G50" s="265">
        <v>0</v>
      </c>
      <c r="H50" s="265">
        <v>7.9200000000000007E-2</v>
      </c>
      <c r="I50" s="265">
        <v>3.3300000000000003E-2</v>
      </c>
      <c r="J50" s="265">
        <v>9.5799999999999996E-2</v>
      </c>
      <c r="K50" s="265">
        <v>8.3299999999999999E-2</v>
      </c>
      <c r="L50" s="265">
        <v>0.12089999999999999</v>
      </c>
      <c r="M50" s="265">
        <v>8.3299999999999999E-2</v>
      </c>
      <c r="N50" s="265">
        <v>0.12089999999999999</v>
      </c>
      <c r="O50" s="264">
        <v>7.9200000000000007E-2</v>
      </c>
      <c r="P50" s="265"/>
      <c r="Q50" s="265"/>
      <c r="R50" s="265"/>
      <c r="S50" s="257">
        <f t="shared" si="0"/>
        <v>0.69590000000000007</v>
      </c>
      <c r="T50" s="515"/>
      <c r="U50" s="517"/>
      <c r="V50" s="514"/>
    </row>
    <row r="51" spans="1:22" ht="57.75" customHeight="1" x14ac:dyDescent="0.25">
      <c r="A51" s="556"/>
      <c r="B51" s="556"/>
      <c r="C51" s="518" t="s">
        <v>574</v>
      </c>
      <c r="D51" s="516" t="s">
        <v>319</v>
      </c>
      <c r="E51" s="516" t="s">
        <v>319</v>
      </c>
      <c r="F51" s="269" t="s">
        <v>19</v>
      </c>
      <c r="G51" s="264">
        <v>8.3299999999999999E-2</v>
      </c>
      <c r="H51" s="264">
        <v>8.3299999999999999E-2</v>
      </c>
      <c r="I51" s="264">
        <v>8.3299999999999999E-2</v>
      </c>
      <c r="J51" s="264">
        <v>8.3299999999999999E-2</v>
      </c>
      <c r="K51" s="264">
        <v>8.3299999999999999E-2</v>
      </c>
      <c r="L51" s="264">
        <v>8.3299999999999999E-2</v>
      </c>
      <c r="M51" s="264">
        <v>8.3299999999999999E-2</v>
      </c>
      <c r="N51" s="264">
        <v>8.3299999999999999E-2</v>
      </c>
      <c r="O51" s="264">
        <v>8.3299999999999999E-2</v>
      </c>
      <c r="P51" s="264">
        <v>8.3299999999999999E-2</v>
      </c>
      <c r="Q51" s="264">
        <v>8.3299999999999999E-2</v>
      </c>
      <c r="R51" s="264">
        <v>8.3699999999999997E-2</v>
      </c>
      <c r="S51" s="256">
        <f t="shared" si="0"/>
        <v>1</v>
      </c>
      <c r="T51" s="515"/>
      <c r="U51" s="517">
        <v>0.03</v>
      </c>
      <c r="V51" s="514" t="s">
        <v>651</v>
      </c>
    </row>
    <row r="52" spans="1:22" ht="57.75" customHeight="1" x14ac:dyDescent="0.25">
      <c r="A52" s="556"/>
      <c r="B52" s="556"/>
      <c r="C52" s="518"/>
      <c r="D52" s="516"/>
      <c r="E52" s="516"/>
      <c r="F52" s="270" t="s">
        <v>20</v>
      </c>
      <c r="G52" s="265">
        <v>0</v>
      </c>
      <c r="H52" s="265">
        <v>0</v>
      </c>
      <c r="I52" s="265">
        <v>0</v>
      </c>
      <c r="J52" s="265">
        <v>0</v>
      </c>
      <c r="K52" s="265">
        <v>8.3299999999999999E-2</v>
      </c>
      <c r="L52" s="265">
        <v>8.3299999999999999E-2</v>
      </c>
      <c r="M52" s="265">
        <v>8.3299999999999999E-2</v>
      </c>
      <c r="N52" s="265">
        <v>8.3299999999999999E-2</v>
      </c>
      <c r="O52" s="264">
        <v>8.3299999999999999E-2</v>
      </c>
      <c r="P52" s="265"/>
      <c r="Q52" s="265"/>
      <c r="R52" s="265"/>
      <c r="S52" s="257">
        <f t="shared" si="0"/>
        <v>0.41649999999999998</v>
      </c>
      <c r="T52" s="515"/>
      <c r="U52" s="517"/>
      <c r="V52" s="514"/>
    </row>
    <row r="53" spans="1:22" ht="57.75" customHeight="1" x14ac:dyDescent="0.25">
      <c r="A53" s="556"/>
      <c r="B53" s="556"/>
      <c r="C53" s="518" t="s">
        <v>575</v>
      </c>
      <c r="D53" s="516" t="s">
        <v>319</v>
      </c>
      <c r="E53" s="516" t="s">
        <v>319</v>
      </c>
      <c r="F53" s="269" t="s">
        <v>19</v>
      </c>
      <c r="G53" s="264">
        <v>8.3299999999999999E-2</v>
      </c>
      <c r="H53" s="264">
        <v>8.3299999999999999E-2</v>
      </c>
      <c r="I53" s="264">
        <v>8.3299999999999999E-2</v>
      </c>
      <c r="J53" s="264">
        <v>8.3299999999999999E-2</v>
      </c>
      <c r="K53" s="264">
        <v>8.3299999999999999E-2</v>
      </c>
      <c r="L53" s="264">
        <v>8.3299999999999999E-2</v>
      </c>
      <c r="M53" s="264">
        <v>8.3299999999999999E-2</v>
      </c>
      <c r="N53" s="264">
        <v>8.3299999999999999E-2</v>
      </c>
      <c r="O53" s="264">
        <v>8.3299999999999999E-2</v>
      </c>
      <c r="P53" s="264">
        <v>8.3299999999999999E-2</v>
      </c>
      <c r="Q53" s="264">
        <v>8.3299999999999999E-2</v>
      </c>
      <c r="R53" s="264">
        <v>8.3699999999999997E-2</v>
      </c>
      <c r="S53" s="256">
        <f t="shared" si="0"/>
        <v>1</v>
      </c>
      <c r="T53" s="515"/>
      <c r="U53" s="517">
        <v>1.4999999999999999E-2</v>
      </c>
      <c r="V53" s="514" t="s">
        <v>652</v>
      </c>
    </row>
    <row r="54" spans="1:22" ht="57.75" customHeight="1" x14ac:dyDescent="0.25">
      <c r="A54" s="556"/>
      <c r="B54" s="556"/>
      <c r="C54" s="518"/>
      <c r="D54" s="516"/>
      <c r="E54" s="516"/>
      <c r="F54" s="270" t="s">
        <v>20</v>
      </c>
      <c r="G54" s="265">
        <v>0</v>
      </c>
      <c r="H54" s="265">
        <v>8.3299999999999999E-2</v>
      </c>
      <c r="I54" s="265">
        <v>8.3299999999999999E-2</v>
      </c>
      <c r="J54" s="265">
        <v>8.3299999999999999E-2</v>
      </c>
      <c r="K54" s="265">
        <v>8.3299999999999999E-2</v>
      </c>
      <c r="L54" s="265">
        <v>8.3299999999999999E-2</v>
      </c>
      <c r="M54" s="265">
        <v>8.3299999999999999E-2</v>
      </c>
      <c r="N54" s="265">
        <v>8.3299999999999999E-2</v>
      </c>
      <c r="O54" s="264">
        <v>8.3299999999999999E-2</v>
      </c>
      <c r="P54" s="265"/>
      <c r="Q54" s="265"/>
      <c r="R54" s="265"/>
      <c r="S54" s="257">
        <f t="shared" si="0"/>
        <v>0.66639999999999999</v>
      </c>
      <c r="T54" s="515"/>
      <c r="U54" s="517"/>
      <c r="V54" s="514"/>
    </row>
    <row r="55" spans="1:22" ht="57.75" customHeight="1" x14ac:dyDescent="0.25">
      <c r="A55" s="556"/>
      <c r="B55" s="556"/>
      <c r="C55" s="518" t="s">
        <v>576</v>
      </c>
      <c r="D55" s="516" t="s">
        <v>319</v>
      </c>
      <c r="E55" s="516" t="s">
        <v>319</v>
      </c>
      <c r="F55" s="269" t="s">
        <v>19</v>
      </c>
      <c r="G55" s="264">
        <v>7.5739644970414202E-2</v>
      </c>
      <c r="H55" s="264">
        <v>8.4023668639053251E-2</v>
      </c>
      <c r="I55" s="264">
        <v>8.4023668639053251E-2</v>
      </c>
      <c r="J55" s="264">
        <v>8.4023668639053251E-2</v>
      </c>
      <c r="K55" s="264">
        <v>8.4023668639053251E-2</v>
      </c>
      <c r="L55" s="264">
        <v>9.2307692307692313E-2</v>
      </c>
      <c r="M55" s="264">
        <v>8.4023668639053251E-2</v>
      </c>
      <c r="N55" s="264">
        <v>8.4023668639053251E-2</v>
      </c>
      <c r="O55" s="264">
        <v>8.4023668639053251E-2</v>
      </c>
      <c r="P55" s="264">
        <v>8.4023668639053251E-2</v>
      </c>
      <c r="Q55" s="265">
        <v>8.4023668639053251E-2</v>
      </c>
      <c r="R55" s="265">
        <v>7.5739644970414202E-2</v>
      </c>
      <c r="S55" s="256">
        <f t="shared" si="0"/>
        <v>0.99999999999999978</v>
      </c>
      <c r="T55" s="515"/>
      <c r="U55" s="517">
        <v>0.03</v>
      </c>
      <c r="V55" s="514" t="s">
        <v>653</v>
      </c>
    </row>
    <row r="56" spans="1:22" ht="57.75" customHeight="1" x14ac:dyDescent="0.25">
      <c r="A56" s="556"/>
      <c r="B56" s="556"/>
      <c r="C56" s="518"/>
      <c r="D56" s="516"/>
      <c r="E56" s="516"/>
      <c r="F56" s="270" t="s">
        <v>20</v>
      </c>
      <c r="G56" s="265">
        <v>0</v>
      </c>
      <c r="H56" s="265">
        <v>1.4200000000000001E-2</v>
      </c>
      <c r="I56" s="265">
        <v>5.33E-2</v>
      </c>
      <c r="J56" s="265">
        <v>9.5899999999999999E-2</v>
      </c>
      <c r="K56" s="265">
        <v>0.25209999999999999</v>
      </c>
      <c r="L56" s="265">
        <v>5.21E-2</v>
      </c>
      <c r="M56" s="265">
        <v>8.4000000000000005E-2</v>
      </c>
      <c r="N56" s="265">
        <v>1.1599999999999999E-2</v>
      </c>
      <c r="O56" s="264">
        <v>0.14319999999999999</v>
      </c>
      <c r="P56" s="265"/>
      <c r="Q56" s="265"/>
      <c r="R56" s="265"/>
      <c r="S56" s="257">
        <f t="shared" si="0"/>
        <v>0.70639999999999992</v>
      </c>
      <c r="T56" s="515"/>
      <c r="U56" s="517"/>
      <c r="V56" s="514"/>
    </row>
    <row r="57" spans="1:22" ht="57.75" customHeight="1" x14ac:dyDescent="0.25">
      <c r="A57" s="556" t="s">
        <v>307</v>
      </c>
      <c r="B57" s="556" t="s">
        <v>324</v>
      </c>
      <c r="C57" s="518" t="s">
        <v>547</v>
      </c>
      <c r="D57" s="516" t="s">
        <v>319</v>
      </c>
      <c r="E57" s="516" t="s">
        <v>319</v>
      </c>
      <c r="F57" s="269" t="s">
        <v>19</v>
      </c>
      <c r="G57" s="264">
        <v>0.02</v>
      </c>
      <c r="H57" s="264">
        <v>0.09</v>
      </c>
      <c r="I57" s="264">
        <v>0.09</v>
      </c>
      <c r="J57" s="264">
        <v>0.09</v>
      </c>
      <c r="K57" s="264">
        <v>0.09</v>
      </c>
      <c r="L57" s="264">
        <v>0.09</v>
      </c>
      <c r="M57" s="264">
        <v>0.09</v>
      </c>
      <c r="N57" s="264">
        <v>0.09</v>
      </c>
      <c r="O57" s="264">
        <v>0.09</v>
      </c>
      <c r="P57" s="264">
        <v>0.09</v>
      </c>
      <c r="Q57" s="264">
        <v>0.09</v>
      </c>
      <c r="R57" s="264">
        <v>0.08</v>
      </c>
      <c r="S57" s="256">
        <f t="shared" si="0"/>
        <v>0.99999999999999978</v>
      </c>
      <c r="T57" s="515">
        <v>0.1</v>
      </c>
      <c r="U57" s="517">
        <v>3.7499999999999999E-2</v>
      </c>
      <c r="V57" s="514" t="s">
        <v>643</v>
      </c>
    </row>
    <row r="58" spans="1:22" ht="57.75" customHeight="1" x14ac:dyDescent="0.25">
      <c r="A58" s="556"/>
      <c r="B58" s="556"/>
      <c r="C58" s="518"/>
      <c r="D58" s="516"/>
      <c r="E58" s="516"/>
      <c r="F58" s="270" t="s">
        <v>20</v>
      </c>
      <c r="G58" s="265">
        <v>0.02</v>
      </c>
      <c r="H58" s="265">
        <v>0.09</v>
      </c>
      <c r="I58" s="265">
        <v>0.09</v>
      </c>
      <c r="J58" s="265">
        <v>0.09</v>
      </c>
      <c r="K58" s="265">
        <v>0.09</v>
      </c>
      <c r="L58" s="265">
        <v>0.09</v>
      </c>
      <c r="M58" s="265">
        <v>0.09</v>
      </c>
      <c r="N58" s="265">
        <v>0.09</v>
      </c>
      <c r="O58" s="264">
        <v>7.0499999999999993E-2</v>
      </c>
      <c r="P58" s="265"/>
      <c r="Q58" s="265"/>
      <c r="R58" s="265"/>
      <c r="S58" s="258">
        <f t="shared" si="0"/>
        <v>0.72049999999999992</v>
      </c>
      <c r="T58" s="515"/>
      <c r="U58" s="517"/>
      <c r="V58" s="514"/>
    </row>
    <row r="59" spans="1:22" ht="57.75" customHeight="1" x14ac:dyDescent="0.25">
      <c r="A59" s="556"/>
      <c r="B59" s="556"/>
      <c r="C59" s="518" t="s">
        <v>548</v>
      </c>
      <c r="D59" s="516" t="s">
        <v>319</v>
      </c>
      <c r="E59" s="516" t="s">
        <v>319</v>
      </c>
      <c r="F59" s="269" t="s">
        <v>19</v>
      </c>
      <c r="G59" s="264">
        <v>0</v>
      </c>
      <c r="H59" s="264">
        <v>0.09</v>
      </c>
      <c r="I59" s="264">
        <v>0.09</v>
      </c>
      <c r="J59" s="264">
        <v>0.09</v>
      </c>
      <c r="K59" s="264">
        <v>0.09</v>
      </c>
      <c r="L59" s="264">
        <v>0.09</v>
      </c>
      <c r="M59" s="264">
        <v>0.09</v>
      </c>
      <c r="N59" s="264">
        <v>0.09</v>
      </c>
      <c r="O59" s="264">
        <v>0.09</v>
      </c>
      <c r="P59" s="264">
        <v>0.09</v>
      </c>
      <c r="Q59" s="264">
        <v>0.09</v>
      </c>
      <c r="R59" s="264">
        <v>0.1</v>
      </c>
      <c r="S59" s="256">
        <f t="shared" si="0"/>
        <v>0.99999999999999978</v>
      </c>
      <c r="T59" s="515"/>
      <c r="U59" s="517">
        <v>1.2500000000000001E-2</v>
      </c>
      <c r="V59" s="514" t="s">
        <v>644</v>
      </c>
    </row>
    <row r="60" spans="1:22" ht="57.75" customHeight="1" x14ac:dyDescent="0.25">
      <c r="A60" s="556"/>
      <c r="B60" s="556"/>
      <c r="C60" s="518"/>
      <c r="D60" s="516"/>
      <c r="E60" s="516"/>
      <c r="F60" s="270" t="s">
        <v>20</v>
      </c>
      <c r="G60" s="265">
        <v>0</v>
      </c>
      <c r="H60" s="265">
        <v>0.09</v>
      </c>
      <c r="I60" s="265">
        <v>0.09</v>
      </c>
      <c r="J60" s="265">
        <v>0.09</v>
      </c>
      <c r="K60" s="265">
        <v>0.09</v>
      </c>
      <c r="L60" s="265">
        <v>0.09</v>
      </c>
      <c r="M60" s="265">
        <v>0.09</v>
      </c>
      <c r="N60" s="265">
        <v>0.09</v>
      </c>
      <c r="O60" s="264">
        <v>0.09</v>
      </c>
      <c r="P60" s="265"/>
      <c r="Q60" s="265"/>
      <c r="R60" s="265"/>
      <c r="S60" s="257">
        <f t="shared" si="0"/>
        <v>0.71999999999999986</v>
      </c>
      <c r="T60" s="515"/>
      <c r="U60" s="517"/>
      <c r="V60" s="514"/>
    </row>
    <row r="61" spans="1:22" ht="57.75" customHeight="1" x14ac:dyDescent="0.25">
      <c r="A61" s="556"/>
      <c r="B61" s="556"/>
      <c r="C61" s="518" t="s">
        <v>549</v>
      </c>
      <c r="D61" s="516" t="s">
        <v>319</v>
      </c>
      <c r="E61" s="516" t="s">
        <v>319</v>
      </c>
      <c r="F61" s="269" t="s">
        <v>19</v>
      </c>
      <c r="G61" s="264">
        <v>0</v>
      </c>
      <c r="H61" s="264">
        <v>0.09</v>
      </c>
      <c r="I61" s="264">
        <v>0.09</v>
      </c>
      <c r="J61" s="264">
        <v>0.09</v>
      </c>
      <c r="K61" s="264">
        <v>0.09</v>
      </c>
      <c r="L61" s="264">
        <v>0.09</v>
      </c>
      <c r="M61" s="264">
        <v>0.09</v>
      </c>
      <c r="N61" s="264">
        <v>0.09</v>
      </c>
      <c r="O61" s="264">
        <v>0.09</v>
      </c>
      <c r="P61" s="264">
        <v>0.09</v>
      </c>
      <c r="Q61" s="264">
        <v>0.09</v>
      </c>
      <c r="R61" s="264">
        <v>0.1</v>
      </c>
      <c r="S61" s="256">
        <f t="shared" si="0"/>
        <v>0.99999999999999978</v>
      </c>
      <c r="T61" s="515"/>
      <c r="U61" s="517">
        <v>3.7499999999999999E-2</v>
      </c>
      <c r="V61" s="514" t="s">
        <v>645</v>
      </c>
    </row>
    <row r="62" spans="1:22" ht="57.75" customHeight="1" x14ac:dyDescent="0.25">
      <c r="A62" s="556"/>
      <c r="B62" s="556"/>
      <c r="C62" s="518"/>
      <c r="D62" s="516"/>
      <c r="E62" s="516"/>
      <c r="F62" s="270" t="s">
        <v>20</v>
      </c>
      <c r="G62" s="265">
        <v>0</v>
      </c>
      <c r="H62" s="265">
        <v>0.09</v>
      </c>
      <c r="I62" s="265">
        <v>0.09</v>
      </c>
      <c r="J62" s="265">
        <v>0.09</v>
      </c>
      <c r="K62" s="265">
        <v>0.09</v>
      </c>
      <c r="L62" s="265">
        <v>0.09</v>
      </c>
      <c r="M62" s="265">
        <v>0.09</v>
      </c>
      <c r="N62" s="265">
        <v>0.09</v>
      </c>
      <c r="O62" s="264">
        <v>0.09</v>
      </c>
      <c r="P62" s="265"/>
      <c r="Q62" s="265"/>
      <c r="R62" s="265"/>
      <c r="S62" s="257">
        <f t="shared" si="0"/>
        <v>0.71999999999999986</v>
      </c>
      <c r="T62" s="515"/>
      <c r="U62" s="517"/>
      <c r="V62" s="514"/>
    </row>
    <row r="63" spans="1:22" ht="57.75" customHeight="1" x14ac:dyDescent="0.25">
      <c r="A63" s="556"/>
      <c r="B63" s="556"/>
      <c r="C63" s="518" t="s">
        <v>550</v>
      </c>
      <c r="D63" s="516" t="s">
        <v>319</v>
      </c>
      <c r="E63" s="516" t="s">
        <v>319</v>
      </c>
      <c r="F63" s="269" t="s">
        <v>19</v>
      </c>
      <c r="G63" s="264">
        <v>0</v>
      </c>
      <c r="H63" s="264">
        <v>0.09</v>
      </c>
      <c r="I63" s="264">
        <v>0.09</v>
      </c>
      <c r="J63" s="264">
        <v>0.09</v>
      </c>
      <c r="K63" s="264">
        <v>0.09</v>
      </c>
      <c r="L63" s="264">
        <v>0.09</v>
      </c>
      <c r="M63" s="264">
        <v>0.09</v>
      </c>
      <c r="N63" s="264">
        <v>0.09</v>
      </c>
      <c r="O63" s="264">
        <v>0.09</v>
      </c>
      <c r="P63" s="264">
        <v>0.09</v>
      </c>
      <c r="Q63" s="264">
        <v>0.09</v>
      </c>
      <c r="R63" s="264">
        <v>0.1</v>
      </c>
      <c r="S63" s="256">
        <f t="shared" si="0"/>
        <v>0.99999999999999978</v>
      </c>
      <c r="T63" s="515"/>
      <c r="U63" s="517">
        <v>1.2500000000000001E-2</v>
      </c>
      <c r="V63" s="514" t="s">
        <v>646</v>
      </c>
    </row>
    <row r="64" spans="1:22" ht="57.75" customHeight="1" x14ac:dyDescent="0.25">
      <c r="A64" s="556"/>
      <c r="B64" s="556"/>
      <c r="C64" s="518"/>
      <c r="D64" s="516"/>
      <c r="E64" s="516"/>
      <c r="F64" s="270" t="s">
        <v>20</v>
      </c>
      <c r="G64" s="265">
        <v>0</v>
      </c>
      <c r="H64" s="265">
        <v>0.09</v>
      </c>
      <c r="I64" s="265">
        <v>0.09</v>
      </c>
      <c r="J64" s="265">
        <v>0.09</v>
      </c>
      <c r="K64" s="265">
        <v>0.09</v>
      </c>
      <c r="L64" s="265">
        <v>0.09</v>
      </c>
      <c r="M64" s="265">
        <v>0.09</v>
      </c>
      <c r="N64" s="265">
        <v>0.09</v>
      </c>
      <c r="O64" s="264">
        <v>0.09</v>
      </c>
      <c r="P64" s="265"/>
      <c r="Q64" s="265"/>
      <c r="R64" s="265"/>
      <c r="S64" s="257">
        <f t="shared" si="0"/>
        <v>0.71999999999999986</v>
      </c>
      <c r="T64" s="515"/>
      <c r="U64" s="517"/>
      <c r="V64" s="514"/>
    </row>
    <row r="65" spans="1:22" ht="57.75" customHeight="1" x14ac:dyDescent="0.25">
      <c r="A65" s="565" t="s">
        <v>688</v>
      </c>
      <c r="B65" s="565"/>
      <c r="C65" s="565"/>
      <c r="D65" s="565"/>
      <c r="E65" s="565"/>
      <c r="F65" s="565"/>
      <c r="G65" s="565"/>
      <c r="H65" s="565"/>
      <c r="I65" s="565"/>
      <c r="J65" s="565"/>
      <c r="K65" s="565"/>
      <c r="L65" s="565"/>
      <c r="M65" s="565"/>
      <c r="N65" s="565"/>
      <c r="O65" s="565"/>
      <c r="P65" s="565"/>
      <c r="Q65" s="565"/>
      <c r="R65" s="565"/>
      <c r="S65" s="565"/>
      <c r="T65" s="262">
        <f>SUM(T9:T64)</f>
        <v>1</v>
      </c>
      <c r="U65" s="262">
        <f>SUM(U9:U64)</f>
        <v>1.0000000000000002</v>
      </c>
      <c r="V65" s="263"/>
    </row>
    <row r="66" spans="1:22" ht="32.25" customHeight="1" x14ac:dyDescent="0.25">
      <c r="A66" s="8"/>
      <c r="B66" s="8"/>
      <c r="C66" s="11"/>
      <c r="D66" s="8"/>
      <c r="E66" s="8"/>
      <c r="F66" s="8"/>
      <c r="G66" s="8"/>
      <c r="H66" s="8"/>
      <c r="I66" s="8"/>
      <c r="J66" s="8"/>
      <c r="K66" s="8"/>
      <c r="L66" s="8"/>
      <c r="M66" s="8"/>
      <c r="N66" s="9"/>
      <c r="O66" s="9"/>
      <c r="P66" s="9"/>
      <c r="Q66" s="9"/>
      <c r="R66" s="9"/>
      <c r="S66" s="9"/>
      <c r="T66" s="9"/>
      <c r="U66" s="28"/>
    </row>
    <row r="67" spans="1:22" ht="32.25" customHeight="1" x14ac:dyDescent="0.25">
      <c r="A67" s="8"/>
      <c r="B67" s="8"/>
      <c r="C67" s="11"/>
      <c r="D67" s="8"/>
      <c r="E67" s="8"/>
      <c r="F67" s="8"/>
      <c r="G67" s="8"/>
      <c r="H67" s="8"/>
      <c r="I67" s="8"/>
      <c r="J67" s="8"/>
      <c r="K67" s="8"/>
      <c r="L67" s="8"/>
      <c r="M67" s="8"/>
      <c r="N67" s="9"/>
      <c r="O67" s="9"/>
      <c r="P67" s="9"/>
      <c r="Q67" s="9"/>
      <c r="R67" s="9"/>
      <c r="S67" s="9"/>
      <c r="T67" s="9"/>
      <c r="U67" s="9"/>
    </row>
    <row r="68" spans="1:22" ht="32.25" customHeight="1" x14ac:dyDescent="0.25">
      <c r="A68" s="8"/>
      <c r="B68" s="22" t="s">
        <v>34</v>
      </c>
      <c r="C68" s="20"/>
      <c r="D68" s="20"/>
      <c r="E68" s="21"/>
      <c r="F68" s="53"/>
      <c r="G68" s="21"/>
      <c r="H68" s="21"/>
      <c r="I68" s="21"/>
      <c r="J68" s="21"/>
      <c r="K68" s="21"/>
      <c r="L68" s="21"/>
      <c r="M68" s="21"/>
      <c r="N68" s="21"/>
      <c r="O68" s="21"/>
      <c r="P68" s="21"/>
      <c r="Q68" s="9"/>
      <c r="R68" s="9"/>
      <c r="S68" s="9"/>
      <c r="T68" s="9"/>
      <c r="U68" s="9"/>
    </row>
    <row r="69" spans="1:22" ht="42.75" customHeight="1" x14ac:dyDescent="0.25">
      <c r="B69" s="198" t="s">
        <v>35</v>
      </c>
      <c r="C69" s="443" t="s">
        <v>36</v>
      </c>
      <c r="D69" s="444"/>
      <c r="E69" s="444"/>
      <c r="F69" s="444"/>
      <c r="G69" s="444"/>
      <c r="H69" s="444"/>
      <c r="I69" s="445"/>
      <c r="J69" s="446" t="s">
        <v>37</v>
      </c>
      <c r="K69" s="447"/>
      <c r="L69" s="447"/>
      <c r="M69" s="447"/>
      <c r="N69" s="447"/>
      <c r="O69" s="447"/>
      <c r="P69" s="448"/>
      <c r="Q69" s="9"/>
      <c r="R69" s="9"/>
      <c r="S69" s="9"/>
      <c r="T69" s="9"/>
      <c r="U69" s="9"/>
    </row>
    <row r="70" spans="1:22" ht="42.75" customHeight="1" x14ac:dyDescent="0.25">
      <c r="A70" s="8"/>
      <c r="B70" s="199">
        <v>13</v>
      </c>
      <c r="C70" s="449" t="s">
        <v>89</v>
      </c>
      <c r="D70" s="449"/>
      <c r="E70" s="449"/>
      <c r="F70" s="449"/>
      <c r="G70" s="449"/>
      <c r="H70" s="449"/>
      <c r="I70" s="449"/>
      <c r="J70" s="449" t="s">
        <v>80</v>
      </c>
      <c r="K70" s="449"/>
      <c r="L70" s="449"/>
      <c r="M70" s="449"/>
      <c r="N70" s="449"/>
      <c r="O70" s="449"/>
      <c r="P70" s="449"/>
      <c r="Q70" s="9"/>
      <c r="R70" s="9"/>
      <c r="S70" s="9"/>
      <c r="T70" s="9"/>
      <c r="U70" s="9"/>
    </row>
    <row r="71" spans="1:22" ht="42.75" customHeight="1" x14ac:dyDescent="0.25">
      <c r="A71" s="8"/>
      <c r="B71" s="199">
        <v>14</v>
      </c>
      <c r="C71" s="449" t="s">
        <v>258</v>
      </c>
      <c r="D71" s="449"/>
      <c r="E71" s="449"/>
      <c r="F71" s="449"/>
      <c r="G71" s="449"/>
      <c r="H71" s="449"/>
      <c r="I71" s="449"/>
      <c r="J71" s="450" t="s">
        <v>530</v>
      </c>
      <c r="K71" s="450"/>
      <c r="L71" s="450"/>
      <c r="M71" s="450"/>
      <c r="N71" s="450"/>
      <c r="O71" s="450"/>
      <c r="P71" s="450"/>
      <c r="Q71" s="9"/>
      <c r="R71" s="9"/>
      <c r="S71" s="9"/>
      <c r="T71" s="9"/>
      <c r="U71" s="9"/>
    </row>
    <row r="72" spans="1:22" ht="57.75" customHeight="1" x14ac:dyDescent="0.25">
      <c r="A72" s="8"/>
      <c r="B72" s="8"/>
      <c r="C72" s="11"/>
      <c r="D72" s="8"/>
      <c r="E72" s="8"/>
      <c r="F72" s="8"/>
      <c r="G72" s="8"/>
      <c r="H72" s="8"/>
      <c r="I72" s="8"/>
      <c r="J72" s="8"/>
      <c r="K72" s="8"/>
      <c r="L72" s="8"/>
      <c r="M72" s="8"/>
      <c r="N72" s="9"/>
      <c r="O72" s="9"/>
      <c r="P72" s="9"/>
      <c r="Q72" s="9"/>
      <c r="R72" s="9"/>
      <c r="S72" s="9"/>
      <c r="T72" s="9"/>
      <c r="U72" s="9"/>
    </row>
    <row r="73" spans="1:22" ht="57.75" customHeight="1" x14ac:dyDescent="0.25">
      <c r="A73" s="8"/>
      <c r="B73" s="8"/>
      <c r="C73" s="11"/>
      <c r="D73" s="8"/>
      <c r="E73" s="8"/>
      <c r="F73" s="8"/>
      <c r="G73" s="8"/>
      <c r="H73" s="8"/>
      <c r="I73" s="8"/>
      <c r="J73" s="8"/>
      <c r="K73" s="8"/>
      <c r="L73" s="8"/>
      <c r="M73" s="8"/>
      <c r="N73" s="9"/>
      <c r="O73" s="9"/>
      <c r="P73" s="9"/>
      <c r="Q73" s="9"/>
      <c r="R73" s="9"/>
      <c r="S73" s="9"/>
      <c r="T73" s="9"/>
      <c r="U73" s="9"/>
    </row>
    <row r="74" spans="1:22" ht="57.75" customHeight="1" x14ac:dyDescent="0.25">
      <c r="A74" s="8"/>
      <c r="B74" s="8"/>
      <c r="C74" s="11"/>
      <c r="D74" s="8"/>
      <c r="E74" s="8"/>
      <c r="F74" s="8"/>
      <c r="G74" s="8"/>
      <c r="H74" s="8"/>
      <c r="I74" s="8"/>
      <c r="J74" s="8"/>
      <c r="K74" s="8"/>
      <c r="L74" s="8"/>
      <c r="M74" s="8"/>
      <c r="N74" s="9"/>
      <c r="O74" s="9"/>
      <c r="P74" s="9"/>
      <c r="Q74" s="9"/>
      <c r="R74" s="9"/>
      <c r="S74" s="9"/>
      <c r="T74" s="9"/>
      <c r="U74" s="9"/>
    </row>
    <row r="75" spans="1:22" ht="57.75" customHeight="1" x14ac:dyDescent="0.25">
      <c r="A75" s="8"/>
      <c r="B75" s="8"/>
      <c r="C75" s="11"/>
      <c r="D75" s="8"/>
      <c r="E75" s="8"/>
      <c r="F75" s="8"/>
      <c r="G75" s="8"/>
      <c r="H75" s="8"/>
      <c r="I75" s="8"/>
      <c r="J75" s="8"/>
      <c r="K75" s="8"/>
      <c r="L75" s="8"/>
      <c r="M75" s="8"/>
      <c r="N75" s="9"/>
      <c r="O75" s="9"/>
      <c r="P75" s="9"/>
      <c r="Q75" s="9"/>
      <c r="R75" s="9"/>
      <c r="S75" s="9"/>
      <c r="T75" s="9"/>
      <c r="U75" s="9"/>
    </row>
    <row r="76" spans="1:22" ht="57.75" customHeight="1" x14ac:dyDescent="0.25">
      <c r="A76" s="8"/>
      <c r="B76" s="8"/>
      <c r="C76" s="11"/>
      <c r="D76" s="8"/>
      <c r="E76" s="8"/>
      <c r="F76" s="8"/>
      <c r="G76" s="8"/>
      <c r="H76" s="8"/>
      <c r="I76" s="8"/>
      <c r="J76" s="8"/>
      <c r="K76" s="8"/>
      <c r="L76" s="8"/>
      <c r="M76" s="8"/>
      <c r="N76" s="9"/>
      <c r="O76" s="9"/>
      <c r="P76" s="9"/>
      <c r="Q76" s="9"/>
      <c r="R76" s="9"/>
      <c r="S76" s="9"/>
      <c r="T76" s="9"/>
      <c r="U76" s="9"/>
    </row>
    <row r="77" spans="1:22" ht="57.75" customHeight="1" x14ac:dyDescent="0.25">
      <c r="A77" s="8"/>
      <c r="B77" s="8"/>
      <c r="C77" s="11"/>
      <c r="D77" s="8"/>
      <c r="E77" s="8"/>
      <c r="F77" s="8"/>
      <c r="G77" s="8"/>
      <c r="H77" s="8"/>
      <c r="I77" s="8"/>
      <c r="J77" s="8"/>
      <c r="K77" s="8"/>
      <c r="L77" s="8"/>
      <c r="M77" s="8"/>
      <c r="N77" s="9"/>
      <c r="O77" s="9"/>
      <c r="P77" s="9"/>
      <c r="Q77" s="9"/>
      <c r="R77" s="9"/>
      <c r="S77" s="9"/>
      <c r="T77" s="9"/>
      <c r="U77" s="9"/>
    </row>
    <row r="78" spans="1:22" ht="57.75" customHeight="1" x14ac:dyDescent="0.25">
      <c r="A78" s="8"/>
      <c r="B78" s="8"/>
      <c r="C78" s="11"/>
      <c r="D78" s="8"/>
      <c r="E78" s="8"/>
      <c r="F78" s="8"/>
      <c r="G78" s="8"/>
      <c r="H78" s="8"/>
      <c r="I78" s="8"/>
      <c r="J78" s="8"/>
      <c r="K78" s="8"/>
      <c r="L78" s="8"/>
      <c r="M78" s="8"/>
      <c r="N78" s="9"/>
      <c r="O78" s="9"/>
      <c r="P78" s="9"/>
      <c r="Q78" s="9"/>
      <c r="R78" s="9"/>
      <c r="S78" s="9"/>
      <c r="T78" s="9"/>
      <c r="U78" s="9"/>
    </row>
    <row r="79" spans="1:22" ht="57.75" customHeight="1" x14ac:dyDescent="0.25">
      <c r="A79" s="8"/>
      <c r="B79" s="8"/>
      <c r="C79" s="11"/>
      <c r="D79" s="8"/>
      <c r="E79" s="8"/>
      <c r="F79" s="8"/>
      <c r="G79" s="8"/>
      <c r="H79" s="8"/>
      <c r="I79" s="8"/>
      <c r="J79" s="8"/>
      <c r="K79" s="8"/>
      <c r="L79" s="8"/>
      <c r="M79" s="8"/>
      <c r="N79" s="9"/>
      <c r="O79" s="9"/>
      <c r="P79" s="9"/>
      <c r="Q79" s="9"/>
      <c r="R79" s="9"/>
      <c r="S79" s="9"/>
      <c r="T79" s="9"/>
      <c r="U79" s="9"/>
    </row>
    <row r="80" spans="1:22" ht="57.75" customHeight="1" x14ac:dyDescent="0.25">
      <c r="A80" s="8"/>
      <c r="B80" s="8"/>
      <c r="C80" s="11"/>
      <c r="D80" s="8"/>
      <c r="E80" s="8"/>
      <c r="F80" s="8"/>
      <c r="G80" s="8"/>
      <c r="H80" s="8"/>
      <c r="I80" s="8"/>
      <c r="J80" s="8"/>
      <c r="K80" s="8"/>
      <c r="L80" s="8"/>
      <c r="M80" s="8"/>
      <c r="N80" s="9"/>
      <c r="O80" s="9"/>
      <c r="P80" s="9"/>
      <c r="Q80" s="9"/>
      <c r="R80" s="9"/>
      <c r="S80" s="9"/>
      <c r="T80" s="9"/>
      <c r="U80" s="9"/>
    </row>
    <row r="81" spans="1:21" ht="57.75" customHeight="1" x14ac:dyDescent="0.25">
      <c r="A81" s="8"/>
      <c r="B81" s="8"/>
      <c r="C81" s="11"/>
      <c r="D81" s="8"/>
      <c r="E81" s="8"/>
      <c r="F81" s="8"/>
      <c r="G81" s="8"/>
      <c r="H81" s="8"/>
      <c r="I81" s="8"/>
      <c r="J81" s="8"/>
      <c r="K81" s="8"/>
      <c r="L81" s="8"/>
      <c r="M81" s="8"/>
      <c r="N81" s="9"/>
      <c r="O81" s="9"/>
      <c r="P81" s="9"/>
      <c r="Q81" s="9"/>
      <c r="R81" s="9"/>
      <c r="S81" s="9"/>
      <c r="T81" s="9"/>
      <c r="U81" s="9"/>
    </row>
    <row r="82" spans="1:21" ht="57.75" customHeight="1" x14ac:dyDescent="0.25">
      <c r="A82" s="8"/>
      <c r="B82" s="8"/>
      <c r="C82" s="11"/>
      <c r="D82" s="8"/>
      <c r="E82" s="8"/>
      <c r="F82" s="8"/>
      <c r="G82" s="8"/>
      <c r="H82" s="8"/>
      <c r="I82" s="8"/>
      <c r="J82" s="8"/>
      <c r="K82" s="8"/>
      <c r="L82" s="8"/>
      <c r="M82" s="8"/>
      <c r="N82" s="9"/>
      <c r="O82" s="9"/>
      <c r="P82" s="9"/>
      <c r="Q82" s="9"/>
      <c r="R82" s="9"/>
      <c r="S82" s="9"/>
      <c r="T82" s="9"/>
      <c r="U82" s="9"/>
    </row>
    <row r="83" spans="1:21" ht="57.75" customHeight="1" x14ac:dyDescent="0.25">
      <c r="A83" s="8"/>
      <c r="B83" s="8"/>
      <c r="C83" s="11"/>
      <c r="D83" s="8"/>
      <c r="E83" s="8"/>
      <c r="F83" s="8"/>
      <c r="G83" s="8"/>
      <c r="H83" s="8"/>
      <c r="I83" s="8"/>
      <c r="J83" s="8"/>
      <c r="K83" s="8"/>
      <c r="L83" s="8"/>
      <c r="M83" s="8"/>
      <c r="N83" s="9"/>
      <c r="O83" s="9"/>
      <c r="P83" s="9"/>
      <c r="Q83" s="9"/>
      <c r="R83" s="9"/>
      <c r="S83" s="9"/>
      <c r="T83" s="9"/>
      <c r="U83" s="9"/>
    </row>
    <row r="84" spans="1:21" ht="57.75" customHeight="1" x14ac:dyDescent="0.25">
      <c r="A84" s="8"/>
      <c r="B84" s="8"/>
      <c r="C84" s="11"/>
      <c r="D84" s="8"/>
      <c r="E84" s="8"/>
      <c r="F84" s="8"/>
      <c r="G84" s="8"/>
      <c r="H84" s="8"/>
      <c r="I84" s="8"/>
      <c r="J84" s="8"/>
      <c r="K84" s="8"/>
      <c r="L84" s="8"/>
      <c r="M84" s="8"/>
      <c r="N84" s="9"/>
      <c r="O84" s="9"/>
      <c r="P84" s="9"/>
      <c r="Q84" s="9"/>
      <c r="R84" s="9"/>
      <c r="S84" s="9"/>
      <c r="T84" s="9"/>
      <c r="U84" s="9"/>
    </row>
    <row r="85" spans="1:21" ht="57.75" customHeight="1" x14ac:dyDescent="0.25">
      <c r="A85" s="8"/>
      <c r="B85" s="8"/>
      <c r="C85" s="11"/>
      <c r="D85" s="8"/>
      <c r="E85" s="8"/>
      <c r="F85" s="8"/>
      <c r="G85" s="8"/>
      <c r="H85" s="8"/>
      <c r="I85" s="8"/>
      <c r="J85" s="8"/>
      <c r="K85" s="8"/>
      <c r="L85" s="8"/>
      <c r="M85" s="8"/>
      <c r="N85" s="9"/>
      <c r="O85" s="9"/>
      <c r="P85" s="9"/>
      <c r="Q85" s="9"/>
      <c r="R85" s="9"/>
      <c r="S85" s="9"/>
      <c r="T85" s="9"/>
      <c r="U85" s="9"/>
    </row>
    <row r="86" spans="1:21" ht="57.75" customHeight="1" x14ac:dyDescent="0.25">
      <c r="A86" s="8"/>
      <c r="B86" s="8"/>
      <c r="C86" s="11"/>
      <c r="D86" s="8"/>
      <c r="E86" s="8"/>
      <c r="F86" s="8"/>
      <c r="G86" s="8"/>
      <c r="H86" s="8"/>
      <c r="I86" s="8"/>
      <c r="J86" s="8"/>
      <c r="K86" s="8"/>
      <c r="L86" s="8"/>
      <c r="M86" s="8"/>
      <c r="N86" s="9"/>
      <c r="O86" s="9"/>
      <c r="P86" s="9"/>
      <c r="Q86" s="9"/>
      <c r="R86" s="9"/>
      <c r="S86" s="9"/>
      <c r="T86" s="9"/>
      <c r="U86" s="9"/>
    </row>
    <row r="87" spans="1:21" ht="57.75" customHeight="1" x14ac:dyDescent="0.25">
      <c r="A87" s="8"/>
      <c r="B87" s="8"/>
      <c r="C87" s="11"/>
      <c r="D87" s="8"/>
      <c r="E87" s="8"/>
      <c r="F87" s="8"/>
      <c r="G87" s="8"/>
      <c r="H87" s="8"/>
      <c r="I87" s="8"/>
      <c r="J87" s="8"/>
      <c r="K87" s="8"/>
      <c r="L87" s="8"/>
      <c r="M87" s="8"/>
      <c r="N87" s="9"/>
      <c r="O87" s="9"/>
      <c r="P87" s="9"/>
      <c r="Q87" s="9"/>
      <c r="R87" s="9"/>
      <c r="S87" s="9"/>
      <c r="T87" s="9"/>
      <c r="U87" s="9"/>
    </row>
    <row r="88" spans="1:21" ht="57.75" customHeight="1" x14ac:dyDescent="0.25">
      <c r="A88" s="8"/>
      <c r="B88" s="8"/>
      <c r="C88" s="11"/>
      <c r="D88" s="8"/>
      <c r="E88" s="8"/>
      <c r="F88" s="8"/>
      <c r="G88" s="8"/>
      <c r="H88" s="8"/>
      <c r="I88" s="8"/>
      <c r="J88" s="8"/>
      <c r="K88" s="8"/>
      <c r="L88" s="8"/>
      <c r="M88" s="8"/>
      <c r="N88" s="9"/>
      <c r="O88" s="9"/>
      <c r="P88" s="9"/>
      <c r="Q88" s="9"/>
      <c r="R88" s="9"/>
      <c r="S88" s="9"/>
      <c r="T88" s="9"/>
      <c r="U88" s="9"/>
    </row>
    <row r="89" spans="1:21" ht="57.75" customHeight="1" x14ac:dyDescent="0.25">
      <c r="A89" s="8"/>
      <c r="B89" s="8"/>
      <c r="C89" s="11"/>
      <c r="D89" s="8"/>
      <c r="E89" s="8"/>
      <c r="F89" s="8"/>
      <c r="G89" s="8"/>
      <c r="H89" s="8"/>
      <c r="I89" s="8"/>
      <c r="J89" s="8"/>
      <c r="K89" s="8"/>
      <c r="L89" s="8"/>
      <c r="M89" s="8"/>
      <c r="N89" s="9"/>
      <c r="O89" s="9"/>
      <c r="P89" s="9"/>
      <c r="Q89" s="9"/>
      <c r="R89" s="9"/>
      <c r="S89" s="9"/>
      <c r="T89" s="9"/>
      <c r="U89" s="9"/>
    </row>
    <row r="90" spans="1:21" ht="57.75" customHeight="1" x14ac:dyDescent="0.25">
      <c r="A90" s="8"/>
      <c r="B90" s="8"/>
      <c r="C90" s="11"/>
      <c r="D90" s="8"/>
      <c r="E90" s="8"/>
      <c r="F90" s="8"/>
      <c r="G90" s="8"/>
      <c r="H90" s="8"/>
      <c r="I90" s="8"/>
      <c r="J90" s="8"/>
      <c r="K90" s="8"/>
      <c r="L90" s="8"/>
      <c r="M90" s="8"/>
      <c r="N90" s="9"/>
      <c r="O90" s="9"/>
      <c r="P90" s="9"/>
      <c r="Q90" s="9"/>
      <c r="R90" s="9"/>
      <c r="S90" s="9"/>
      <c r="T90" s="9"/>
      <c r="U90" s="9"/>
    </row>
    <row r="91" spans="1:21" ht="57.75" customHeight="1" x14ac:dyDescent="0.25">
      <c r="A91" s="8"/>
      <c r="B91" s="8"/>
      <c r="C91" s="11"/>
      <c r="D91" s="8"/>
      <c r="E91" s="8"/>
      <c r="F91" s="8"/>
      <c r="G91" s="8"/>
      <c r="H91" s="8"/>
      <c r="I91" s="8"/>
      <c r="J91" s="8"/>
      <c r="K91" s="8"/>
      <c r="L91" s="8"/>
      <c r="M91" s="8"/>
      <c r="N91" s="9"/>
      <c r="O91" s="9"/>
      <c r="P91" s="9"/>
      <c r="Q91" s="9"/>
      <c r="R91" s="9"/>
      <c r="S91" s="9"/>
      <c r="T91" s="9"/>
      <c r="U91" s="9"/>
    </row>
    <row r="92" spans="1:21" ht="57.75" customHeight="1" x14ac:dyDescent="0.25">
      <c r="A92" s="8"/>
      <c r="B92" s="8"/>
      <c r="C92" s="11"/>
      <c r="D92" s="8"/>
      <c r="E92" s="8"/>
      <c r="F92" s="8"/>
      <c r="G92" s="8"/>
      <c r="H92" s="8"/>
      <c r="I92" s="8"/>
      <c r="J92" s="8"/>
      <c r="K92" s="8"/>
      <c r="L92" s="8"/>
      <c r="M92" s="8"/>
      <c r="N92" s="9"/>
      <c r="O92" s="9"/>
      <c r="P92" s="9"/>
      <c r="Q92" s="9"/>
      <c r="R92" s="9"/>
      <c r="S92" s="9"/>
      <c r="T92" s="9"/>
      <c r="U92" s="9"/>
    </row>
    <row r="93" spans="1:21" ht="57.75" customHeight="1" x14ac:dyDescent="0.25">
      <c r="A93" s="8"/>
      <c r="B93" s="8"/>
      <c r="C93" s="11"/>
      <c r="D93" s="8"/>
      <c r="E93" s="8"/>
      <c r="F93" s="8"/>
      <c r="G93" s="8"/>
      <c r="H93" s="8"/>
      <c r="I93" s="8"/>
      <c r="J93" s="8"/>
      <c r="K93" s="8"/>
      <c r="L93" s="8"/>
      <c r="M93" s="8"/>
      <c r="N93" s="9"/>
      <c r="O93" s="9"/>
      <c r="P93" s="9"/>
      <c r="Q93" s="9"/>
      <c r="R93" s="9"/>
      <c r="S93" s="9"/>
      <c r="T93" s="9"/>
      <c r="U93" s="9"/>
    </row>
    <row r="94" spans="1:21" ht="57.75" customHeight="1" x14ac:dyDescent="0.25">
      <c r="A94" s="8"/>
      <c r="B94" s="8"/>
      <c r="C94" s="11"/>
      <c r="D94" s="8"/>
      <c r="E94" s="8"/>
      <c r="F94" s="8"/>
      <c r="G94" s="8"/>
      <c r="H94" s="8"/>
      <c r="I94" s="8"/>
      <c r="J94" s="8"/>
      <c r="K94" s="8"/>
      <c r="L94" s="8"/>
      <c r="M94" s="8"/>
      <c r="N94" s="9"/>
      <c r="O94" s="9"/>
      <c r="P94" s="9"/>
      <c r="Q94" s="9"/>
      <c r="R94" s="9"/>
      <c r="S94" s="9"/>
      <c r="T94" s="9"/>
      <c r="U94" s="9"/>
    </row>
    <row r="95" spans="1:21" ht="57.75" customHeight="1" x14ac:dyDescent="0.25">
      <c r="A95" s="8"/>
      <c r="B95" s="8"/>
      <c r="C95" s="11"/>
      <c r="D95" s="8"/>
      <c r="E95" s="8"/>
      <c r="F95" s="8"/>
      <c r="G95" s="8"/>
      <c r="H95" s="8"/>
      <c r="I95" s="8"/>
      <c r="J95" s="8"/>
      <c r="K95" s="8"/>
      <c r="L95" s="8"/>
      <c r="M95" s="8"/>
      <c r="N95" s="9"/>
      <c r="O95" s="9"/>
      <c r="P95" s="9"/>
      <c r="Q95" s="9"/>
      <c r="R95" s="9"/>
      <c r="S95" s="9"/>
      <c r="T95" s="9"/>
      <c r="U95" s="9"/>
    </row>
    <row r="96" spans="1:21" ht="57.75" customHeight="1" x14ac:dyDescent="0.25">
      <c r="A96" s="8"/>
      <c r="B96" s="8"/>
      <c r="C96" s="11"/>
      <c r="D96" s="8"/>
      <c r="E96" s="8"/>
      <c r="F96" s="8"/>
      <c r="G96" s="8"/>
      <c r="H96" s="8"/>
      <c r="I96" s="8"/>
      <c r="J96" s="8"/>
      <c r="K96" s="8"/>
      <c r="L96" s="8"/>
      <c r="M96" s="8"/>
      <c r="N96" s="9"/>
      <c r="O96" s="9"/>
      <c r="P96" s="9"/>
      <c r="Q96" s="9"/>
      <c r="R96" s="9"/>
      <c r="S96" s="9"/>
      <c r="T96" s="9"/>
      <c r="U96" s="9"/>
    </row>
    <row r="97" spans="1:21" ht="57.75" customHeight="1" x14ac:dyDescent="0.25">
      <c r="A97" s="8"/>
      <c r="B97" s="8"/>
      <c r="C97" s="11"/>
      <c r="D97" s="8"/>
      <c r="E97" s="8"/>
      <c r="F97" s="8"/>
      <c r="G97" s="8"/>
      <c r="H97" s="8"/>
      <c r="I97" s="8"/>
      <c r="J97" s="8"/>
      <c r="K97" s="8"/>
      <c r="L97" s="8"/>
      <c r="M97" s="8"/>
      <c r="N97" s="9"/>
      <c r="O97" s="9"/>
      <c r="P97" s="9"/>
      <c r="Q97" s="9"/>
      <c r="R97" s="9"/>
      <c r="S97" s="9"/>
      <c r="T97" s="9"/>
      <c r="U97" s="9"/>
    </row>
    <row r="98" spans="1:21" ht="57.75" customHeight="1" x14ac:dyDescent="0.25">
      <c r="A98" s="8"/>
      <c r="B98" s="8"/>
      <c r="C98" s="11"/>
      <c r="D98" s="8"/>
      <c r="E98" s="8"/>
      <c r="F98" s="8"/>
      <c r="G98" s="8"/>
      <c r="H98" s="8"/>
      <c r="I98" s="8"/>
      <c r="J98" s="8"/>
      <c r="K98" s="8"/>
      <c r="L98" s="8"/>
      <c r="M98" s="8"/>
      <c r="N98" s="9"/>
      <c r="O98" s="9"/>
      <c r="P98" s="9"/>
      <c r="Q98" s="9"/>
      <c r="R98" s="9"/>
      <c r="S98" s="9"/>
      <c r="T98" s="9"/>
      <c r="U98" s="9"/>
    </row>
    <row r="99" spans="1:21" ht="57.75" customHeight="1" x14ac:dyDescent="0.25">
      <c r="A99" s="8"/>
      <c r="B99" s="8"/>
      <c r="C99" s="11"/>
      <c r="D99" s="8"/>
      <c r="E99" s="8"/>
      <c r="F99" s="8"/>
      <c r="G99" s="8"/>
      <c r="H99" s="8"/>
      <c r="I99" s="8"/>
      <c r="J99" s="8"/>
      <c r="K99" s="8"/>
      <c r="L99" s="8"/>
      <c r="M99" s="8"/>
      <c r="N99" s="9"/>
      <c r="O99" s="9"/>
      <c r="P99" s="9"/>
      <c r="Q99" s="9"/>
      <c r="R99" s="9"/>
      <c r="S99" s="9"/>
      <c r="T99" s="9"/>
      <c r="U99" s="9"/>
    </row>
    <row r="100" spans="1:21" ht="57.75" customHeight="1" x14ac:dyDescent="0.25">
      <c r="A100" s="8"/>
      <c r="B100" s="8"/>
      <c r="C100" s="11"/>
      <c r="D100" s="8"/>
      <c r="E100" s="8"/>
      <c r="F100" s="8"/>
      <c r="G100" s="8"/>
      <c r="H100" s="8"/>
      <c r="I100" s="8"/>
      <c r="J100" s="8"/>
      <c r="K100" s="8"/>
      <c r="L100" s="8"/>
      <c r="M100" s="8"/>
      <c r="N100" s="9"/>
      <c r="O100" s="9"/>
      <c r="P100" s="9"/>
      <c r="Q100" s="9"/>
      <c r="R100" s="9"/>
      <c r="S100" s="9"/>
      <c r="T100" s="9"/>
      <c r="U100" s="9"/>
    </row>
    <row r="101" spans="1:21" ht="57.75" customHeight="1" x14ac:dyDescent="0.25">
      <c r="A101" s="8"/>
      <c r="B101" s="8"/>
      <c r="C101" s="11"/>
      <c r="D101" s="8"/>
      <c r="E101" s="8"/>
      <c r="F101" s="8"/>
      <c r="G101" s="8"/>
      <c r="H101" s="8"/>
      <c r="I101" s="8"/>
      <c r="J101" s="8"/>
      <c r="K101" s="8"/>
      <c r="L101" s="8"/>
      <c r="M101" s="8"/>
      <c r="N101" s="9"/>
      <c r="O101" s="9"/>
      <c r="P101" s="9"/>
      <c r="Q101" s="9"/>
      <c r="R101" s="9"/>
      <c r="S101" s="9"/>
      <c r="T101" s="9"/>
      <c r="U101" s="9"/>
    </row>
    <row r="102" spans="1:21" ht="57.75" customHeight="1" x14ac:dyDescent="0.25">
      <c r="A102" s="8"/>
      <c r="B102" s="8"/>
      <c r="C102" s="11"/>
      <c r="D102" s="8"/>
      <c r="E102" s="8"/>
      <c r="F102" s="8"/>
      <c r="G102" s="8"/>
      <c r="H102" s="8"/>
      <c r="I102" s="8"/>
      <c r="J102" s="8"/>
      <c r="K102" s="8"/>
      <c r="L102" s="8"/>
      <c r="M102" s="8"/>
      <c r="N102" s="9"/>
      <c r="O102" s="9"/>
      <c r="P102" s="9"/>
      <c r="Q102" s="9"/>
      <c r="R102" s="9"/>
      <c r="S102" s="9"/>
      <c r="T102" s="9"/>
      <c r="U102" s="9"/>
    </row>
    <row r="103" spans="1:21" ht="57.75" customHeight="1" x14ac:dyDescent="0.25">
      <c r="A103" s="8"/>
      <c r="B103" s="8"/>
      <c r="C103" s="11"/>
      <c r="D103" s="8"/>
      <c r="E103" s="8"/>
      <c r="F103" s="8"/>
      <c r="G103" s="8"/>
      <c r="H103" s="8"/>
      <c r="I103" s="8"/>
      <c r="J103" s="8"/>
      <c r="K103" s="8"/>
      <c r="L103" s="8"/>
      <c r="M103" s="8"/>
      <c r="N103" s="9"/>
      <c r="O103" s="9"/>
      <c r="P103" s="9"/>
      <c r="Q103" s="9"/>
      <c r="R103" s="9"/>
      <c r="S103" s="9"/>
      <c r="T103" s="9"/>
      <c r="U103" s="9"/>
    </row>
    <row r="104" spans="1:21" ht="57.75" customHeight="1" x14ac:dyDescent="0.25">
      <c r="A104" s="8"/>
      <c r="B104" s="8"/>
      <c r="C104" s="11"/>
      <c r="D104" s="8"/>
      <c r="E104" s="8"/>
      <c r="F104" s="8"/>
      <c r="G104" s="8"/>
      <c r="H104" s="8"/>
      <c r="I104" s="8"/>
      <c r="J104" s="8"/>
      <c r="K104" s="8"/>
      <c r="L104" s="8"/>
      <c r="M104" s="8"/>
      <c r="N104" s="9"/>
      <c r="O104" s="9"/>
      <c r="P104" s="9"/>
      <c r="Q104" s="9"/>
      <c r="R104" s="9"/>
      <c r="S104" s="9"/>
      <c r="T104" s="9"/>
      <c r="U104" s="9"/>
    </row>
    <row r="105" spans="1:21" ht="57.75" customHeight="1" x14ac:dyDescent="0.25">
      <c r="A105" s="8"/>
      <c r="B105" s="8"/>
      <c r="C105" s="11"/>
      <c r="D105" s="8"/>
      <c r="E105" s="8"/>
      <c r="F105" s="8"/>
      <c r="G105" s="8"/>
      <c r="H105" s="8"/>
      <c r="I105" s="8"/>
      <c r="J105" s="8"/>
      <c r="K105" s="8"/>
      <c r="L105" s="8"/>
      <c r="M105" s="8"/>
      <c r="N105" s="9"/>
      <c r="O105" s="9"/>
      <c r="P105" s="9"/>
      <c r="Q105" s="9"/>
      <c r="R105" s="9"/>
      <c r="S105" s="9"/>
      <c r="T105" s="9"/>
      <c r="U105" s="9"/>
    </row>
    <row r="106" spans="1:21" ht="57.75" customHeight="1" x14ac:dyDescent="0.25">
      <c r="A106" s="8"/>
      <c r="B106" s="8"/>
      <c r="C106" s="11"/>
      <c r="D106" s="8"/>
      <c r="E106" s="8"/>
      <c r="F106" s="8"/>
      <c r="G106" s="8"/>
      <c r="H106" s="8"/>
      <c r="I106" s="8"/>
      <c r="J106" s="8"/>
      <c r="K106" s="8"/>
      <c r="L106" s="8"/>
      <c r="M106" s="8"/>
      <c r="N106" s="9"/>
      <c r="O106" s="9"/>
      <c r="P106" s="9"/>
      <c r="Q106" s="9"/>
      <c r="R106" s="9"/>
      <c r="S106" s="9"/>
      <c r="T106" s="9"/>
      <c r="U106" s="9"/>
    </row>
    <row r="107" spans="1:21" ht="57.75" customHeight="1" x14ac:dyDescent="0.25">
      <c r="A107" s="8"/>
      <c r="B107" s="8"/>
      <c r="C107" s="11"/>
      <c r="D107" s="8"/>
      <c r="E107" s="8"/>
      <c r="F107" s="8"/>
      <c r="G107" s="8"/>
      <c r="H107" s="8"/>
      <c r="I107" s="8"/>
      <c r="J107" s="8"/>
      <c r="K107" s="8"/>
      <c r="L107" s="8"/>
      <c r="M107" s="8"/>
      <c r="N107" s="9"/>
      <c r="O107" s="9"/>
      <c r="P107" s="9"/>
      <c r="Q107" s="9"/>
      <c r="R107" s="9"/>
      <c r="S107" s="9"/>
      <c r="T107" s="9"/>
      <c r="U107" s="9"/>
    </row>
    <row r="108" spans="1:21" ht="57.75" customHeight="1" x14ac:dyDescent="0.25">
      <c r="A108" s="8"/>
      <c r="B108" s="8"/>
      <c r="C108" s="11"/>
      <c r="D108" s="8"/>
      <c r="E108" s="8"/>
      <c r="F108" s="8"/>
      <c r="G108" s="8"/>
      <c r="H108" s="8"/>
      <c r="I108" s="8"/>
      <c r="J108" s="8"/>
      <c r="K108" s="8"/>
      <c r="L108" s="8"/>
      <c r="M108" s="8"/>
      <c r="N108" s="9"/>
      <c r="O108" s="9"/>
      <c r="P108" s="9"/>
      <c r="Q108" s="9"/>
      <c r="R108" s="9"/>
      <c r="S108" s="9"/>
      <c r="T108" s="9"/>
      <c r="U108" s="9"/>
    </row>
    <row r="109" spans="1:21" ht="57.75" customHeight="1" x14ac:dyDescent="0.25">
      <c r="A109" s="8"/>
      <c r="B109" s="8"/>
      <c r="C109" s="11"/>
      <c r="D109" s="8"/>
      <c r="E109" s="8"/>
      <c r="F109" s="8"/>
      <c r="G109" s="8"/>
      <c r="H109" s="8"/>
      <c r="I109" s="8"/>
      <c r="J109" s="8"/>
      <c r="K109" s="8"/>
      <c r="L109" s="8"/>
      <c r="M109" s="8"/>
      <c r="N109" s="9"/>
      <c r="O109" s="9"/>
      <c r="P109" s="9"/>
      <c r="Q109" s="9"/>
      <c r="R109" s="9"/>
      <c r="S109" s="9"/>
      <c r="T109" s="9"/>
      <c r="U109" s="9"/>
    </row>
    <row r="110" spans="1:21" ht="57.75" customHeight="1" x14ac:dyDescent="0.25">
      <c r="A110" s="8"/>
      <c r="B110" s="8"/>
      <c r="C110" s="11"/>
      <c r="D110" s="8"/>
      <c r="E110" s="8"/>
      <c r="F110" s="8"/>
      <c r="G110" s="8"/>
      <c r="H110" s="8"/>
      <c r="I110" s="8"/>
      <c r="J110" s="8"/>
      <c r="K110" s="8"/>
      <c r="L110" s="8"/>
      <c r="M110" s="8"/>
      <c r="N110" s="9"/>
      <c r="O110" s="9"/>
      <c r="P110" s="9"/>
      <c r="Q110" s="9"/>
      <c r="R110" s="9"/>
      <c r="S110" s="9"/>
      <c r="T110" s="9"/>
      <c r="U110" s="9"/>
    </row>
    <row r="111" spans="1:21" ht="57.75" customHeight="1" x14ac:dyDescent="0.25">
      <c r="A111" s="8"/>
      <c r="B111" s="8"/>
      <c r="C111" s="11"/>
      <c r="D111" s="8"/>
      <c r="E111" s="8"/>
      <c r="F111" s="8"/>
      <c r="G111" s="8"/>
      <c r="H111" s="8"/>
      <c r="I111" s="8"/>
      <c r="J111" s="8"/>
      <c r="K111" s="8"/>
      <c r="L111" s="8"/>
      <c r="M111" s="8"/>
      <c r="N111" s="9"/>
      <c r="O111" s="9"/>
      <c r="P111" s="9"/>
      <c r="Q111" s="9"/>
      <c r="R111" s="9"/>
      <c r="S111" s="9"/>
      <c r="T111" s="9"/>
      <c r="U111" s="9"/>
    </row>
    <row r="112" spans="1:21" ht="57.75" customHeight="1" x14ac:dyDescent="0.25">
      <c r="A112" s="8"/>
      <c r="B112" s="8"/>
      <c r="C112" s="11"/>
      <c r="D112" s="8"/>
      <c r="E112" s="8"/>
      <c r="F112" s="8"/>
      <c r="G112" s="8"/>
      <c r="H112" s="8"/>
      <c r="I112" s="8"/>
      <c r="J112" s="8"/>
      <c r="K112" s="8"/>
      <c r="L112" s="8"/>
      <c r="M112" s="8"/>
      <c r="N112" s="9"/>
      <c r="O112" s="9"/>
      <c r="P112" s="9"/>
      <c r="Q112" s="9"/>
      <c r="R112" s="9"/>
      <c r="S112" s="9"/>
      <c r="T112" s="9"/>
      <c r="U112" s="9"/>
    </row>
    <row r="113" spans="1:21" ht="57.75" customHeight="1" x14ac:dyDescent="0.25">
      <c r="A113" s="8"/>
      <c r="B113" s="8"/>
      <c r="C113" s="11"/>
      <c r="D113" s="8"/>
      <c r="E113" s="8"/>
      <c r="F113" s="8"/>
      <c r="G113" s="8"/>
      <c r="H113" s="8"/>
      <c r="I113" s="8"/>
      <c r="J113" s="8"/>
      <c r="K113" s="8"/>
      <c r="L113" s="8"/>
      <c r="M113" s="8"/>
      <c r="N113" s="9"/>
      <c r="O113" s="9"/>
      <c r="P113" s="9"/>
      <c r="Q113" s="9"/>
      <c r="R113" s="9"/>
      <c r="S113" s="9"/>
      <c r="T113" s="9"/>
      <c r="U113" s="9"/>
    </row>
    <row r="114" spans="1:21" ht="57.75" customHeight="1" x14ac:dyDescent="0.25">
      <c r="A114" s="8"/>
      <c r="B114" s="8"/>
      <c r="C114" s="11"/>
      <c r="D114" s="8"/>
      <c r="E114" s="8"/>
      <c r="F114" s="8"/>
      <c r="G114" s="8"/>
      <c r="H114" s="8"/>
      <c r="I114" s="8"/>
      <c r="J114" s="8"/>
      <c r="K114" s="8"/>
      <c r="L114" s="8"/>
      <c r="M114" s="8"/>
      <c r="N114" s="9"/>
      <c r="O114" s="9"/>
      <c r="P114" s="9"/>
      <c r="Q114" s="9"/>
      <c r="R114" s="9"/>
      <c r="S114" s="9"/>
      <c r="T114" s="9"/>
      <c r="U114" s="9"/>
    </row>
    <row r="115" spans="1:21" ht="57.75" customHeight="1" x14ac:dyDescent="0.25">
      <c r="A115" s="8"/>
      <c r="B115" s="8"/>
      <c r="C115" s="11"/>
      <c r="D115" s="8"/>
      <c r="E115" s="8"/>
      <c r="F115" s="8"/>
      <c r="G115" s="8"/>
      <c r="H115" s="8"/>
      <c r="I115" s="8"/>
      <c r="J115" s="8"/>
      <c r="K115" s="8"/>
      <c r="L115" s="8"/>
      <c r="M115" s="8"/>
      <c r="N115" s="9"/>
      <c r="O115" s="9"/>
      <c r="P115" s="9"/>
      <c r="Q115" s="9"/>
      <c r="R115" s="9"/>
      <c r="S115" s="9"/>
      <c r="T115" s="9"/>
      <c r="U115" s="9"/>
    </row>
    <row r="116" spans="1:21" ht="57.75" customHeight="1" x14ac:dyDescent="0.25">
      <c r="A116" s="8"/>
      <c r="B116" s="8"/>
      <c r="C116" s="11"/>
      <c r="D116" s="8"/>
      <c r="E116" s="8"/>
      <c r="F116" s="8"/>
      <c r="G116" s="8"/>
      <c r="H116" s="8"/>
      <c r="I116" s="8"/>
      <c r="J116" s="8"/>
      <c r="K116" s="8"/>
      <c r="L116" s="8"/>
      <c r="M116" s="8"/>
      <c r="N116" s="9"/>
      <c r="O116" s="9"/>
      <c r="P116" s="9"/>
      <c r="Q116" s="9"/>
      <c r="R116" s="9"/>
      <c r="S116" s="9"/>
      <c r="T116" s="9"/>
      <c r="U116" s="9"/>
    </row>
    <row r="117" spans="1:21" ht="57.75" customHeight="1" x14ac:dyDescent="0.25">
      <c r="A117" s="8"/>
      <c r="B117" s="8"/>
      <c r="C117" s="11"/>
      <c r="D117" s="8"/>
      <c r="E117" s="8"/>
      <c r="F117" s="8"/>
      <c r="G117" s="8"/>
      <c r="H117" s="8"/>
      <c r="I117" s="8"/>
      <c r="J117" s="8"/>
      <c r="K117" s="8"/>
      <c r="L117" s="8"/>
      <c r="M117" s="8"/>
      <c r="N117" s="9"/>
      <c r="O117" s="9"/>
      <c r="P117" s="9"/>
      <c r="Q117" s="9"/>
      <c r="R117" s="9"/>
      <c r="S117" s="9"/>
      <c r="T117" s="9"/>
      <c r="U117" s="9"/>
    </row>
    <row r="118" spans="1:21" ht="57.75" customHeight="1" x14ac:dyDescent="0.25">
      <c r="A118" s="8"/>
      <c r="B118" s="8"/>
      <c r="C118" s="11"/>
      <c r="D118" s="8"/>
      <c r="E118" s="8"/>
      <c r="F118" s="8"/>
      <c r="G118" s="8"/>
      <c r="H118" s="8"/>
      <c r="I118" s="8"/>
      <c r="J118" s="8"/>
      <c r="K118" s="8"/>
      <c r="L118" s="8"/>
      <c r="M118" s="8"/>
      <c r="N118" s="9"/>
      <c r="O118" s="9"/>
      <c r="P118" s="9"/>
      <c r="Q118" s="9"/>
      <c r="R118" s="9"/>
      <c r="S118" s="9"/>
      <c r="T118" s="9"/>
      <c r="U118" s="9"/>
    </row>
    <row r="119" spans="1:21" ht="57.75" customHeight="1" x14ac:dyDescent="0.25">
      <c r="A119" s="8"/>
      <c r="B119" s="8"/>
      <c r="C119" s="11"/>
      <c r="D119" s="8"/>
      <c r="E119" s="8"/>
      <c r="F119" s="8"/>
      <c r="G119" s="8"/>
      <c r="H119" s="8"/>
      <c r="I119" s="8"/>
      <c r="J119" s="8"/>
      <c r="K119" s="8"/>
      <c r="L119" s="8"/>
      <c r="M119" s="8"/>
      <c r="N119" s="9"/>
      <c r="O119" s="9"/>
      <c r="P119" s="9"/>
      <c r="Q119" s="9"/>
      <c r="R119" s="9"/>
      <c r="S119" s="9"/>
      <c r="T119" s="9"/>
      <c r="U119" s="9"/>
    </row>
    <row r="120" spans="1:21" ht="57.75" customHeight="1" x14ac:dyDescent="0.25">
      <c r="A120" s="8"/>
      <c r="B120" s="8"/>
      <c r="C120" s="11"/>
      <c r="D120" s="8"/>
      <c r="E120" s="8"/>
      <c r="F120" s="8"/>
      <c r="G120" s="8"/>
      <c r="H120" s="8"/>
      <c r="I120" s="8"/>
      <c r="J120" s="8"/>
      <c r="K120" s="8"/>
      <c r="L120" s="8"/>
      <c r="M120" s="8"/>
      <c r="N120" s="9"/>
      <c r="O120" s="9"/>
      <c r="P120" s="9"/>
      <c r="Q120" s="9"/>
      <c r="R120" s="9"/>
      <c r="S120" s="9"/>
      <c r="T120" s="9"/>
      <c r="U120" s="9"/>
    </row>
    <row r="121" spans="1:21" ht="57.75" customHeight="1" x14ac:dyDescent="0.25">
      <c r="C121" s="11"/>
      <c r="D121" s="8"/>
      <c r="E121" s="8"/>
      <c r="F121" s="8"/>
      <c r="G121" s="8"/>
      <c r="H121" s="8"/>
      <c r="I121" s="8"/>
      <c r="J121" s="8"/>
      <c r="K121" s="8"/>
      <c r="L121" s="8"/>
      <c r="M121" s="8"/>
      <c r="N121" s="9"/>
    </row>
    <row r="122" spans="1:21" ht="57.75" customHeight="1" x14ac:dyDescent="0.25">
      <c r="C122" s="11"/>
      <c r="D122" s="8"/>
      <c r="E122" s="8"/>
      <c r="F122" s="8"/>
      <c r="G122" s="8"/>
      <c r="H122" s="8"/>
      <c r="I122" s="8"/>
      <c r="J122" s="8"/>
      <c r="K122" s="8"/>
      <c r="L122" s="8"/>
      <c r="M122" s="8"/>
      <c r="N122" s="9"/>
    </row>
    <row r="123" spans="1:21" ht="57.75" customHeight="1" x14ac:dyDescent="0.25">
      <c r="C123" s="11"/>
      <c r="D123" s="8"/>
      <c r="E123" s="8"/>
      <c r="F123" s="8"/>
      <c r="G123" s="8"/>
      <c r="H123" s="8"/>
      <c r="I123" s="8"/>
      <c r="J123" s="8"/>
      <c r="K123" s="8"/>
      <c r="L123" s="8"/>
      <c r="M123" s="8"/>
      <c r="N123" s="9"/>
    </row>
    <row r="124" spans="1:21" ht="57.75" customHeight="1" x14ac:dyDescent="0.25">
      <c r="C124" s="11"/>
      <c r="D124" s="8"/>
      <c r="E124" s="8"/>
      <c r="F124" s="8"/>
      <c r="G124" s="8"/>
      <c r="H124" s="8"/>
      <c r="I124" s="8"/>
      <c r="J124" s="8"/>
      <c r="K124" s="8"/>
      <c r="L124" s="8"/>
      <c r="M124" s="8"/>
      <c r="N124" s="9"/>
    </row>
  </sheetData>
  <mergeCells count="184">
    <mergeCell ref="U63:U64"/>
    <mergeCell ref="V63:V64"/>
    <mergeCell ref="A65:S65"/>
    <mergeCell ref="D55:D56"/>
    <mergeCell ref="E55:E56"/>
    <mergeCell ref="U55:U56"/>
    <mergeCell ref="V55:V56"/>
    <mergeCell ref="A57:A64"/>
    <mergeCell ref="B57:B64"/>
    <mergeCell ref="C57:C58"/>
    <mergeCell ref="D57:D58"/>
    <mergeCell ref="E57:E58"/>
    <mergeCell ref="T57:T64"/>
    <mergeCell ref="U57:U58"/>
    <mergeCell ref="V57:V58"/>
    <mergeCell ref="C59:C60"/>
    <mergeCell ref="D59:D60"/>
    <mergeCell ref="E59:E60"/>
    <mergeCell ref="U59:U60"/>
    <mergeCell ref="V59:V60"/>
    <mergeCell ref="C61:C62"/>
    <mergeCell ref="D61:D62"/>
    <mergeCell ref="E61:E62"/>
    <mergeCell ref="U61:U62"/>
    <mergeCell ref="V61:V62"/>
    <mergeCell ref="C63:C64"/>
    <mergeCell ref="D63:D64"/>
    <mergeCell ref="A47:A56"/>
    <mergeCell ref="B47:B56"/>
    <mergeCell ref="C47:C48"/>
    <mergeCell ref="D47:D48"/>
    <mergeCell ref="E47:E48"/>
    <mergeCell ref="T47:T56"/>
    <mergeCell ref="U47:U48"/>
    <mergeCell ref="V47:V48"/>
    <mergeCell ref="C49:C50"/>
    <mergeCell ref="D49:D50"/>
    <mergeCell ref="E49:E50"/>
    <mergeCell ref="U49:U50"/>
    <mergeCell ref="V49:V50"/>
    <mergeCell ref="C51:C52"/>
    <mergeCell ref="D51:D52"/>
    <mergeCell ref="E51:E52"/>
    <mergeCell ref="U51:U52"/>
    <mergeCell ref="V51:V52"/>
    <mergeCell ref="C53:C54"/>
    <mergeCell ref="D53:D54"/>
    <mergeCell ref="U53:U54"/>
    <mergeCell ref="V53:V54"/>
    <mergeCell ref="C55:C56"/>
    <mergeCell ref="V41:V42"/>
    <mergeCell ref="C43:C44"/>
    <mergeCell ref="D43:D44"/>
    <mergeCell ref="E43:E44"/>
    <mergeCell ref="U43:U44"/>
    <mergeCell ref="V43:V44"/>
    <mergeCell ref="C45:C46"/>
    <mergeCell ref="D45:D46"/>
    <mergeCell ref="E45:E46"/>
    <mergeCell ref="U45:U46"/>
    <mergeCell ref="V45:V46"/>
    <mergeCell ref="A35:A38"/>
    <mergeCell ref="B35:B38"/>
    <mergeCell ref="E35:E36"/>
    <mergeCell ref="T35:T38"/>
    <mergeCell ref="V35:V36"/>
    <mergeCell ref="E37:E38"/>
    <mergeCell ref="V37:V38"/>
    <mergeCell ref="A39:A46"/>
    <mergeCell ref="B39:B46"/>
    <mergeCell ref="C39:C40"/>
    <mergeCell ref="D39:D40"/>
    <mergeCell ref="E39:E40"/>
    <mergeCell ref="T39:T46"/>
    <mergeCell ref="U39:U40"/>
    <mergeCell ref="V39:V40"/>
    <mergeCell ref="C41:C42"/>
    <mergeCell ref="D41:D42"/>
    <mergeCell ref="E41:E42"/>
    <mergeCell ref="U41:U42"/>
    <mergeCell ref="U37:U38"/>
    <mergeCell ref="D37:D38"/>
    <mergeCell ref="C35:C36"/>
    <mergeCell ref="C37:C38"/>
    <mergeCell ref="U35:U36"/>
    <mergeCell ref="A25:A34"/>
    <mergeCell ref="B25:B34"/>
    <mergeCell ref="T25:T34"/>
    <mergeCell ref="V25:V26"/>
    <mergeCell ref="U27:U28"/>
    <mergeCell ref="E31:E32"/>
    <mergeCell ref="V31:V32"/>
    <mergeCell ref="E33:E34"/>
    <mergeCell ref="V33:V34"/>
    <mergeCell ref="U29:U30"/>
    <mergeCell ref="C25:C26"/>
    <mergeCell ref="C27:C28"/>
    <mergeCell ref="E25:E26"/>
    <mergeCell ref="E27:E28"/>
    <mergeCell ref="D33:D34"/>
    <mergeCell ref="C31:C32"/>
    <mergeCell ref="C33:C34"/>
    <mergeCell ref="E29:E30"/>
    <mergeCell ref="D25:D26"/>
    <mergeCell ref="D27:D28"/>
    <mergeCell ref="A9:A18"/>
    <mergeCell ref="V15:V16"/>
    <mergeCell ref="A19:A24"/>
    <mergeCell ref="D19:D20"/>
    <mergeCell ref="U19:U20"/>
    <mergeCell ref="U21:U22"/>
    <mergeCell ref="V21:V22"/>
    <mergeCell ref="U23:U24"/>
    <mergeCell ref="V23:V24"/>
    <mergeCell ref="V9:V10"/>
    <mergeCell ref="V13:V14"/>
    <mergeCell ref="V11:V12"/>
    <mergeCell ref="E21:E22"/>
    <mergeCell ref="D23:D24"/>
    <mergeCell ref="E23:E24"/>
    <mergeCell ref="C15:C16"/>
    <mergeCell ref="C11:C12"/>
    <mergeCell ref="B19:B24"/>
    <mergeCell ref="C19:C20"/>
    <mergeCell ref="D9:D10"/>
    <mergeCell ref="E9:E10"/>
    <mergeCell ref="C21:C22"/>
    <mergeCell ref="B9:B18"/>
    <mergeCell ref="E19:E20"/>
    <mergeCell ref="C9:C10"/>
    <mergeCell ref="U9:U10"/>
    <mergeCell ref="U17:U18"/>
    <mergeCell ref="T9:T18"/>
    <mergeCell ref="U15:U16"/>
    <mergeCell ref="U11:U12"/>
    <mergeCell ref="U13:U14"/>
    <mergeCell ref="C17:C18"/>
    <mergeCell ref="D17:D18"/>
    <mergeCell ref="A1:C3"/>
    <mergeCell ref="D1:V1"/>
    <mergeCell ref="D2:V2"/>
    <mergeCell ref="C7:C8"/>
    <mergeCell ref="D7:E7"/>
    <mergeCell ref="F7:S7"/>
    <mergeCell ref="A5:C5"/>
    <mergeCell ref="D4:V4"/>
    <mergeCell ref="D5:V5"/>
    <mergeCell ref="A4:C4"/>
    <mergeCell ref="A7:A8"/>
    <mergeCell ref="B7:B8"/>
    <mergeCell ref="D3:U3"/>
    <mergeCell ref="A6:V6"/>
    <mergeCell ref="T7:U7"/>
    <mergeCell ref="V7:V8"/>
    <mergeCell ref="C23:C24"/>
    <mergeCell ref="D11:D12"/>
    <mergeCell ref="D15:D16"/>
    <mergeCell ref="C70:I70"/>
    <mergeCell ref="J70:P70"/>
    <mergeCell ref="C71:I71"/>
    <mergeCell ref="J71:P71"/>
    <mergeCell ref="E11:E12"/>
    <mergeCell ref="E13:E14"/>
    <mergeCell ref="E15:E16"/>
    <mergeCell ref="E17:E18"/>
    <mergeCell ref="C69:I69"/>
    <mergeCell ref="J69:P69"/>
    <mergeCell ref="C29:C30"/>
    <mergeCell ref="D35:D36"/>
    <mergeCell ref="C13:C14"/>
    <mergeCell ref="D13:D14"/>
    <mergeCell ref="E53:E54"/>
    <mergeCell ref="E63:E64"/>
    <mergeCell ref="D21:D22"/>
    <mergeCell ref="V17:V18"/>
    <mergeCell ref="T19:T24"/>
    <mergeCell ref="D29:D30"/>
    <mergeCell ref="D31:D32"/>
    <mergeCell ref="U25:U26"/>
    <mergeCell ref="V19:V20"/>
    <mergeCell ref="U31:U32"/>
    <mergeCell ref="U33:U34"/>
    <mergeCell ref="V27:V28"/>
    <mergeCell ref="V29:V30"/>
  </mergeCells>
  <printOptions horizontalCentered="1" verticalCentered="1"/>
  <pageMargins left="0" right="0" top="0.55118110236220474" bottom="0" header="0.31496062992125984" footer="0"/>
  <pageSetup scale="35" fitToHeight="0" orientation="landscape"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955DF7-5E78-4E32-807C-F515B61E5BCB}">
  <dimension ref="A1:AY1622"/>
  <sheetViews>
    <sheetView zoomScale="50" zoomScaleNormal="50" workbookViewId="0">
      <pane xSplit="7" ySplit="12" topLeftCell="O13" activePane="bottomRight" state="frozen"/>
      <selection activeCell="A8" sqref="A8"/>
      <selection pane="topRight" activeCell="H8" sqref="H8"/>
      <selection pane="bottomLeft" activeCell="A13" sqref="A13"/>
      <selection pane="bottomRight" activeCell="V57" sqref="V57"/>
    </sheetView>
  </sheetViews>
  <sheetFormatPr baseColWidth="10" defaultColWidth="10.7109375" defaultRowHeight="15" x14ac:dyDescent="0.25"/>
  <cols>
    <col min="2" max="2" width="23" customWidth="1"/>
    <col min="3" max="3" width="25.42578125" customWidth="1"/>
    <col min="4" max="4" width="14.7109375" customWidth="1"/>
    <col min="5" max="5" width="27.7109375" customWidth="1"/>
    <col min="6" max="6" width="29" style="249" customWidth="1"/>
    <col min="7" max="14" width="15.7109375" hidden="1" customWidth="1"/>
    <col min="15" max="15" width="35" customWidth="1"/>
    <col min="16" max="18" width="15.7109375" hidden="1" customWidth="1"/>
    <col min="19" max="19" width="23.7109375" hidden="1" customWidth="1"/>
    <col min="20" max="28" width="26.42578125" customWidth="1"/>
    <col min="29" max="29" width="15.7109375" hidden="1" customWidth="1"/>
    <col min="30" max="30" width="15.7109375" style="245" hidden="1" customWidth="1"/>
    <col min="31" max="31" width="21.140625" hidden="1" customWidth="1"/>
    <col min="32" max="32" width="27.7109375" hidden="1" customWidth="1"/>
    <col min="33" max="33" width="18.7109375" customWidth="1"/>
    <col min="34" max="35" width="15.7109375" customWidth="1"/>
    <col min="36" max="36" width="34.28515625" customWidth="1"/>
    <col min="37" max="37" width="21.28515625" customWidth="1"/>
    <col min="38" max="38" width="15.7109375" customWidth="1"/>
    <col min="39" max="39" width="18.7109375" customWidth="1"/>
    <col min="40" max="40" width="15.42578125" customWidth="1"/>
    <col min="49" max="49" width="14.7109375" customWidth="1"/>
    <col min="50" max="50" width="22" customWidth="1"/>
    <col min="51" max="51" width="24.28515625" customWidth="1"/>
  </cols>
  <sheetData>
    <row r="1" spans="1:51" s="14" customFormat="1" ht="19.5" customHeight="1" thickBot="1" x14ac:dyDescent="0.45">
      <c r="A1" s="566"/>
      <c r="B1" s="567"/>
      <c r="C1" s="567"/>
      <c r="D1" s="567"/>
      <c r="E1" s="659" t="s">
        <v>38</v>
      </c>
      <c r="F1" s="660"/>
      <c r="G1" s="660"/>
      <c r="H1" s="660"/>
      <c r="I1" s="660"/>
      <c r="J1" s="660"/>
      <c r="K1" s="660"/>
      <c r="L1" s="660"/>
      <c r="M1" s="660"/>
      <c r="N1" s="660"/>
      <c r="O1" s="660"/>
      <c r="P1" s="660"/>
      <c r="Q1" s="660"/>
      <c r="R1" s="660"/>
      <c r="S1" s="660"/>
      <c r="T1" s="660"/>
      <c r="U1" s="660"/>
      <c r="V1" s="660"/>
      <c r="W1" s="660"/>
      <c r="X1" s="660"/>
      <c r="Y1" s="660"/>
      <c r="Z1" s="660"/>
      <c r="AA1" s="660"/>
      <c r="AB1" s="660"/>
      <c r="AC1" s="660"/>
      <c r="AD1" s="660"/>
      <c r="AE1" s="660"/>
      <c r="AF1" s="660"/>
      <c r="AG1" s="660"/>
      <c r="AH1" s="660"/>
      <c r="AI1" s="660"/>
      <c r="AJ1" s="660"/>
      <c r="AK1" s="660"/>
      <c r="AL1" s="660"/>
      <c r="AM1" s="660"/>
      <c r="AN1" s="660"/>
      <c r="AO1" s="660"/>
      <c r="AP1" s="660"/>
      <c r="AQ1" s="660"/>
      <c r="AR1" s="660"/>
      <c r="AS1" s="660"/>
      <c r="AT1" s="660"/>
      <c r="AU1" s="660"/>
      <c r="AV1" s="660"/>
      <c r="AW1" s="660"/>
      <c r="AX1" s="660"/>
      <c r="AY1" s="661"/>
    </row>
    <row r="2" spans="1:51" s="14" customFormat="1" ht="29.25" customHeight="1" thickBot="1" x14ac:dyDescent="0.45">
      <c r="A2" s="568"/>
      <c r="B2" s="569"/>
      <c r="C2" s="569"/>
      <c r="D2" s="569"/>
      <c r="E2" s="662" t="s">
        <v>689</v>
      </c>
      <c r="F2" s="663"/>
      <c r="G2" s="663"/>
      <c r="H2" s="663"/>
      <c r="I2" s="663"/>
      <c r="J2" s="663"/>
      <c r="K2" s="663"/>
      <c r="L2" s="663"/>
      <c r="M2" s="663"/>
      <c r="N2" s="663"/>
      <c r="O2" s="663"/>
      <c r="P2" s="663"/>
      <c r="Q2" s="663"/>
      <c r="R2" s="663"/>
      <c r="S2" s="663"/>
      <c r="T2" s="663"/>
      <c r="U2" s="663"/>
      <c r="V2" s="663"/>
      <c r="W2" s="663"/>
      <c r="X2" s="663"/>
      <c r="Y2" s="663"/>
      <c r="Z2" s="663"/>
      <c r="AA2" s="663"/>
      <c r="AB2" s="663"/>
      <c r="AC2" s="663"/>
      <c r="AD2" s="663"/>
      <c r="AE2" s="663"/>
      <c r="AF2" s="663"/>
      <c r="AG2" s="663"/>
      <c r="AH2" s="663"/>
      <c r="AI2" s="663"/>
      <c r="AJ2" s="663"/>
      <c r="AK2" s="663"/>
      <c r="AL2" s="663"/>
      <c r="AM2" s="663"/>
      <c r="AN2" s="663"/>
      <c r="AO2" s="663"/>
      <c r="AP2" s="663"/>
      <c r="AQ2" s="663"/>
      <c r="AR2" s="663"/>
      <c r="AS2" s="663"/>
      <c r="AT2" s="663"/>
      <c r="AU2" s="663"/>
      <c r="AV2" s="663"/>
      <c r="AW2" s="663"/>
      <c r="AX2" s="663"/>
      <c r="AY2" s="664"/>
    </row>
    <row r="3" spans="1:51" ht="21.75" customHeight="1" thickBot="1" x14ac:dyDescent="0.3">
      <c r="A3" s="568"/>
      <c r="B3" s="569"/>
      <c r="C3" s="569"/>
      <c r="D3" s="569"/>
      <c r="E3" s="665" t="s">
        <v>39</v>
      </c>
      <c r="F3" s="666"/>
      <c r="G3" s="666"/>
      <c r="H3" s="666"/>
      <c r="I3" s="666"/>
      <c r="J3" s="666"/>
      <c r="K3" s="666"/>
      <c r="L3" s="666"/>
      <c r="M3" s="666"/>
      <c r="N3" s="666"/>
      <c r="O3" s="666"/>
      <c r="P3" s="666"/>
      <c r="Q3" s="666"/>
      <c r="R3" s="666"/>
      <c r="S3" s="666"/>
      <c r="T3" s="666"/>
      <c r="U3" s="666"/>
      <c r="V3" s="666"/>
      <c r="W3" s="666"/>
      <c r="X3" s="666"/>
      <c r="Y3" s="666"/>
      <c r="Z3" s="666"/>
      <c r="AA3" s="666"/>
      <c r="AB3" s="666"/>
      <c r="AC3" s="666"/>
      <c r="AD3" s="667"/>
      <c r="AE3" s="668" t="s">
        <v>257</v>
      </c>
      <c r="AF3" s="669"/>
      <c r="AG3" s="669"/>
      <c r="AH3" s="669"/>
      <c r="AI3" s="669"/>
      <c r="AJ3" s="669"/>
      <c r="AK3" s="669"/>
      <c r="AL3" s="669"/>
      <c r="AM3" s="669"/>
      <c r="AN3" s="669"/>
      <c r="AO3" s="669"/>
      <c r="AP3" s="669"/>
      <c r="AQ3" s="669"/>
      <c r="AR3" s="669"/>
      <c r="AS3" s="669"/>
      <c r="AT3" s="669"/>
      <c r="AU3" s="669"/>
      <c r="AV3" s="669"/>
      <c r="AW3" s="669"/>
      <c r="AX3" s="669"/>
      <c r="AY3" s="670"/>
    </row>
    <row r="4" spans="1:51" ht="31.5" customHeight="1" thickBot="1" x14ac:dyDescent="0.3">
      <c r="A4" s="570" t="s">
        <v>0</v>
      </c>
      <c r="B4" s="571"/>
      <c r="C4" s="571"/>
      <c r="D4" s="572"/>
      <c r="E4" s="671" t="s">
        <v>316</v>
      </c>
      <c r="F4" s="672"/>
      <c r="G4" s="672"/>
      <c r="H4" s="672"/>
      <c r="I4" s="672"/>
      <c r="J4" s="672"/>
      <c r="K4" s="672"/>
      <c r="L4" s="672"/>
      <c r="M4" s="672"/>
      <c r="N4" s="672"/>
      <c r="O4" s="672"/>
      <c r="P4" s="672"/>
      <c r="Q4" s="672"/>
      <c r="R4" s="672"/>
      <c r="S4" s="672"/>
      <c r="T4" s="672"/>
      <c r="U4" s="672"/>
      <c r="V4" s="672"/>
      <c r="W4" s="672"/>
      <c r="X4" s="672"/>
      <c r="Y4" s="672"/>
      <c r="Z4" s="672"/>
      <c r="AA4" s="672"/>
      <c r="AB4" s="672"/>
      <c r="AC4" s="672"/>
      <c r="AD4" s="672"/>
      <c r="AE4" s="672"/>
      <c r="AF4" s="672"/>
      <c r="AG4" s="672"/>
      <c r="AH4" s="672"/>
      <c r="AI4" s="672"/>
      <c r="AJ4" s="672"/>
      <c r="AK4" s="672"/>
      <c r="AL4" s="672"/>
      <c r="AM4" s="672"/>
      <c r="AN4" s="672"/>
      <c r="AO4" s="672"/>
      <c r="AP4" s="672"/>
      <c r="AQ4" s="672"/>
      <c r="AR4" s="672"/>
      <c r="AS4" s="672"/>
      <c r="AT4" s="672"/>
      <c r="AU4" s="672"/>
      <c r="AV4" s="672"/>
      <c r="AW4" s="672"/>
      <c r="AX4" s="672"/>
      <c r="AY4" s="673"/>
    </row>
    <row r="5" spans="1:51" ht="31.5" customHeight="1" thickBot="1" x14ac:dyDescent="0.3">
      <c r="A5" s="573" t="s">
        <v>2</v>
      </c>
      <c r="B5" s="574"/>
      <c r="C5" s="574"/>
      <c r="D5" s="575"/>
      <c r="E5" s="540" t="s">
        <v>317</v>
      </c>
      <c r="F5" s="541"/>
      <c r="G5" s="541"/>
      <c r="H5" s="541"/>
      <c r="I5" s="541"/>
      <c r="J5" s="541"/>
      <c r="K5" s="541"/>
      <c r="L5" s="541"/>
      <c r="M5" s="541"/>
      <c r="N5" s="541"/>
      <c r="O5" s="541"/>
      <c r="P5" s="541"/>
      <c r="Q5" s="541"/>
      <c r="R5" s="541"/>
      <c r="S5" s="541"/>
      <c r="T5" s="541"/>
      <c r="U5" s="541"/>
      <c r="V5" s="541"/>
      <c r="W5" s="541"/>
      <c r="X5" s="541"/>
      <c r="Y5" s="541"/>
      <c r="Z5" s="541"/>
      <c r="AA5" s="541"/>
      <c r="AB5" s="541"/>
      <c r="AC5" s="541"/>
      <c r="AD5" s="541"/>
      <c r="AE5" s="541"/>
      <c r="AF5" s="541"/>
      <c r="AG5" s="541"/>
      <c r="AH5" s="541"/>
      <c r="AI5" s="541"/>
      <c r="AJ5" s="541"/>
      <c r="AK5" s="541"/>
      <c r="AL5" s="541"/>
      <c r="AM5" s="541"/>
      <c r="AN5" s="541"/>
      <c r="AO5" s="541"/>
      <c r="AP5" s="541"/>
      <c r="AQ5" s="541"/>
      <c r="AR5" s="541"/>
      <c r="AS5" s="541"/>
      <c r="AT5" s="541"/>
      <c r="AU5" s="541"/>
      <c r="AV5" s="541"/>
      <c r="AW5" s="541"/>
      <c r="AX5" s="541"/>
      <c r="AY5" s="542"/>
    </row>
    <row r="6" spans="1:51" ht="39" customHeight="1" thickBot="1" x14ac:dyDescent="0.3">
      <c r="A6" s="576" t="s">
        <v>690</v>
      </c>
      <c r="B6" s="577"/>
      <c r="C6" s="577"/>
      <c r="D6" s="578"/>
      <c r="E6" s="674" t="s">
        <v>691</v>
      </c>
      <c r="F6" s="675"/>
      <c r="G6" s="675"/>
      <c r="H6" s="675"/>
      <c r="I6" s="675"/>
      <c r="J6" s="675"/>
      <c r="K6" s="675"/>
      <c r="L6" s="675"/>
      <c r="M6" s="675"/>
      <c r="N6" s="675"/>
      <c r="O6" s="675"/>
      <c r="P6" s="675"/>
      <c r="Q6" s="675"/>
      <c r="R6" s="675"/>
      <c r="S6" s="675"/>
      <c r="T6" s="675"/>
      <c r="U6" s="675"/>
      <c r="V6" s="675"/>
      <c r="W6" s="675"/>
      <c r="X6" s="675"/>
      <c r="Y6" s="675"/>
      <c r="Z6" s="675"/>
      <c r="AA6" s="675"/>
      <c r="AB6" s="675"/>
      <c r="AC6" s="675"/>
      <c r="AD6" s="675"/>
      <c r="AE6" s="675"/>
      <c r="AF6" s="675"/>
      <c r="AG6" s="675"/>
      <c r="AH6" s="675"/>
      <c r="AI6" s="675"/>
      <c r="AJ6" s="675"/>
      <c r="AK6" s="675"/>
      <c r="AL6" s="675"/>
      <c r="AM6" s="675"/>
      <c r="AN6" s="675"/>
      <c r="AO6" s="675"/>
      <c r="AP6" s="675"/>
      <c r="AQ6" s="675"/>
      <c r="AR6" s="675"/>
      <c r="AS6" s="675"/>
      <c r="AT6" s="675"/>
      <c r="AU6" s="675"/>
      <c r="AV6" s="675"/>
      <c r="AW6" s="675"/>
      <c r="AX6" s="675"/>
      <c r="AY6" s="676"/>
    </row>
    <row r="7" spans="1:51" ht="33" customHeight="1" x14ac:dyDescent="0.25">
      <c r="A7" s="579"/>
      <c r="B7" s="580"/>
      <c r="C7" s="580"/>
      <c r="D7" s="580"/>
      <c r="E7" s="580"/>
      <c r="F7" s="580"/>
      <c r="G7" s="580"/>
      <c r="H7" s="580"/>
      <c r="I7" s="580"/>
      <c r="J7" s="580"/>
      <c r="K7" s="580"/>
      <c r="L7" s="580"/>
      <c r="M7" s="580"/>
      <c r="N7" s="580"/>
      <c r="O7" s="580"/>
      <c r="P7" s="580"/>
      <c r="Q7" s="580"/>
      <c r="R7" s="580"/>
      <c r="S7" s="580"/>
      <c r="T7" s="580"/>
      <c r="U7" s="580"/>
      <c r="V7" s="580"/>
      <c r="W7" s="580"/>
      <c r="X7" s="580"/>
      <c r="Y7" s="580"/>
      <c r="Z7" s="580"/>
      <c r="AA7" s="580"/>
      <c r="AB7" s="580"/>
      <c r="AC7" s="580"/>
      <c r="AD7" s="580"/>
      <c r="AE7" s="580"/>
      <c r="AF7" s="580"/>
      <c r="AG7" s="580"/>
      <c r="AH7" s="580"/>
      <c r="AI7" s="580"/>
      <c r="AJ7" s="580"/>
      <c r="AK7" s="580"/>
      <c r="AL7" s="580"/>
      <c r="AM7" s="580"/>
      <c r="AN7" s="580"/>
      <c r="AO7" s="580"/>
      <c r="AP7" s="580"/>
      <c r="AQ7" s="580"/>
      <c r="AR7" s="580"/>
      <c r="AS7" s="580"/>
      <c r="AT7" s="580"/>
      <c r="AU7" s="580"/>
      <c r="AV7" s="580"/>
      <c r="AW7" s="580"/>
      <c r="AX7" s="580"/>
      <c r="AY7" s="581"/>
    </row>
    <row r="8" spans="1:51" s="245" customFormat="1" ht="49.15" customHeight="1" x14ac:dyDescent="0.25">
      <c r="A8" s="478" t="s">
        <v>90</v>
      </c>
      <c r="B8" s="478"/>
      <c r="C8" s="478"/>
      <c r="D8" s="478"/>
      <c r="E8" s="478"/>
      <c r="F8" s="478"/>
      <c r="G8" s="582" t="s">
        <v>96</v>
      </c>
      <c r="H8" s="582"/>
      <c r="I8" s="582"/>
      <c r="J8" s="582"/>
      <c r="K8" s="582"/>
      <c r="L8" s="582"/>
      <c r="M8" s="582"/>
      <c r="N8" s="582"/>
      <c r="O8" s="582"/>
      <c r="P8" s="582"/>
      <c r="Q8" s="582"/>
      <c r="R8" s="582"/>
      <c r="S8" s="582"/>
      <c r="T8" s="582" t="s">
        <v>97</v>
      </c>
      <c r="U8" s="582"/>
      <c r="V8" s="582"/>
      <c r="W8" s="582"/>
      <c r="X8" s="582"/>
      <c r="Y8" s="582"/>
      <c r="Z8" s="582"/>
      <c r="AA8" s="582"/>
      <c r="AB8" s="582"/>
      <c r="AC8" s="582"/>
      <c r="AD8" s="582"/>
      <c r="AE8" s="582"/>
      <c r="AF8" s="582"/>
      <c r="AG8" s="478" t="s">
        <v>98</v>
      </c>
      <c r="AH8" s="478"/>
      <c r="AI8" s="478"/>
      <c r="AJ8" s="478"/>
      <c r="AK8" s="478"/>
      <c r="AL8" s="478" t="s">
        <v>104</v>
      </c>
      <c r="AM8" s="478"/>
      <c r="AN8" s="246"/>
      <c r="AO8" s="478" t="s">
        <v>67</v>
      </c>
      <c r="AP8" s="478"/>
      <c r="AQ8" s="478"/>
      <c r="AR8" s="478"/>
      <c r="AS8" s="478"/>
      <c r="AT8" s="478"/>
      <c r="AU8" s="478"/>
      <c r="AV8" s="478"/>
      <c r="AW8" s="478"/>
      <c r="AX8" s="478"/>
      <c r="AY8" s="478" t="s">
        <v>118</v>
      </c>
    </row>
    <row r="9" spans="1:51" s="245" customFormat="1" ht="49.15" customHeight="1" x14ac:dyDescent="0.25">
      <c r="A9" s="246" t="s">
        <v>91</v>
      </c>
      <c r="B9" s="246" t="s">
        <v>92</v>
      </c>
      <c r="C9" s="221" t="s">
        <v>93</v>
      </c>
      <c r="D9" s="246" t="s">
        <v>94</v>
      </c>
      <c r="E9" s="246" t="s">
        <v>578</v>
      </c>
      <c r="F9" s="246" t="s">
        <v>95</v>
      </c>
      <c r="G9" s="222" t="s">
        <v>6</v>
      </c>
      <c r="H9" s="222" t="s">
        <v>7</v>
      </c>
      <c r="I9" s="222" t="s">
        <v>8</v>
      </c>
      <c r="J9" s="222" t="s">
        <v>9</v>
      </c>
      <c r="K9" s="222" t="s">
        <v>10</v>
      </c>
      <c r="L9" s="222" t="s">
        <v>11</v>
      </c>
      <c r="M9" s="222" t="s">
        <v>12</v>
      </c>
      <c r="N9" s="222" t="s">
        <v>13</v>
      </c>
      <c r="O9" s="222" t="s">
        <v>14</v>
      </c>
      <c r="P9" s="222" t="s">
        <v>15</v>
      </c>
      <c r="Q9" s="222" t="s">
        <v>16</v>
      </c>
      <c r="R9" s="222" t="s">
        <v>17</v>
      </c>
      <c r="S9" s="246" t="s">
        <v>65</v>
      </c>
      <c r="T9" s="222" t="s">
        <v>6</v>
      </c>
      <c r="U9" s="222" t="s">
        <v>7</v>
      </c>
      <c r="V9" s="222" t="s">
        <v>8</v>
      </c>
      <c r="W9" s="222" t="s">
        <v>9</v>
      </c>
      <c r="X9" s="222" t="s">
        <v>10</v>
      </c>
      <c r="Y9" s="222" t="s">
        <v>11</v>
      </c>
      <c r="Z9" s="222" t="s">
        <v>12</v>
      </c>
      <c r="AA9" s="222" t="s">
        <v>13</v>
      </c>
      <c r="AB9" s="222" t="s">
        <v>14</v>
      </c>
      <c r="AC9" s="222" t="s">
        <v>15</v>
      </c>
      <c r="AD9" s="223" t="s">
        <v>16</v>
      </c>
      <c r="AE9" s="246" t="s">
        <v>17</v>
      </c>
      <c r="AF9" s="246" t="s">
        <v>66</v>
      </c>
      <c r="AG9" s="246" t="s">
        <v>99</v>
      </c>
      <c r="AH9" s="246" t="s">
        <v>100</v>
      </c>
      <c r="AI9" s="246" t="s">
        <v>101</v>
      </c>
      <c r="AJ9" s="246" t="s">
        <v>102</v>
      </c>
      <c r="AK9" s="246" t="s">
        <v>103</v>
      </c>
      <c r="AL9" s="246" t="s">
        <v>105</v>
      </c>
      <c r="AM9" s="246" t="s">
        <v>106</v>
      </c>
      <c r="AN9" s="246" t="s">
        <v>107</v>
      </c>
      <c r="AO9" s="246" t="s">
        <v>108</v>
      </c>
      <c r="AP9" s="246" t="s">
        <v>109</v>
      </c>
      <c r="AQ9" s="246" t="s">
        <v>110</v>
      </c>
      <c r="AR9" s="246" t="s">
        <v>111</v>
      </c>
      <c r="AS9" s="246" t="s">
        <v>112</v>
      </c>
      <c r="AT9" s="246" t="s">
        <v>113</v>
      </c>
      <c r="AU9" s="246" t="s">
        <v>114</v>
      </c>
      <c r="AV9" s="246" t="s">
        <v>115</v>
      </c>
      <c r="AW9" s="246" t="s">
        <v>116</v>
      </c>
      <c r="AX9" s="246" t="s">
        <v>117</v>
      </c>
      <c r="AY9" s="478"/>
    </row>
    <row r="10" spans="1:51" ht="55.15" customHeight="1" x14ac:dyDescent="0.25">
      <c r="A10" s="584">
        <v>1</v>
      </c>
      <c r="B10" s="452" t="s">
        <v>318</v>
      </c>
      <c r="C10" s="586" t="s">
        <v>325</v>
      </c>
      <c r="D10" s="217" t="s">
        <v>40</v>
      </c>
      <c r="E10" s="218">
        <f>+[3]INVERSIÓN!BF10</f>
        <v>1</v>
      </c>
      <c r="F10" s="218">
        <f>+[3]INVERSIÓN!CE10</f>
        <v>1</v>
      </c>
      <c r="G10" s="218">
        <f>+[3]INVERSIÓN!$CH$10</f>
        <v>1</v>
      </c>
      <c r="H10" s="218">
        <f>+[3]INVERSIÓN!$CH$10</f>
        <v>1</v>
      </c>
      <c r="I10" s="218">
        <f>+[3]INVERSIÓN!$CH$10</f>
        <v>1</v>
      </c>
      <c r="J10" s="218">
        <f>+[3]INVERSIÓN!$CH$10</f>
        <v>1</v>
      </c>
      <c r="K10" s="218">
        <f>+[3]INVERSIÓN!$CH$10</f>
        <v>1</v>
      </c>
      <c r="L10" s="218">
        <f>+[3]INVERSIÓN!$CH$10</f>
        <v>1</v>
      </c>
      <c r="M10" s="218">
        <f>+[3]INVERSIÓN!$CH$10</f>
        <v>1</v>
      </c>
      <c r="N10" s="218">
        <f>+[3]INVERSIÓN!$CH$10</f>
        <v>1</v>
      </c>
      <c r="O10" s="218">
        <f>+[3]INVERSIÓN!$CH$10</f>
        <v>1</v>
      </c>
      <c r="P10" s="218"/>
      <c r="Q10" s="218"/>
      <c r="R10" s="218"/>
      <c r="S10" s="219"/>
      <c r="T10" s="218">
        <f>+[3]INVERSIÓN!BH10</f>
        <v>1</v>
      </c>
      <c r="U10" s="218">
        <f>+[3]INVERSIÓN!BJ10</f>
        <v>1</v>
      </c>
      <c r="V10" s="218">
        <f>+[3]INVERSIÓN!BL10</f>
        <v>1</v>
      </c>
      <c r="W10" s="218">
        <f>+[3]INVERSIÓN!BN10</f>
        <v>1</v>
      </c>
      <c r="X10" s="218">
        <f>+[3]INVERSIÓN!BP10</f>
        <v>1</v>
      </c>
      <c r="Y10" s="218">
        <f>+[3]INVERSIÓN!BR10</f>
        <v>1</v>
      </c>
      <c r="Z10" s="218">
        <f>+[3]INVERSIÓN!BT10</f>
        <v>1</v>
      </c>
      <c r="AA10" s="218">
        <f>+[3]INVERSIÓN!BV10</f>
        <v>1</v>
      </c>
      <c r="AB10" s="218">
        <f>+[3]INVERSIÓN!BX10</f>
        <v>1</v>
      </c>
      <c r="AC10" s="220"/>
      <c r="AD10" s="220"/>
      <c r="AE10" s="218"/>
      <c r="AF10" s="219"/>
      <c r="AG10" s="457" t="s">
        <v>326</v>
      </c>
      <c r="AH10" s="457" t="s">
        <v>327</v>
      </c>
      <c r="AI10" s="457" t="s">
        <v>327</v>
      </c>
      <c r="AJ10" s="457" t="s">
        <v>328</v>
      </c>
      <c r="AK10" s="457" t="s">
        <v>329</v>
      </c>
      <c r="AL10" s="457" t="s">
        <v>327</v>
      </c>
      <c r="AM10" s="457" t="s">
        <v>327</v>
      </c>
      <c r="AN10" s="457" t="s">
        <v>327</v>
      </c>
      <c r="AO10" s="642">
        <v>3751549</v>
      </c>
      <c r="AP10" s="643">
        <v>4082618</v>
      </c>
      <c r="AQ10" s="457" t="s">
        <v>327</v>
      </c>
      <c r="AR10" s="457" t="s">
        <v>327</v>
      </c>
      <c r="AS10" s="457" t="s">
        <v>327</v>
      </c>
      <c r="AT10" s="457" t="s">
        <v>327</v>
      </c>
      <c r="AU10" s="457" t="s">
        <v>327</v>
      </c>
      <c r="AV10" s="457" t="s">
        <v>327</v>
      </c>
      <c r="AW10" s="457" t="s">
        <v>327</v>
      </c>
      <c r="AX10" s="644">
        <f>+AO10+AP10</f>
        <v>7834167</v>
      </c>
      <c r="AY10" s="645"/>
    </row>
    <row r="11" spans="1:51" s="51" customFormat="1" ht="55.15" customHeight="1" x14ac:dyDescent="0.25">
      <c r="A11" s="585"/>
      <c r="B11" s="453"/>
      <c r="C11" s="587"/>
      <c r="D11" s="125" t="s">
        <v>3</v>
      </c>
      <c r="E11" s="117">
        <f>+[3]INVERSIÓN!BF11</f>
        <v>2219609000</v>
      </c>
      <c r="F11" s="117">
        <f>+[3]INVERSIÓN!CE11</f>
        <v>1988256600</v>
      </c>
      <c r="G11" s="117">
        <f>+[3]INVERSIÓN!$CH$11</f>
        <v>1988256600</v>
      </c>
      <c r="H11" s="117">
        <f>+[3]INVERSIÓN!$CH$11</f>
        <v>1988256600</v>
      </c>
      <c r="I11" s="117">
        <f>+[3]INVERSIÓN!$CH$11</f>
        <v>1988256600</v>
      </c>
      <c r="J11" s="117">
        <f>+[3]INVERSIÓN!$CH$11</f>
        <v>1988256600</v>
      </c>
      <c r="K11" s="117">
        <f>+[3]INVERSIÓN!$CH$11</f>
        <v>1988256600</v>
      </c>
      <c r="L11" s="117">
        <f>+[3]INVERSIÓN!$CH$11</f>
        <v>1988256600</v>
      </c>
      <c r="M11" s="117">
        <f>+[3]INVERSIÓN!$CH$11</f>
        <v>1988256600</v>
      </c>
      <c r="N11" s="117">
        <f>+[3]INVERSIÓN!$CH$11</f>
        <v>1988256600</v>
      </c>
      <c r="O11" s="117">
        <f>+[3]INVERSIÓN!$CH$11</f>
        <v>1988256600</v>
      </c>
      <c r="P11" s="117"/>
      <c r="Q11" s="117"/>
      <c r="R11" s="117"/>
      <c r="S11" s="117"/>
      <c r="T11" s="117">
        <f>+[3]INVERSIÓN!BH11</f>
        <v>665963000</v>
      </c>
      <c r="U11" s="117">
        <f>+[3]INVERSIÓN!BJ11+T11</f>
        <v>665963000</v>
      </c>
      <c r="V11" s="117">
        <f>+[3]INVERSIÓN!BL11+U11</f>
        <v>665963000</v>
      </c>
      <c r="W11" s="117">
        <f>+[3]INVERSIÓN!BN11+V11</f>
        <v>665963000</v>
      </c>
      <c r="X11" s="117">
        <f>+[3]INVERSIÓN!BP11+W11</f>
        <v>777963000</v>
      </c>
      <c r="Y11" s="117">
        <f>+[3]INVERSIÓN!BR11+X11</f>
        <v>815963000</v>
      </c>
      <c r="Z11" s="117">
        <f>+[3]INVERSIÓN!BT11+Y11</f>
        <v>815963000</v>
      </c>
      <c r="AA11" s="117">
        <f>+[3]INVERSIÓN!BV11+Z11</f>
        <v>815963000</v>
      </c>
      <c r="AB11" s="117">
        <f>+[3]INVERSIÓN!BX11+AA11</f>
        <v>836275000</v>
      </c>
      <c r="AC11" s="107"/>
      <c r="AD11" s="107"/>
      <c r="AE11" s="117"/>
      <c r="AF11" s="117"/>
      <c r="AG11" s="458"/>
      <c r="AH11" s="458"/>
      <c r="AI11" s="458"/>
      <c r="AJ11" s="458"/>
      <c r="AK11" s="458"/>
      <c r="AL11" s="458"/>
      <c r="AM11" s="458"/>
      <c r="AN11" s="458"/>
      <c r="AO11" s="646"/>
      <c r="AP11" s="647"/>
      <c r="AQ11" s="458"/>
      <c r="AR11" s="458"/>
      <c r="AS11" s="458"/>
      <c r="AT11" s="458"/>
      <c r="AU11" s="458"/>
      <c r="AV11" s="458"/>
      <c r="AW11" s="458"/>
      <c r="AX11" s="648"/>
      <c r="AY11" s="649"/>
    </row>
    <row r="12" spans="1:51" ht="55.15" customHeight="1" x14ac:dyDescent="0.25">
      <c r="A12" s="585"/>
      <c r="B12" s="453"/>
      <c r="C12" s="587"/>
      <c r="D12" s="124" t="s">
        <v>41</v>
      </c>
      <c r="E12" s="92">
        <f>+[3]INVERSIÓN!BF13</f>
        <v>0</v>
      </c>
      <c r="F12" s="92">
        <f>+[3]INVERSIÓN!CE13</f>
        <v>0</v>
      </c>
      <c r="G12" s="92">
        <f>+[3]INVERSIÓN!$CH$13</f>
        <v>0</v>
      </c>
      <c r="H12" s="92">
        <f>+[3]INVERSIÓN!$CH$13</f>
        <v>0</v>
      </c>
      <c r="I12" s="92">
        <f>+[3]INVERSIÓN!$CH$13</f>
        <v>0</v>
      </c>
      <c r="J12" s="92">
        <f>+[3]INVERSIÓN!$CH$13</f>
        <v>0</v>
      </c>
      <c r="K12" s="92">
        <f>+[3]INVERSIÓN!$CH$13</f>
        <v>0</v>
      </c>
      <c r="L12" s="92">
        <f>+[3]INVERSIÓN!$CH$13</f>
        <v>0</v>
      </c>
      <c r="M12" s="92">
        <f>+[3]INVERSIÓN!$CH$13</f>
        <v>0</v>
      </c>
      <c r="N12" s="92">
        <f>+[3]INVERSIÓN!$CH$13</f>
        <v>0</v>
      </c>
      <c r="O12" s="92">
        <f>+[3]INVERSIÓN!$CH$13</f>
        <v>0</v>
      </c>
      <c r="P12" s="92"/>
      <c r="Q12" s="92"/>
      <c r="R12" s="92"/>
      <c r="S12" s="92"/>
      <c r="T12" s="92">
        <f>+[3]INVERSIÓN!BH13</f>
        <v>0</v>
      </c>
      <c r="U12" s="92">
        <f>+[3]INVERSIÓN!BJ13</f>
        <v>0</v>
      </c>
      <c r="V12" s="92">
        <f>+[3]INVERSIÓN!BL13</f>
        <v>0</v>
      </c>
      <c r="W12" s="92">
        <f>+[3]INVERSIÓN!BN13</f>
        <v>0</v>
      </c>
      <c r="X12" s="92">
        <f>+[3]INVERSIÓN!BP13</f>
        <v>0</v>
      </c>
      <c r="Y12" s="92">
        <f>+[3]INVERSIÓN!BR13</f>
        <v>0</v>
      </c>
      <c r="Z12" s="92">
        <f>+[3]INVERSIÓN!BT13</f>
        <v>0</v>
      </c>
      <c r="AA12" s="92">
        <f>+[3]INVERSIÓN!BV13</f>
        <v>0</v>
      </c>
      <c r="AB12" s="92">
        <f>+[3]INVERSIÓN!BX13</f>
        <v>0</v>
      </c>
      <c r="AC12" s="106"/>
      <c r="AD12" s="106"/>
      <c r="AE12" s="117"/>
      <c r="AF12" s="92"/>
      <c r="AG12" s="458"/>
      <c r="AH12" s="458"/>
      <c r="AI12" s="458"/>
      <c r="AJ12" s="458"/>
      <c r="AK12" s="458"/>
      <c r="AL12" s="458"/>
      <c r="AM12" s="458"/>
      <c r="AN12" s="458"/>
      <c r="AO12" s="646"/>
      <c r="AP12" s="647"/>
      <c r="AQ12" s="458"/>
      <c r="AR12" s="458"/>
      <c r="AS12" s="458"/>
      <c r="AT12" s="458"/>
      <c r="AU12" s="458"/>
      <c r="AV12" s="458"/>
      <c r="AW12" s="458"/>
      <c r="AX12" s="648"/>
      <c r="AY12" s="649"/>
    </row>
    <row r="13" spans="1:51" s="51" customFormat="1" ht="55.15" customHeight="1" x14ac:dyDescent="0.25">
      <c r="A13" s="585"/>
      <c r="B13" s="453"/>
      <c r="C13" s="587"/>
      <c r="D13" s="125" t="s">
        <v>4</v>
      </c>
      <c r="E13" s="117">
        <f>+[3]INVERSIÓN!BF14</f>
        <v>557602926</v>
      </c>
      <c r="F13" s="117">
        <f>+[3]INVERSIÓN!CE14</f>
        <v>556084435</v>
      </c>
      <c r="G13" s="117">
        <f>+[3]INVERSIÓN!$CH$14</f>
        <v>556084435</v>
      </c>
      <c r="H13" s="117">
        <f>+[3]INVERSIÓN!$CH$14</f>
        <v>556084435</v>
      </c>
      <c r="I13" s="117">
        <f>+[3]INVERSIÓN!$CH$14</f>
        <v>556084435</v>
      </c>
      <c r="J13" s="117">
        <f>+[3]INVERSIÓN!$CH$14</f>
        <v>556084435</v>
      </c>
      <c r="K13" s="117">
        <f>+[3]INVERSIÓN!$CH$14</f>
        <v>556084435</v>
      </c>
      <c r="L13" s="117">
        <f>+[3]INVERSIÓN!$CH$14</f>
        <v>556084435</v>
      </c>
      <c r="M13" s="117">
        <f>+[3]INVERSIÓN!$CH$14</f>
        <v>556084435</v>
      </c>
      <c r="N13" s="117">
        <f>+[3]INVERSIÓN!$CH$14</f>
        <v>556084435</v>
      </c>
      <c r="O13" s="117">
        <f>+[3]INVERSIÓN!$CH$14</f>
        <v>556084435</v>
      </c>
      <c r="P13" s="117"/>
      <c r="Q13" s="117"/>
      <c r="R13" s="117"/>
      <c r="S13" s="117"/>
      <c r="T13" s="117">
        <f>+[3]INVERSIÓN!BH14</f>
        <v>0</v>
      </c>
      <c r="U13" s="117">
        <f>+[3]INVERSIÓN!BJ14+T13</f>
        <v>42955919</v>
      </c>
      <c r="V13" s="117">
        <f>+[3]INVERSIÓN!BL14+U13</f>
        <v>42955919</v>
      </c>
      <c r="W13" s="117">
        <f>+[3]INVERSIÓN!BN14+V13</f>
        <v>42955919</v>
      </c>
      <c r="X13" s="117">
        <f>+[3]INVERSIÓN!BP14+W13</f>
        <v>42955919</v>
      </c>
      <c r="Y13" s="117">
        <f>+[3]INVERSIÓN!BR14+X13</f>
        <v>42955919</v>
      </c>
      <c r="Z13" s="117">
        <f>+[3]INVERSIÓN!BT14+Y13</f>
        <v>557602926</v>
      </c>
      <c r="AA13" s="117">
        <f>+[3]INVERSIÓN!BV14+Z13</f>
        <v>556084439</v>
      </c>
      <c r="AB13" s="117">
        <f>+[3]INVERSIÓN!BX14+AA13</f>
        <v>444337772</v>
      </c>
      <c r="AC13" s="107"/>
      <c r="AD13" s="107"/>
      <c r="AE13" s="117"/>
      <c r="AF13" s="117"/>
      <c r="AG13" s="458"/>
      <c r="AH13" s="458"/>
      <c r="AI13" s="458"/>
      <c r="AJ13" s="458"/>
      <c r="AK13" s="458"/>
      <c r="AL13" s="458"/>
      <c r="AM13" s="458"/>
      <c r="AN13" s="458"/>
      <c r="AO13" s="646"/>
      <c r="AP13" s="647"/>
      <c r="AQ13" s="458"/>
      <c r="AR13" s="458"/>
      <c r="AS13" s="458"/>
      <c r="AT13" s="458"/>
      <c r="AU13" s="458"/>
      <c r="AV13" s="458"/>
      <c r="AW13" s="458"/>
      <c r="AX13" s="648"/>
      <c r="AY13" s="649"/>
    </row>
    <row r="14" spans="1:51" ht="55.15" customHeight="1" x14ac:dyDescent="0.25">
      <c r="A14" s="585"/>
      <c r="B14" s="453"/>
      <c r="C14" s="587"/>
      <c r="D14" s="124" t="s">
        <v>42</v>
      </c>
      <c r="E14" s="126">
        <f>+E10+E12</f>
        <v>1</v>
      </c>
      <c r="F14" s="126">
        <f t="shared" ref="F14:R15" si="0">+F10+F12</f>
        <v>1</v>
      </c>
      <c r="G14" s="126">
        <f t="shared" si="0"/>
        <v>1</v>
      </c>
      <c r="H14" s="126">
        <f t="shared" si="0"/>
        <v>1</v>
      </c>
      <c r="I14" s="126">
        <f t="shared" si="0"/>
        <v>1</v>
      </c>
      <c r="J14" s="126">
        <f t="shared" si="0"/>
        <v>1</v>
      </c>
      <c r="K14" s="126">
        <f t="shared" si="0"/>
        <v>1</v>
      </c>
      <c r="L14" s="126">
        <f t="shared" si="0"/>
        <v>1</v>
      </c>
      <c r="M14" s="126">
        <f t="shared" si="0"/>
        <v>1</v>
      </c>
      <c r="N14" s="126">
        <f t="shared" si="0"/>
        <v>1</v>
      </c>
      <c r="O14" s="126">
        <f t="shared" si="0"/>
        <v>1</v>
      </c>
      <c r="P14" s="126"/>
      <c r="Q14" s="126"/>
      <c r="R14" s="126"/>
      <c r="S14" s="126"/>
      <c r="T14" s="126">
        <f t="shared" ref="T14:AE15" si="1">+T10+T12</f>
        <v>1</v>
      </c>
      <c r="U14" s="126">
        <f t="shared" si="1"/>
        <v>1</v>
      </c>
      <c r="V14" s="126">
        <f t="shared" si="1"/>
        <v>1</v>
      </c>
      <c r="W14" s="126">
        <f t="shared" si="1"/>
        <v>1</v>
      </c>
      <c r="X14" s="126">
        <f t="shared" si="1"/>
        <v>1</v>
      </c>
      <c r="Y14" s="126">
        <f t="shared" si="1"/>
        <v>1</v>
      </c>
      <c r="Z14" s="126">
        <f t="shared" si="1"/>
        <v>1</v>
      </c>
      <c r="AA14" s="126">
        <f t="shared" si="1"/>
        <v>1</v>
      </c>
      <c r="AB14" s="126">
        <f>+AB10+AB12</f>
        <v>1</v>
      </c>
      <c r="AC14" s="126"/>
      <c r="AD14" s="126"/>
      <c r="AE14" s="200"/>
      <c r="AF14" s="92"/>
      <c r="AG14" s="458"/>
      <c r="AH14" s="458"/>
      <c r="AI14" s="458"/>
      <c r="AJ14" s="458"/>
      <c r="AK14" s="458"/>
      <c r="AL14" s="458"/>
      <c r="AM14" s="458"/>
      <c r="AN14" s="458"/>
      <c r="AO14" s="646"/>
      <c r="AP14" s="647"/>
      <c r="AQ14" s="458"/>
      <c r="AR14" s="458"/>
      <c r="AS14" s="458"/>
      <c r="AT14" s="458"/>
      <c r="AU14" s="458"/>
      <c r="AV14" s="458"/>
      <c r="AW14" s="458"/>
      <c r="AX14" s="648"/>
      <c r="AY14" s="649"/>
    </row>
    <row r="15" spans="1:51" s="51" customFormat="1" ht="55.15" customHeight="1" x14ac:dyDescent="0.25">
      <c r="A15" s="585"/>
      <c r="B15" s="453"/>
      <c r="C15" s="587"/>
      <c r="D15" s="125" t="s">
        <v>44</v>
      </c>
      <c r="E15" s="127">
        <f>+E11+E13</f>
        <v>2777211926</v>
      </c>
      <c r="F15" s="127">
        <f t="shared" si="0"/>
        <v>2544341035</v>
      </c>
      <c r="G15" s="127">
        <f t="shared" si="0"/>
        <v>2544341035</v>
      </c>
      <c r="H15" s="127">
        <f t="shared" si="0"/>
        <v>2544341035</v>
      </c>
      <c r="I15" s="127">
        <f t="shared" si="0"/>
        <v>2544341035</v>
      </c>
      <c r="J15" s="127">
        <f t="shared" si="0"/>
        <v>2544341035</v>
      </c>
      <c r="K15" s="127">
        <f t="shared" si="0"/>
        <v>2544341035</v>
      </c>
      <c r="L15" s="127">
        <f t="shared" si="0"/>
        <v>2544341035</v>
      </c>
      <c r="M15" s="127">
        <f t="shared" si="0"/>
        <v>2544341035</v>
      </c>
      <c r="N15" s="127">
        <f t="shared" si="0"/>
        <v>2544341035</v>
      </c>
      <c r="O15" s="127">
        <f t="shared" si="0"/>
        <v>2544341035</v>
      </c>
      <c r="P15" s="127"/>
      <c r="Q15" s="127"/>
      <c r="R15" s="127"/>
      <c r="S15" s="127"/>
      <c r="T15" s="127">
        <f t="shared" si="1"/>
        <v>665963000</v>
      </c>
      <c r="U15" s="127">
        <f t="shared" si="1"/>
        <v>708918919</v>
      </c>
      <c r="V15" s="127">
        <f t="shared" si="1"/>
        <v>708918919</v>
      </c>
      <c r="W15" s="127">
        <f t="shared" si="1"/>
        <v>708918919</v>
      </c>
      <c r="X15" s="127">
        <f t="shared" si="1"/>
        <v>820918919</v>
      </c>
      <c r="Y15" s="127">
        <f t="shared" si="1"/>
        <v>858918919</v>
      </c>
      <c r="Z15" s="127">
        <f t="shared" si="1"/>
        <v>1373565926</v>
      </c>
      <c r="AA15" s="127">
        <f t="shared" si="1"/>
        <v>1372047439</v>
      </c>
      <c r="AB15" s="127">
        <f t="shared" si="1"/>
        <v>1280612772</v>
      </c>
      <c r="AC15" s="127"/>
      <c r="AD15" s="127"/>
      <c r="AE15" s="117"/>
      <c r="AF15" s="117"/>
      <c r="AG15" s="458"/>
      <c r="AH15" s="458"/>
      <c r="AI15" s="458"/>
      <c r="AJ15" s="458"/>
      <c r="AK15" s="458"/>
      <c r="AL15" s="458"/>
      <c r="AM15" s="458"/>
      <c r="AN15" s="458"/>
      <c r="AO15" s="646"/>
      <c r="AP15" s="647"/>
      <c r="AQ15" s="458"/>
      <c r="AR15" s="458"/>
      <c r="AS15" s="458"/>
      <c r="AT15" s="458"/>
      <c r="AU15" s="458"/>
      <c r="AV15" s="458"/>
      <c r="AW15" s="458"/>
      <c r="AX15" s="648"/>
      <c r="AY15" s="649"/>
    </row>
    <row r="16" spans="1:51" ht="55.15" customHeight="1" x14ac:dyDescent="0.25">
      <c r="A16" s="585">
        <v>2</v>
      </c>
      <c r="B16" s="453" t="s">
        <v>330</v>
      </c>
      <c r="C16" s="593" t="s">
        <v>476</v>
      </c>
      <c r="D16" s="128" t="s">
        <v>40</v>
      </c>
      <c r="E16" s="299">
        <f>+[3]INVERSIÓN!BF17</f>
        <v>6</v>
      </c>
      <c r="F16" s="299">
        <f>+[3]INVERSIÓN!CE17</f>
        <v>6</v>
      </c>
      <c r="G16" s="299">
        <f>+[3]INVERSIÓN!$CH$17</f>
        <v>6</v>
      </c>
      <c r="H16" s="299">
        <f>+[3]INVERSIÓN!$CH$17</f>
        <v>6</v>
      </c>
      <c r="I16" s="299">
        <f>+[3]INVERSIÓN!$CH$17</f>
        <v>6</v>
      </c>
      <c r="J16" s="299">
        <f>+[3]INVERSIÓN!$CH$17</f>
        <v>6</v>
      </c>
      <c r="K16" s="299">
        <f>+[3]INVERSIÓN!$CH$17</f>
        <v>6</v>
      </c>
      <c r="L16" s="299">
        <f>+[3]INVERSIÓN!$CH$17</f>
        <v>6</v>
      </c>
      <c r="M16" s="299">
        <f>+[3]INVERSIÓN!$CH$17</f>
        <v>6</v>
      </c>
      <c r="N16" s="299">
        <f>+[3]INVERSIÓN!$CH$17</f>
        <v>6</v>
      </c>
      <c r="O16" s="299">
        <f>+[3]INVERSIÓN!$CH$17</f>
        <v>6</v>
      </c>
      <c r="P16" s="299"/>
      <c r="Q16" s="299"/>
      <c r="R16" s="299"/>
      <c r="S16" s="299"/>
      <c r="T16" s="299">
        <f>+[3]INVERSIÓN!BH17</f>
        <v>0</v>
      </c>
      <c r="U16" s="299">
        <f>+[3]INVERSIÓN!BJ17+T16</f>
        <v>0.45</v>
      </c>
      <c r="V16" s="299">
        <f>+[3]INVERSIÓN!BL17+U16</f>
        <v>1</v>
      </c>
      <c r="W16" s="299">
        <f>+[3]INVERSIÓN!BN17+V16</f>
        <v>1.6</v>
      </c>
      <c r="X16" s="299">
        <f>+[3]INVERSIÓN!BP17+W16</f>
        <v>2.2999999999999998</v>
      </c>
      <c r="Y16" s="299">
        <f>+[3]INVERSIÓN!BR17+X16</f>
        <v>3</v>
      </c>
      <c r="Z16" s="299">
        <f>+[3]INVERSIÓN!BT17+Y16</f>
        <v>3.3</v>
      </c>
      <c r="AA16" s="299">
        <f>+[3]INVERSIÓN!BV17+Z16</f>
        <v>3.5</v>
      </c>
      <c r="AB16" s="299">
        <f>+[3]INVERSIÓN!BX17+AA16</f>
        <v>4.0999999999999996</v>
      </c>
      <c r="AC16" s="299"/>
      <c r="AD16" s="93"/>
      <c r="AE16" s="93"/>
      <c r="AF16" s="299"/>
      <c r="AG16" s="458" t="s">
        <v>326</v>
      </c>
      <c r="AH16" s="458" t="s">
        <v>327</v>
      </c>
      <c r="AI16" s="458" t="s">
        <v>327</v>
      </c>
      <c r="AJ16" s="458" t="s">
        <v>477</v>
      </c>
      <c r="AK16" s="458" t="s">
        <v>329</v>
      </c>
      <c r="AL16" s="458" t="s">
        <v>327</v>
      </c>
      <c r="AM16" s="458" t="s">
        <v>327</v>
      </c>
      <c r="AN16" s="458" t="s">
        <v>327</v>
      </c>
      <c r="AO16" s="646">
        <v>3751549</v>
      </c>
      <c r="AP16" s="647">
        <v>4082618</v>
      </c>
      <c r="AQ16" s="458" t="s">
        <v>327</v>
      </c>
      <c r="AR16" s="458" t="s">
        <v>327</v>
      </c>
      <c r="AS16" s="458" t="s">
        <v>327</v>
      </c>
      <c r="AT16" s="458" t="s">
        <v>327</v>
      </c>
      <c r="AU16" s="458" t="s">
        <v>327</v>
      </c>
      <c r="AV16" s="458" t="s">
        <v>327</v>
      </c>
      <c r="AW16" s="458" t="s">
        <v>327</v>
      </c>
      <c r="AX16" s="648">
        <f>+AO16+AP16</f>
        <v>7834167</v>
      </c>
      <c r="AY16" s="649"/>
    </row>
    <row r="17" spans="1:51" s="51" customFormat="1" ht="55.15" customHeight="1" x14ac:dyDescent="0.25">
      <c r="A17" s="585"/>
      <c r="B17" s="453"/>
      <c r="C17" s="593"/>
      <c r="D17" s="125" t="s">
        <v>3</v>
      </c>
      <c r="E17" s="107">
        <f>+[3]INVERSIÓN!BF18</f>
        <v>6130432000</v>
      </c>
      <c r="F17" s="107">
        <f>+[3]INVERSIÓN!CE18</f>
        <v>5689748327</v>
      </c>
      <c r="G17" s="107">
        <f>+[3]INVERSIÓN!$CH$18</f>
        <v>5689748327</v>
      </c>
      <c r="H17" s="107">
        <f>+[3]INVERSIÓN!$CH$18</f>
        <v>5689748327</v>
      </c>
      <c r="I17" s="107">
        <f>+[3]INVERSIÓN!$CH$18</f>
        <v>5689748327</v>
      </c>
      <c r="J17" s="107">
        <f>+[3]INVERSIÓN!$CH$18</f>
        <v>5689748327</v>
      </c>
      <c r="K17" s="107">
        <f>+[3]INVERSIÓN!$CH$18</f>
        <v>5689748327</v>
      </c>
      <c r="L17" s="107">
        <f>+[3]INVERSIÓN!$CH$18</f>
        <v>5689748327</v>
      </c>
      <c r="M17" s="107">
        <f>+[3]INVERSIÓN!$CH$18</f>
        <v>5689748327</v>
      </c>
      <c r="N17" s="107">
        <f>+[3]INVERSIÓN!$CH$18</f>
        <v>5689748327</v>
      </c>
      <c r="O17" s="117">
        <f>+[3]INVERSIÓN!$CH$18</f>
        <v>5689748327</v>
      </c>
      <c r="P17" s="107"/>
      <c r="Q17" s="107"/>
      <c r="R17" s="107"/>
      <c r="S17" s="117"/>
      <c r="T17" s="107">
        <f>+[3]INVERSIÓN!BH18</f>
        <v>1835843000</v>
      </c>
      <c r="U17" s="117">
        <f>+[3]INVERSIÓN!BJ18+T17</f>
        <v>1835843000</v>
      </c>
      <c r="V17" s="117">
        <f>+[3]INVERSIÓN!BL18+U17</f>
        <v>1835843000</v>
      </c>
      <c r="W17" s="117">
        <f>+[3]INVERSIÓN!BN18+V17</f>
        <v>1835843000</v>
      </c>
      <c r="X17" s="117">
        <f>+[3]INVERSIÓN!BP18+W17</f>
        <v>1835843000</v>
      </c>
      <c r="Y17" s="117">
        <f>+[3]INVERSIÓN!BR18+X17</f>
        <v>1925843000</v>
      </c>
      <c r="Z17" s="117">
        <f>+[3]INVERSIÓN!BT18+Y17</f>
        <v>1879977000</v>
      </c>
      <c r="AA17" s="117">
        <f>+[3]INVERSIÓN!BV18+Z17</f>
        <v>1879977000</v>
      </c>
      <c r="AB17" s="117">
        <f>+[3]INVERSIÓN!BX18+AA17</f>
        <v>2115789834</v>
      </c>
      <c r="AC17" s="107"/>
      <c r="AD17" s="107"/>
      <c r="AE17" s="93"/>
      <c r="AF17" s="117"/>
      <c r="AG17" s="458"/>
      <c r="AH17" s="458"/>
      <c r="AI17" s="458"/>
      <c r="AJ17" s="458"/>
      <c r="AK17" s="458"/>
      <c r="AL17" s="458"/>
      <c r="AM17" s="458"/>
      <c r="AN17" s="458"/>
      <c r="AO17" s="646"/>
      <c r="AP17" s="647"/>
      <c r="AQ17" s="458"/>
      <c r="AR17" s="458"/>
      <c r="AS17" s="458"/>
      <c r="AT17" s="458"/>
      <c r="AU17" s="458"/>
      <c r="AV17" s="458"/>
      <c r="AW17" s="458"/>
      <c r="AX17" s="648"/>
      <c r="AY17" s="649"/>
    </row>
    <row r="18" spans="1:51" ht="55.15" customHeight="1" x14ac:dyDescent="0.25">
      <c r="A18" s="585"/>
      <c r="B18" s="453"/>
      <c r="C18" s="593"/>
      <c r="D18" s="128" t="s">
        <v>41</v>
      </c>
      <c r="E18" s="299">
        <f>+[3]INVERSIÓN!BF20</f>
        <v>0</v>
      </c>
      <c r="F18" s="299">
        <f>+[3]INVERSIÓN!CE20</f>
        <v>0</v>
      </c>
      <c r="G18" s="299">
        <f>+[3]INVERSIÓN!$CH$20</f>
        <v>0</v>
      </c>
      <c r="H18" s="299">
        <f>+[3]INVERSIÓN!$CH$20</f>
        <v>0</v>
      </c>
      <c r="I18" s="299">
        <f>+[3]INVERSIÓN!$CH$20</f>
        <v>0</v>
      </c>
      <c r="J18" s="299">
        <f>+[3]INVERSIÓN!$CH$20</f>
        <v>0</v>
      </c>
      <c r="K18" s="299">
        <f>+[3]INVERSIÓN!$CH$20</f>
        <v>0</v>
      </c>
      <c r="L18" s="299">
        <f>+[3]INVERSIÓN!$CH$20</f>
        <v>0</v>
      </c>
      <c r="M18" s="299">
        <f>+[3]INVERSIÓN!$CH$20</f>
        <v>0</v>
      </c>
      <c r="N18" s="299">
        <f>+[3]INVERSIÓN!$CH$20</f>
        <v>0</v>
      </c>
      <c r="O18" s="299">
        <f>+[3]INVERSIÓN!$CH$20</f>
        <v>0</v>
      </c>
      <c r="P18" s="299"/>
      <c r="Q18" s="299"/>
      <c r="R18" s="299"/>
      <c r="S18" s="650"/>
      <c r="T18" s="299">
        <f>+[3]INVERSIÓN!BH20</f>
        <v>0</v>
      </c>
      <c r="U18" s="299">
        <f>+[3]INVERSIÓN!BJ20+T18</f>
        <v>0</v>
      </c>
      <c r="V18" s="299">
        <f>+[3]INVERSIÓN!BL20+U18</f>
        <v>0</v>
      </c>
      <c r="W18" s="299">
        <f>+[3]INVERSIÓN!BN20+V18</f>
        <v>0</v>
      </c>
      <c r="X18" s="299">
        <f>+[3]INVERSIÓN!BP20+W18</f>
        <v>0</v>
      </c>
      <c r="Y18" s="299">
        <f>+[3]INVERSIÓN!BR20+X18</f>
        <v>0</v>
      </c>
      <c r="Z18" s="299">
        <f>+[3]INVERSIÓN!BT20+Y18</f>
        <v>0</v>
      </c>
      <c r="AA18" s="299">
        <f>+[3]INVERSIÓN!BV20+Z18</f>
        <v>0</v>
      </c>
      <c r="AB18" s="299">
        <f>+[3]INVERSIÓN!BX20+AA18</f>
        <v>0</v>
      </c>
      <c r="AC18" s="299"/>
      <c r="AD18" s="93"/>
      <c r="AE18" s="93"/>
      <c r="AF18" s="650"/>
      <c r="AG18" s="458"/>
      <c r="AH18" s="458"/>
      <c r="AI18" s="458"/>
      <c r="AJ18" s="458"/>
      <c r="AK18" s="458"/>
      <c r="AL18" s="458"/>
      <c r="AM18" s="458"/>
      <c r="AN18" s="458"/>
      <c r="AO18" s="646"/>
      <c r="AP18" s="647"/>
      <c r="AQ18" s="458"/>
      <c r="AR18" s="458"/>
      <c r="AS18" s="458"/>
      <c r="AT18" s="458"/>
      <c r="AU18" s="458"/>
      <c r="AV18" s="458"/>
      <c r="AW18" s="458"/>
      <c r="AX18" s="648"/>
      <c r="AY18" s="649"/>
    </row>
    <row r="19" spans="1:51" s="51" customFormat="1" ht="55.15" customHeight="1" x14ac:dyDescent="0.25">
      <c r="A19" s="585"/>
      <c r="B19" s="453"/>
      <c r="C19" s="593"/>
      <c r="D19" s="125" t="s">
        <v>4</v>
      </c>
      <c r="E19" s="107">
        <f>+[3]INVERSIÓN!BF21</f>
        <v>54863634</v>
      </c>
      <c r="F19" s="107">
        <f>+[3]INVERSIÓN!CE21</f>
        <v>53702100</v>
      </c>
      <c r="G19" s="107">
        <f>+[3]INVERSIÓN!$CH$21</f>
        <v>53702100</v>
      </c>
      <c r="H19" s="107">
        <f>+[3]INVERSIÓN!$CH$21</f>
        <v>53702100</v>
      </c>
      <c r="I19" s="107">
        <f>+[3]INVERSIÓN!$CH$21</f>
        <v>53702100</v>
      </c>
      <c r="J19" s="107">
        <f>+[3]INVERSIÓN!$CH$21</f>
        <v>53702100</v>
      </c>
      <c r="K19" s="107">
        <f>+[3]INVERSIÓN!$CH$21</f>
        <v>53702100</v>
      </c>
      <c r="L19" s="107">
        <f>+[3]INVERSIÓN!$CH$21</f>
        <v>53702100</v>
      </c>
      <c r="M19" s="107">
        <f>+[3]INVERSIÓN!$CH$21</f>
        <v>53702100</v>
      </c>
      <c r="N19" s="107">
        <f>+[3]INVERSIÓN!$CH$21</f>
        <v>53702100</v>
      </c>
      <c r="O19" s="107">
        <f>+[3]INVERSIÓN!$CH$21</f>
        <v>53702100</v>
      </c>
      <c r="P19" s="107"/>
      <c r="Q19" s="107"/>
      <c r="R19" s="107"/>
      <c r="S19" s="127"/>
      <c r="T19" s="107">
        <f>+[3]INVERSIÓN!BH21</f>
        <v>0</v>
      </c>
      <c r="U19" s="107">
        <f>+[3]INVERSIÓN!BJ21+T19</f>
        <v>45990566</v>
      </c>
      <c r="V19" s="107">
        <f>+[3]INVERSIÓN!BL21+U19</f>
        <v>45990566</v>
      </c>
      <c r="W19" s="107">
        <f>+[3]INVERSIÓN!BN21+V19</f>
        <v>45990566</v>
      </c>
      <c r="X19" s="107">
        <f>+[3]INVERSIÓN!BP21+W19</f>
        <v>45990566</v>
      </c>
      <c r="Y19" s="107">
        <f>+[3]INVERSIÓN!BR21+X19</f>
        <v>45990566</v>
      </c>
      <c r="Z19" s="107">
        <f>+[3]INVERSIÓN!BT21+Y19</f>
        <v>53702101</v>
      </c>
      <c r="AA19" s="107">
        <f>+[3]INVERSIÓN!BV21+Z19</f>
        <v>53702101</v>
      </c>
      <c r="AB19" s="107">
        <f>+[3]INVERSIÓN!BX21+AA19</f>
        <v>51544966</v>
      </c>
      <c r="AC19" s="107"/>
      <c r="AD19" s="117"/>
      <c r="AE19" s="117"/>
      <c r="AF19" s="127"/>
      <c r="AG19" s="458"/>
      <c r="AH19" s="458"/>
      <c r="AI19" s="458"/>
      <c r="AJ19" s="458"/>
      <c r="AK19" s="458"/>
      <c r="AL19" s="458"/>
      <c r="AM19" s="458"/>
      <c r="AN19" s="458"/>
      <c r="AO19" s="646"/>
      <c r="AP19" s="647"/>
      <c r="AQ19" s="458"/>
      <c r="AR19" s="458"/>
      <c r="AS19" s="458"/>
      <c r="AT19" s="458"/>
      <c r="AU19" s="458"/>
      <c r="AV19" s="458"/>
      <c r="AW19" s="458"/>
      <c r="AX19" s="648"/>
      <c r="AY19" s="649"/>
    </row>
    <row r="20" spans="1:51" ht="55.15" customHeight="1" x14ac:dyDescent="0.25">
      <c r="A20" s="585"/>
      <c r="B20" s="453"/>
      <c r="C20" s="593"/>
      <c r="D20" s="128" t="s">
        <v>42</v>
      </c>
      <c r="E20" s="129">
        <f>+E16+E18</f>
        <v>6</v>
      </c>
      <c r="F20" s="129">
        <f>+F16+F18</f>
        <v>6</v>
      </c>
      <c r="G20" s="129">
        <f t="shared" ref="G20:R21" si="2">+G16+G18</f>
        <v>6</v>
      </c>
      <c r="H20" s="129">
        <f t="shared" si="2"/>
        <v>6</v>
      </c>
      <c r="I20" s="129">
        <f t="shared" si="2"/>
        <v>6</v>
      </c>
      <c r="J20" s="129">
        <f t="shared" si="2"/>
        <v>6</v>
      </c>
      <c r="K20" s="129">
        <f t="shared" si="2"/>
        <v>6</v>
      </c>
      <c r="L20" s="129">
        <f t="shared" si="2"/>
        <v>6</v>
      </c>
      <c r="M20" s="129">
        <f t="shared" si="2"/>
        <v>6</v>
      </c>
      <c r="N20" s="129">
        <f t="shared" si="2"/>
        <v>6</v>
      </c>
      <c r="O20" s="129">
        <f t="shared" si="2"/>
        <v>6</v>
      </c>
      <c r="P20" s="129"/>
      <c r="Q20" s="129"/>
      <c r="R20" s="129"/>
      <c r="S20" s="129"/>
      <c r="T20" s="129">
        <f t="shared" ref="T20:AE21" si="3">+T16+T18</f>
        <v>0</v>
      </c>
      <c r="U20" s="129">
        <f t="shared" si="3"/>
        <v>0.45</v>
      </c>
      <c r="V20" s="129">
        <f t="shared" si="3"/>
        <v>1</v>
      </c>
      <c r="W20" s="129">
        <f t="shared" si="3"/>
        <v>1.6</v>
      </c>
      <c r="X20" s="129">
        <f t="shared" si="3"/>
        <v>2.2999999999999998</v>
      </c>
      <c r="Y20" s="129">
        <f t="shared" si="3"/>
        <v>3</v>
      </c>
      <c r="Z20" s="129">
        <f t="shared" si="3"/>
        <v>3.3</v>
      </c>
      <c r="AA20" s="129">
        <f t="shared" si="3"/>
        <v>3.5</v>
      </c>
      <c r="AB20" s="129">
        <f t="shared" si="3"/>
        <v>4.0999999999999996</v>
      </c>
      <c r="AC20" s="129"/>
      <c r="AD20" s="129"/>
      <c r="AE20" s="129"/>
      <c r="AF20" s="650"/>
      <c r="AG20" s="458"/>
      <c r="AH20" s="458"/>
      <c r="AI20" s="458"/>
      <c r="AJ20" s="458"/>
      <c r="AK20" s="458"/>
      <c r="AL20" s="458"/>
      <c r="AM20" s="458"/>
      <c r="AN20" s="458"/>
      <c r="AO20" s="646"/>
      <c r="AP20" s="647"/>
      <c r="AQ20" s="458"/>
      <c r="AR20" s="458"/>
      <c r="AS20" s="458"/>
      <c r="AT20" s="458"/>
      <c r="AU20" s="458"/>
      <c r="AV20" s="458"/>
      <c r="AW20" s="458"/>
      <c r="AX20" s="648"/>
      <c r="AY20" s="649"/>
    </row>
    <row r="21" spans="1:51" s="52" customFormat="1" ht="55.15" customHeight="1" x14ac:dyDescent="0.25">
      <c r="A21" s="585"/>
      <c r="B21" s="453"/>
      <c r="C21" s="593"/>
      <c r="D21" s="125" t="s">
        <v>44</v>
      </c>
      <c r="E21" s="127">
        <f>+E17+E19</f>
        <v>6185295634</v>
      </c>
      <c r="F21" s="127">
        <f>+F17+F19</f>
        <v>5743450427</v>
      </c>
      <c r="G21" s="127">
        <f t="shared" si="2"/>
        <v>5743450427</v>
      </c>
      <c r="H21" s="127">
        <f t="shared" si="2"/>
        <v>5743450427</v>
      </c>
      <c r="I21" s="127">
        <f t="shared" si="2"/>
        <v>5743450427</v>
      </c>
      <c r="J21" s="127">
        <f t="shared" si="2"/>
        <v>5743450427</v>
      </c>
      <c r="K21" s="127">
        <f t="shared" si="2"/>
        <v>5743450427</v>
      </c>
      <c r="L21" s="127">
        <f t="shared" si="2"/>
        <v>5743450427</v>
      </c>
      <c r="M21" s="127">
        <f t="shared" si="2"/>
        <v>5743450427</v>
      </c>
      <c r="N21" s="127">
        <f t="shared" si="2"/>
        <v>5743450427</v>
      </c>
      <c r="O21" s="127">
        <f t="shared" si="2"/>
        <v>5743450427</v>
      </c>
      <c r="P21" s="127"/>
      <c r="Q21" s="127"/>
      <c r="R21" s="127"/>
      <c r="S21" s="127"/>
      <c r="T21" s="127">
        <f t="shared" si="3"/>
        <v>1835843000</v>
      </c>
      <c r="U21" s="127">
        <f t="shared" si="3"/>
        <v>1881833566</v>
      </c>
      <c r="V21" s="127">
        <f t="shared" si="3"/>
        <v>1881833566</v>
      </c>
      <c r="W21" s="127">
        <f t="shared" si="3"/>
        <v>1881833566</v>
      </c>
      <c r="X21" s="127">
        <f t="shared" si="3"/>
        <v>1881833566</v>
      </c>
      <c r="Y21" s="127">
        <f t="shared" si="3"/>
        <v>1971833566</v>
      </c>
      <c r="Z21" s="127">
        <f t="shared" si="3"/>
        <v>1933679101</v>
      </c>
      <c r="AA21" s="127">
        <f t="shared" si="3"/>
        <v>1933679101</v>
      </c>
      <c r="AB21" s="127">
        <f t="shared" si="3"/>
        <v>2167334800</v>
      </c>
      <c r="AC21" s="127"/>
      <c r="AD21" s="127"/>
      <c r="AE21" s="127"/>
      <c r="AF21" s="107"/>
      <c r="AG21" s="458"/>
      <c r="AH21" s="458"/>
      <c r="AI21" s="458"/>
      <c r="AJ21" s="458"/>
      <c r="AK21" s="458"/>
      <c r="AL21" s="458"/>
      <c r="AM21" s="458"/>
      <c r="AN21" s="458"/>
      <c r="AO21" s="646"/>
      <c r="AP21" s="647"/>
      <c r="AQ21" s="458"/>
      <c r="AR21" s="458"/>
      <c r="AS21" s="458"/>
      <c r="AT21" s="458"/>
      <c r="AU21" s="458"/>
      <c r="AV21" s="458"/>
      <c r="AW21" s="458"/>
      <c r="AX21" s="648"/>
      <c r="AY21" s="649"/>
    </row>
    <row r="22" spans="1:51" ht="55.15" customHeight="1" x14ac:dyDescent="0.25">
      <c r="A22" s="590">
        <v>3</v>
      </c>
      <c r="B22" s="588" t="s">
        <v>331</v>
      </c>
      <c r="C22" s="594" t="s">
        <v>478</v>
      </c>
      <c r="D22" s="128" t="s">
        <v>40</v>
      </c>
      <c r="E22" s="299">
        <f>+[3]INVERSIÓN!BF24</f>
        <v>2</v>
      </c>
      <c r="F22" s="299">
        <f>+[3]INVERSIÓN!CE24</f>
        <v>1.9999999999999996</v>
      </c>
      <c r="G22" s="299">
        <f>+[3]INVERSIÓN!$CH$24</f>
        <v>1.9999999999999996</v>
      </c>
      <c r="H22" s="299">
        <f>+[3]INVERSIÓN!$CH$24</f>
        <v>1.9999999999999996</v>
      </c>
      <c r="I22" s="299">
        <f>+[3]INVERSIÓN!$CH$24</f>
        <v>1.9999999999999996</v>
      </c>
      <c r="J22" s="299">
        <f>+[3]INVERSIÓN!$CH$24</f>
        <v>1.9999999999999996</v>
      </c>
      <c r="K22" s="299">
        <f>+[3]INVERSIÓN!$CH$24</f>
        <v>1.9999999999999996</v>
      </c>
      <c r="L22" s="299">
        <f>+[3]INVERSIÓN!$CH$24</f>
        <v>1.9999999999999996</v>
      </c>
      <c r="M22" s="299">
        <f>+[3]INVERSIÓN!$CH$24</f>
        <v>1.9999999999999996</v>
      </c>
      <c r="N22" s="299">
        <f>+[3]INVERSIÓN!$CH$24</f>
        <v>1.9999999999999996</v>
      </c>
      <c r="O22" s="299">
        <f>+[3]INVERSIÓN!$CH$24</f>
        <v>1.9999999999999996</v>
      </c>
      <c r="P22" s="299"/>
      <c r="Q22" s="299"/>
      <c r="R22" s="299"/>
      <c r="S22" s="299"/>
      <c r="T22" s="299">
        <f>+[3]INVERSIÓN!BH24</f>
        <v>0</v>
      </c>
      <c r="U22" s="299">
        <f>+[3]INVERSIÓN!BJ24+T22</f>
        <v>0.33</v>
      </c>
      <c r="V22" s="299">
        <f>+[3]INVERSIÓN!BL24+U22</f>
        <v>0.5</v>
      </c>
      <c r="W22" s="299">
        <f>+[3]INVERSIÓN!BN24+V22</f>
        <v>0.67</v>
      </c>
      <c r="X22" s="299">
        <f>+[3]INVERSIÓN!BP24+W22</f>
        <v>0.81</v>
      </c>
      <c r="Y22" s="299">
        <f>+[3]INVERSIÓN!BR24+X22</f>
        <v>0.98000000000000009</v>
      </c>
      <c r="Z22" s="299">
        <f>+[3]INVERSIÓN!BT24+Y22</f>
        <v>1.1700000000000002</v>
      </c>
      <c r="AA22" s="299">
        <f>+[3]INVERSIÓN!BV24+Z22</f>
        <v>1.34</v>
      </c>
      <c r="AB22" s="299">
        <f>+[3]INVERSIÓN!BX24+AA22</f>
        <v>1.51</v>
      </c>
      <c r="AC22" s="299"/>
      <c r="AD22" s="93"/>
      <c r="AE22" s="93"/>
      <c r="AF22" s="299"/>
      <c r="AG22" s="458" t="s">
        <v>326</v>
      </c>
      <c r="AH22" s="458" t="s">
        <v>327</v>
      </c>
      <c r="AI22" s="458" t="s">
        <v>327</v>
      </c>
      <c r="AJ22" s="458" t="s">
        <v>329</v>
      </c>
      <c r="AK22" s="458" t="s">
        <v>329</v>
      </c>
      <c r="AL22" s="458" t="s">
        <v>327</v>
      </c>
      <c r="AM22" s="458" t="s">
        <v>327</v>
      </c>
      <c r="AN22" s="458" t="s">
        <v>327</v>
      </c>
      <c r="AO22" s="646">
        <v>3751549</v>
      </c>
      <c r="AP22" s="647">
        <v>4082618</v>
      </c>
      <c r="AQ22" s="458" t="s">
        <v>327</v>
      </c>
      <c r="AR22" s="458" t="s">
        <v>327</v>
      </c>
      <c r="AS22" s="458" t="s">
        <v>327</v>
      </c>
      <c r="AT22" s="458" t="s">
        <v>327</v>
      </c>
      <c r="AU22" s="458" t="s">
        <v>327</v>
      </c>
      <c r="AV22" s="458" t="s">
        <v>327</v>
      </c>
      <c r="AW22" s="458" t="s">
        <v>327</v>
      </c>
      <c r="AX22" s="648">
        <f>+AO22+AP22</f>
        <v>7834167</v>
      </c>
      <c r="AY22" s="649"/>
    </row>
    <row r="23" spans="1:51" s="30" customFormat="1" ht="55.15" customHeight="1" x14ac:dyDescent="0.25">
      <c r="A23" s="591"/>
      <c r="B23" s="589"/>
      <c r="C23" s="595"/>
      <c r="D23" s="125" t="s">
        <v>3</v>
      </c>
      <c r="E23" s="107">
        <f>+[3]INVERSIÓN!BF25</f>
        <v>3364237000</v>
      </c>
      <c r="F23" s="107">
        <f>+[3]INVERSIÓN!CE25</f>
        <v>3517906108</v>
      </c>
      <c r="G23" s="107">
        <f>+[3]INVERSIÓN!$CH$25</f>
        <v>3517906108</v>
      </c>
      <c r="H23" s="107">
        <f>+[3]INVERSIÓN!$CH$25</f>
        <v>3517906108</v>
      </c>
      <c r="I23" s="107">
        <f>+[3]INVERSIÓN!$CH$25</f>
        <v>3517906108</v>
      </c>
      <c r="J23" s="107">
        <f>+[3]INVERSIÓN!$CH$25</f>
        <v>3517906108</v>
      </c>
      <c r="K23" s="107">
        <f>+[3]INVERSIÓN!$CH$25</f>
        <v>3517906108</v>
      </c>
      <c r="L23" s="107">
        <f>+[3]INVERSIÓN!$CH$25</f>
        <v>3517906108</v>
      </c>
      <c r="M23" s="107">
        <f>+[3]INVERSIÓN!$CH$25</f>
        <v>3517906108</v>
      </c>
      <c r="N23" s="107">
        <f>+[3]INVERSIÓN!$CH$25</f>
        <v>3517906108</v>
      </c>
      <c r="O23" s="107">
        <f>+[3]INVERSIÓN!$CH$25</f>
        <v>3517906108</v>
      </c>
      <c r="P23" s="107"/>
      <c r="Q23" s="107"/>
      <c r="R23" s="107"/>
      <c r="S23" s="107"/>
      <c r="T23" s="107">
        <f>+[3]INVERSIÓN!BH25</f>
        <v>2534638908</v>
      </c>
      <c r="U23" s="107">
        <f>+[3]INVERSIÓN!BJ25+T23</f>
        <v>2534638908</v>
      </c>
      <c r="V23" s="107">
        <f>+[3]INVERSIÓN!BL25+U23</f>
        <v>2584638908</v>
      </c>
      <c r="W23" s="107">
        <f>+[3]INVERSIÓN!BN25+V23</f>
        <v>2584638908</v>
      </c>
      <c r="X23" s="107">
        <f>+[3]INVERSIÓN!BP25+W23</f>
        <v>2747234908</v>
      </c>
      <c r="Y23" s="107">
        <f>+[3]INVERSIÓN!BR25+X23</f>
        <v>2747234908</v>
      </c>
      <c r="Z23" s="107">
        <f>+[3]INVERSIÓN!BT25+Y23</f>
        <v>2747234908</v>
      </c>
      <c r="AA23" s="107">
        <f>+[3]INVERSIÓN!BV25+Z23</f>
        <v>2747234908</v>
      </c>
      <c r="AB23" s="107">
        <f>+[3]INVERSIÓN!BX25+AA23</f>
        <v>2828127908</v>
      </c>
      <c r="AC23" s="107"/>
      <c r="AD23" s="117"/>
      <c r="AE23" s="117"/>
      <c r="AF23" s="201"/>
      <c r="AG23" s="458"/>
      <c r="AH23" s="458"/>
      <c r="AI23" s="458"/>
      <c r="AJ23" s="458"/>
      <c r="AK23" s="458"/>
      <c r="AL23" s="458"/>
      <c r="AM23" s="458"/>
      <c r="AN23" s="458"/>
      <c r="AO23" s="646"/>
      <c r="AP23" s="647"/>
      <c r="AQ23" s="458"/>
      <c r="AR23" s="458"/>
      <c r="AS23" s="458"/>
      <c r="AT23" s="458"/>
      <c r="AU23" s="458"/>
      <c r="AV23" s="458"/>
      <c r="AW23" s="458"/>
      <c r="AX23" s="648"/>
      <c r="AY23" s="649"/>
    </row>
    <row r="24" spans="1:51" ht="55.15" customHeight="1" x14ac:dyDescent="0.25">
      <c r="A24" s="591"/>
      <c r="B24" s="589"/>
      <c r="C24" s="595"/>
      <c r="D24" s="128" t="s">
        <v>41</v>
      </c>
      <c r="E24" s="299">
        <f>+[3]INVERSIÓN!BF27</f>
        <v>0</v>
      </c>
      <c r="F24" s="299">
        <f>+[3]INVERSIÓN!CE27</f>
        <v>0</v>
      </c>
      <c r="G24" s="299">
        <f>+[3]INVERSIÓN!$CH$27</f>
        <v>0</v>
      </c>
      <c r="H24" s="299">
        <f>+[3]INVERSIÓN!$CH$27</f>
        <v>0</v>
      </c>
      <c r="I24" s="299">
        <f>+[3]INVERSIÓN!$CH$27</f>
        <v>0</v>
      </c>
      <c r="J24" s="299">
        <f>+[3]INVERSIÓN!$CH$27</f>
        <v>0</v>
      </c>
      <c r="K24" s="299">
        <f>+[3]INVERSIÓN!$CH$27</f>
        <v>0</v>
      </c>
      <c r="L24" s="299">
        <f>+[3]INVERSIÓN!$CH$27</f>
        <v>0</v>
      </c>
      <c r="M24" s="299">
        <f>+[3]INVERSIÓN!$CH$27</f>
        <v>0</v>
      </c>
      <c r="N24" s="299">
        <f>+[3]INVERSIÓN!$CH$27</f>
        <v>0</v>
      </c>
      <c r="O24" s="299">
        <f>+[3]INVERSIÓN!$CH$27</f>
        <v>0</v>
      </c>
      <c r="P24" s="299"/>
      <c r="Q24" s="299"/>
      <c r="R24" s="299"/>
      <c r="S24" s="299"/>
      <c r="T24" s="299">
        <f>+[3]INVERSIÓN!BH27</f>
        <v>0</v>
      </c>
      <c r="U24" s="299">
        <f>+[3]INVERSIÓN!BJ27+T24</f>
        <v>0</v>
      </c>
      <c r="V24" s="299">
        <f>+[3]INVERSIÓN!BL27+U24</f>
        <v>0</v>
      </c>
      <c r="W24" s="299">
        <f>+[3]INVERSIÓN!BN27+V24</f>
        <v>0</v>
      </c>
      <c r="X24" s="299">
        <f>+[3]INVERSIÓN!BP27+W24</f>
        <v>0</v>
      </c>
      <c r="Y24" s="299">
        <f>+[3]INVERSIÓN!BR27+X24</f>
        <v>0</v>
      </c>
      <c r="Z24" s="299">
        <f>+[3]INVERSIÓN!BT27+Y24</f>
        <v>0</v>
      </c>
      <c r="AA24" s="299">
        <f>+[3]INVERSIÓN!BV27+Z24</f>
        <v>0</v>
      </c>
      <c r="AB24" s="299">
        <f>+[3]INVERSIÓN!BX27+AA24</f>
        <v>0</v>
      </c>
      <c r="AC24" s="299"/>
      <c r="AD24" s="299"/>
      <c r="AE24" s="93"/>
      <c r="AF24" s="651"/>
      <c r="AG24" s="458"/>
      <c r="AH24" s="458"/>
      <c r="AI24" s="458"/>
      <c r="AJ24" s="458"/>
      <c r="AK24" s="458"/>
      <c r="AL24" s="458"/>
      <c r="AM24" s="458"/>
      <c r="AN24" s="458"/>
      <c r="AO24" s="646"/>
      <c r="AP24" s="647"/>
      <c r="AQ24" s="458"/>
      <c r="AR24" s="458"/>
      <c r="AS24" s="458"/>
      <c r="AT24" s="458"/>
      <c r="AU24" s="458"/>
      <c r="AV24" s="458"/>
      <c r="AW24" s="458"/>
      <c r="AX24" s="648"/>
      <c r="AY24" s="649"/>
    </row>
    <row r="25" spans="1:51" ht="55.15" customHeight="1" x14ac:dyDescent="0.25">
      <c r="A25" s="591"/>
      <c r="B25" s="589"/>
      <c r="C25" s="595"/>
      <c r="D25" s="125" t="s">
        <v>4</v>
      </c>
      <c r="E25" s="107">
        <f>+[3]INVERSIÓN!BF28</f>
        <v>459991982</v>
      </c>
      <c r="F25" s="107">
        <f>+[3]INVERSIÓN!CE28</f>
        <v>458869849</v>
      </c>
      <c r="G25" s="107">
        <f>+[3]INVERSIÓN!$CH$28</f>
        <v>458869849</v>
      </c>
      <c r="H25" s="107">
        <f>+[3]INVERSIÓN!$CH$28</f>
        <v>458869849</v>
      </c>
      <c r="I25" s="107">
        <f>+[3]INVERSIÓN!$CH$28</f>
        <v>458869849</v>
      </c>
      <c r="J25" s="107">
        <f>+[3]INVERSIÓN!$CH$28</f>
        <v>458869849</v>
      </c>
      <c r="K25" s="107">
        <f>+[3]INVERSIÓN!$CH$28</f>
        <v>458869849</v>
      </c>
      <c r="L25" s="107">
        <f>+[3]INVERSIÓN!$CH$28</f>
        <v>458869849</v>
      </c>
      <c r="M25" s="107">
        <f>+[3]INVERSIÓN!$CH$28</f>
        <v>458869849</v>
      </c>
      <c r="N25" s="107">
        <f>+[3]INVERSIÓN!$CH$28</f>
        <v>458869849</v>
      </c>
      <c r="O25" s="107">
        <f>+[3]INVERSIÓN!$CH$28</f>
        <v>458869849</v>
      </c>
      <c r="P25" s="107"/>
      <c r="Q25" s="107"/>
      <c r="R25" s="107"/>
      <c r="S25" s="107"/>
      <c r="T25" s="107">
        <f>+[3]INVERSIÓN!BH28</f>
        <v>0</v>
      </c>
      <c r="U25" s="107">
        <f>+[3]INVERSIÓN!BJ28+T25</f>
        <v>71062834</v>
      </c>
      <c r="V25" s="107">
        <f>+[3]INVERSIÓN!BL28+U25</f>
        <v>71062834</v>
      </c>
      <c r="W25" s="107">
        <f>+[3]INVERSIÓN!BN28+V25</f>
        <v>71062834</v>
      </c>
      <c r="X25" s="107">
        <f>+[3]INVERSIÓN!BP28+W25</f>
        <v>71062834</v>
      </c>
      <c r="Y25" s="107">
        <f>+[3]INVERSIÓN!BR28+X25</f>
        <v>71062834</v>
      </c>
      <c r="Z25" s="107">
        <f>+[3]INVERSIÓN!BT28+Y25</f>
        <v>458869849</v>
      </c>
      <c r="AA25" s="107">
        <f>+[3]INVERSIÓN!BV28+Z25</f>
        <v>458869849</v>
      </c>
      <c r="AB25" s="107">
        <f>+[3]INVERSIÓN!BX28+AA25</f>
        <v>325814200</v>
      </c>
      <c r="AC25" s="107"/>
      <c r="AD25" s="117"/>
      <c r="AE25" s="117"/>
      <c r="AF25" s="117"/>
      <c r="AG25" s="458"/>
      <c r="AH25" s="458"/>
      <c r="AI25" s="458"/>
      <c r="AJ25" s="458"/>
      <c r="AK25" s="458"/>
      <c r="AL25" s="458"/>
      <c r="AM25" s="458"/>
      <c r="AN25" s="458"/>
      <c r="AO25" s="646"/>
      <c r="AP25" s="647"/>
      <c r="AQ25" s="458"/>
      <c r="AR25" s="458"/>
      <c r="AS25" s="458"/>
      <c r="AT25" s="458"/>
      <c r="AU25" s="458"/>
      <c r="AV25" s="458"/>
      <c r="AW25" s="458"/>
      <c r="AX25" s="648"/>
      <c r="AY25" s="649"/>
    </row>
    <row r="26" spans="1:51" ht="55.15" customHeight="1" x14ac:dyDescent="0.25">
      <c r="A26" s="591"/>
      <c r="B26" s="589"/>
      <c r="C26" s="595"/>
      <c r="D26" s="128" t="s">
        <v>42</v>
      </c>
      <c r="E26" s="129">
        <f>+E22+E24</f>
        <v>2</v>
      </c>
      <c r="F26" s="129">
        <f>+F22+F24</f>
        <v>1.9999999999999996</v>
      </c>
      <c r="G26" s="129">
        <f t="shared" ref="G26:R27" si="4">+G22+G24</f>
        <v>1.9999999999999996</v>
      </c>
      <c r="H26" s="129">
        <f t="shared" si="4"/>
        <v>1.9999999999999996</v>
      </c>
      <c r="I26" s="129">
        <f t="shared" si="4"/>
        <v>1.9999999999999996</v>
      </c>
      <c r="J26" s="129">
        <f t="shared" si="4"/>
        <v>1.9999999999999996</v>
      </c>
      <c r="K26" s="129">
        <f t="shared" si="4"/>
        <v>1.9999999999999996</v>
      </c>
      <c r="L26" s="129">
        <f t="shared" si="4"/>
        <v>1.9999999999999996</v>
      </c>
      <c r="M26" s="129">
        <f t="shared" si="4"/>
        <v>1.9999999999999996</v>
      </c>
      <c r="N26" s="129">
        <f t="shared" si="4"/>
        <v>1.9999999999999996</v>
      </c>
      <c r="O26" s="129">
        <f t="shared" si="4"/>
        <v>1.9999999999999996</v>
      </c>
      <c r="P26" s="129"/>
      <c r="Q26" s="129"/>
      <c r="R26" s="129"/>
      <c r="S26" s="129"/>
      <c r="T26" s="129">
        <f t="shared" ref="T26:AE27" si="5">+T22+T24</f>
        <v>0</v>
      </c>
      <c r="U26" s="129">
        <f t="shared" si="5"/>
        <v>0.33</v>
      </c>
      <c r="V26" s="129">
        <f t="shared" si="5"/>
        <v>0.5</v>
      </c>
      <c r="W26" s="129">
        <f t="shared" si="5"/>
        <v>0.67</v>
      </c>
      <c r="X26" s="129">
        <f t="shared" si="5"/>
        <v>0.81</v>
      </c>
      <c r="Y26" s="129">
        <f t="shared" si="5"/>
        <v>0.98000000000000009</v>
      </c>
      <c r="Z26" s="129">
        <f t="shared" si="5"/>
        <v>1.1700000000000002</v>
      </c>
      <c r="AA26" s="129">
        <f t="shared" si="5"/>
        <v>1.34</v>
      </c>
      <c r="AB26" s="129">
        <f t="shared" si="5"/>
        <v>1.51</v>
      </c>
      <c r="AC26" s="129"/>
      <c r="AD26" s="129"/>
      <c r="AE26" s="129"/>
      <c r="AF26" s="650"/>
      <c r="AG26" s="458"/>
      <c r="AH26" s="458"/>
      <c r="AI26" s="458"/>
      <c r="AJ26" s="458"/>
      <c r="AK26" s="458"/>
      <c r="AL26" s="458"/>
      <c r="AM26" s="458"/>
      <c r="AN26" s="458"/>
      <c r="AO26" s="646"/>
      <c r="AP26" s="647"/>
      <c r="AQ26" s="458"/>
      <c r="AR26" s="458"/>
      <c r="AS26" s="458"/>
      <c r="AT26" s="458"/>
      <c r="AU26" s="458"/>
      <c r="AV26" s="458"/>
      <c r="AW26" s="458"/>
      <c r="AX26" s="648"/>
      <c r="AY26" s="649"/>
    </row>
    <row r="27" spans="1:51" ht="55.15" customHeight="1" x14ac:dyDescent="0.25">
      <c r="A27" s="584"/>
      <c r="B27" s="452"/>
      <c r="C27" s="595"/>
      <c r="D27" s="125" t="s">
        <v>44</v>
      </c>
      <c r="E27" s="127">
        <f>+E23+E25</f>
        <v>3824228982</v>
      </c>
      <c r="F27" s="127">
        <f>+F23+F25</f>
        <v>3976775957</v>
      </c>
      <c r="G27" s="127">
        <f t="shared" si="4"/>
        <v>3976775957</v>
      </c>
      <c r="H27" s="127">
        <f t="shared" si="4"/>
        <v>3976775957</v>
      </c>
      <c r="I27" s="127">
        <f t="shared" si="4"/>
        <v>3976775957</v>
      </c>
      <c r="J27" s="127">
        <f t="shared" si="4"/>
        <v>3976775957</v>
      </c>
      <c r="K27" s="127">
        <f t="shared" si="4"/>
        <v>3976775957</v>
      </c>
      <c r="L27" s="127">
        <f t="shared" si="4"/>
        <v>3976775957</v>
      </c>
      <c r="M27" s="127">
        <f t="shared" si="4"/>
        <v>3976775957</v>
      </c>
      <c r="N27" s="127">
        <f t="shared" si="4"/>
        <v>3976775957</v>
      </c>
      <c r="O27" s="127">
        <f t="shared" si="4"/>
        <v>3976775957</v>
      </c>
      <c r="P27" s="127"/>
      <c r="Q27" s="127"/>
      <c r="R27" s="127"/>
      <c r="S27" s="127"/>
      <c r="T27" s="127">
        <f t="shared" si="5"/>
        <v>2534638908</v>
      </c>
      <c r="U27" s="127">
        <f t="shared" si="5"/>
        <v>2605701742</v>
      </c>
      <c r="V27" s="127">
        <f t="shared" si="5"/>
        <v>2655701742</v>
      </c>
      <c r="W27" s="127">
        <f t="shared" si="5"/>
        <v>2655701742</v>
      </c>
      <c r="X27" s="127">
        <f t="shared" si="5"/>
        <v>2818297742</v>
      </c>
      <c r="Y27" s="127">
        <f t="shared" si="5"/>
        <v>2818297742</v>
      </c>
      <c r="Z27" s="127">
        <f t="shared" si="5"/>
        <v>3206104757</v>
      </c>
      <c r="AA27" s="127">
        <f t="shared" si="5"/>
        <v>3206104757</v>
      </c>
      <c r="AB27" s="127">
        <f t="shared" si="5"/>
        <v>3153942108</v>
      </c>
      <c r="AC27" s="127"/>
      <c r="AD27" s="127"/>
      <c r="AE27" s="127"/>
      <c r="AF27" s="107"/>
      <c r="AG27" s="458"/>
      <c r="AH27" s="458"/>
      <c r="AI27" s="458"/>
      <c r="AJ27" s="458"/>
      <c r="AK27" s="458"/>
      <c r="AL27" s="458"/>
      <c r="AM27" s="458"/>
      <c r="AN27" s="458"/>
      <c r="AO27" s="646"/>
      <c r="AP27" s="647"/>
      <c r="AQ27" s="458"/>
      <c r="AR27" s="458"/>
      <c r="AS27" s="458"/>
      <c r="AT27" s="458"/>
      <c r="AU27" s="458"/>
      <c r="AV27" s="458"/>
      <c r="AW27" s="458"/>
      <c r="AX27" s="648"/>
      <c r="AY27" s="649"/>
    </row>
    <row r="28" spans="1:51" s="238" customFormat="1" ht="55.15" customHeight="1" x14ac:dyDescent="0.25">
      <c r="A28" s="590">
        <v>4</v>
      </c>
      <c r="B28" s="588" t="s">
        <v>332</v>
      </c>
      <c r="C28" s="587" t="s">
        <v>634</v>
      </c>
      <c r="D28" s="236" t="s">
        <v>40</v>
      </c>
      <c r="E28" s="652">
        <f>+[3]INVERSIÓN!BF31</f>
        <v>1272</v>
      </c>
      <c r="F28" s="652">
        <f>+[3]INVERSIÓN!CE31</f>
        <v>1272</v>
      </c>
      <c r="G28" s="652">
        <f>+[3]INVERSIÓN!$CH$31</f>
        <v>1272</v>
      </c>
      <c r="H28" s="652">
        <f>+[3]INVERSIÓN!$CH$31</f>
        <v>1272</v>
      </c>
      <c r="I28" s="652">
        <f>+[3]INVERSIÓN!$CH$31</f>
        <v>1272</v>
      </c>
      <c r="J28" s="652">
        <f>+[3]INVERSIÓN!$CH$31</f>
        <v>1272</v>
      </c>
      <c r="K28" s="652">
        <f>+[3]INVERSIÓN!$CH$31</f>
        <v>1272</v>
      </c>
      <c r="L28" s="652">
        <f>+[3]INVERSIÓN!$CH$31</f>
        <v>1272</v>
      </c>
      <c r="M28" s="652">
        <f>+[3]INVERSIÓN!$CH$31</f>
        <v>1272</v>
      </c>
      <c r="N28" s="652">
        <f>+[3]INVERSIÓN!$CH$31</f>
        <v>1272</v>
      </c>
      <c r="O28" s="652">
        <f>+[3]INVERSIÓN!$CH$31</f>
        <v>1272</v>
      </c>
      <c r="P28" s="652"/>
      <c r="Q28" s="652"/>
      <c r="R28" s="652"/>
      <c r="S28" s="652"/>
      <c r="T28" s="652">
        <f>+[3]INVERSIÓN!BH31</f>
        <v>11</v>
      </c>
      <c r="U28" s="652">
        <f>+[3]INVERSIÓN!BJ31+T28</f>
        <v>140</v>
      </c>
      <c r="V28" s="652">
        <f>+[3]INVERSIÓN!BL31+U28</f>
        <v>249</v>
      </c>
      <c r="W28" s="652">
        <f>+[3]INVERSIÓN!BN31+V28</f>
        <v>364</v>
      </c>
      <c r="X28" s="652">
        <f>+[3]INVERSIÓN!BP31+W28</f>
        <v>558</v>
      </c>
      <c r="Y28" s="652">
        <f>+[3]INVERSIÓN!BR31+X28</f>
        <v>685</v>
      </c>
      <c r="Z28" s="652">
        <f>+[3]INVERSIÓN!BT31+Y28</f>
        <v>823</v>
      </c>
      <c r="AA28" s="652">
        <f>+[3]INVERSIÓN!BV31+Z28</f>
        <v>940</v>
      </c>
      <c r="AB28" s="652">
        <f>+[3]INVERSIÓN!BX31+AA28</f>
        <v>1082</v>
      </c>
      <c r="AC28" s="652"/>
      <c r="AD28" s="652"/>
      <c r="AE28" s="237"/>
      <c r="AF28" s="652"/>
      <c r="AG28" s="458" t="s">
        <v>326</v>
      </c>
      <c r="AH28" s="458" t="s">
        <v>327</v>
      </c>
      <c r="AI28" s="458" t="s">
        <v>327</v>
      </c>
      <c r="AJ28" s="458" t="s">
        <v>329</v>
      </c>
      <c r="AK28" s="458" t="s">
        <v>329</v>
      </c>
      <c r="AL28" s="458" t="s">
        <v>327</v>
      </c>
      <c r="AM28" s="458" t="s">
        <v>327</v>
      </c>
      <c r="AN28" s="458" t="s">
        <v>327</v>
      </c>
      <c r="AO28" s="646">
        <v>3721767</v>
      </c>
      <c r="AP28" s="647">
        <v>4082893</v>
      </c>
      <c r="AQ28" s="458" t="s">
        <v>327</v>
      </c>
      <c r="AR28" s="458" t="s">
        <v>327</v>
      </c>
      <c r="AS28" s="458" t="s">
        <v>327</v>
      </c>
      <c r="AT28" s="458" t="s">
        <v>327</v>
      </c>
      <c r="AU28" s="458" t="s">
        <v>327</v>
      </c>
      <c r="AV28" s="458" t="s">
        <v>327</v>
      </c>
      <c r="AW28" s="458" t="s">
        <v>327</v>
      </c>
      <c r="AX28" s="648">
        <f>+AO28+AP28</f>
        <v>7804660</v>
      </c>
      <c r="AY28" s="649"/>
    </row>
    <row r="29" spans="1:51" ht="55.15" customHeight="1" x14ac:dyDescent="0.25">
      <c r="A29" s="591"/>
      <c r="B29" s="589"/>
      <c r="C29" s="587"/>
      <c r="D29" s="125" t="s">
        <v>3</v>
      </c>
      <c r="E29" s="107">
        <f>+[3]INVERSIÓN!BF32</f>
        <v>1617058000</v>
      </c>
      <c r="F29" s="107">
        <f>+[3]INVERSIÓN!CE32</f>
        <v>1816153100</v>
      </c>
      <c r="G29" s="107">
        <f>+[3]INVERSIÓN!$CH$32</f>
        <v>1816153100</v>
      </c>
      <c r="H29" s="107">
        <f>+[3]INVERSIÓN!$CH$32</f>
        <v>1816153100</v>
      </c>
      <c r="I29" s="107">
        <f>+[3]INVERSIÓN!$CH$32</f>
        <v>1816153100</v>
      </c>
      <c r="J29" s="107">
        <f>+[3]INVERSIÓN!$CH$32</f>
        <v>1816153100</v>
      </c>
      <c r="K29" s="107">
        <f>+[3]INVERSIÓN!$CH$32</f>
        <v>1816153100</v>
      </c>
      <c r="L29" s="107">
        <f>+[3]INVERSIÓN!$CH$32</f>
        <v>1816153100</v>
      </c>
      <c r="M29" s="107">
        <f>+[3]INVERSIÓN!$CH$32</f>
        <v>1816153100</v>
      </c>
      <c r="N29" s="107">
        <f>+[3]INVERSIÓN!$CH$32</f>
        <v>1816153100</v>
      </c>
      <c r="O29" s="107">
        <f>+[3]INVERSIÓN!$CH$32</f>
        <v>1816153100</v>
      </c>
      <c r="P29" s="107"/>
      <c r="Q29" s="107"/>
      <c r="R29" s="107"/>
      <c r="S29" s="117"/>
      <c r="T29" s="107">
        <f>+[3]INVERSIÓN!BH32</f>
        <v>1097940000</v>
      </c>
      <c r="U29" s="107">
        <f>+[3]INVERSIÓN!BJ32+T29</f>
        <v>1097940000</v>
      </c>
      <c r="V29" s="107">
        <f>+[3]INVERSIÓN!BL32+U29</f>
        <v>1097940000</v>
      </c>
      <c r="W29" s="107">
        <f>+[3]INVERSIÓN!BN32+V29</f>
        <v>1097940000</v>
      </c>
      <c r="X29" s="107">
        <f>+[3]INVERSIÓN!BP32+W29</f>
        <v>1097940000</v>
      </c>
      <c r="Y29" s="107">
        <f>+[3]INVERSIÓN!BR32+X29</f>
        <v>1097940000</v>
      </c>
      <c r="Z29" s="107">
        <f>+[3]INVERSIÓN!BT32+Y29</f>
        <v>1097940000</v>
      </c>
      <c r="AA29" s="107">
        <f>+[3]INVERSIÓN!BV32+Z29</f>
        <v>1097940000</v>
      </c>
      <c r="AB29" s="107">
        <f>+[3]INVERSIÓN!BX32+AA29</f>
        <v>1137940000</v>
      </c>
      <c r="AC29" s="107"/>
      <c r="AD29" s="299"/>
      <c r="AE29" s="93"/>
      <c r="AF29" s="117"/>
      <c r="AG29" s="458"/>
      <c r="AH29" s="458"/>
      <c r="AI29" s="458"/>
      <c r="AJ29" s="458"/>
      <c r="AK29" s="458"/>
      <c r="AL29" s="458"/>
      <c r="AM29" s="458"/>
      <c r="AN29" s="458"/>
      <c r="AO29" s="646"/>
      <c r="AP29" s="647"/>
      <c r="AQ29" s="458"/>
      <c r="AR29" s="458"/>
      <c r="AS29" s="458"/>
      <c r="AT29" s="458"/>
      <c r="AU29" s="458"/>
      <c r="AV29" s="458"/>
      <c r="AW29" s="458"/>
      <c r="AX29" s="648"/>
      <c r="AY29" s="649"/>
    </row>
    <row r="30" spans="1:51" s="238" customFormat="1" ht="55.15" customHeight="1" x14ac:dyDescent="0.25">
      <c r="A30" s="591"/>
      <c r="B30" s="589"/>
      <c r="C30" s="587"/>
      <c r="D30" s="236" t="s">
        <v>41</v>
      </c>
      <c r="E30" s="652">
        <f>+[3]INVERSIÓN!BF34</f>
        <v>0</v>
      </c>
      <c r="F30" s="652">
        <f>+[3]INVERSIÓN!CE34</f>
        <v>0</v>
      </c>
      <c r="G30" s="652">
        <f>+[3]INVERSIÓN!$CH$34</f>
        <v>0</v>
      </c>
      <c r="H30" s="652">
        <f>+[3]INVERSIÓN!$CH$34</f>
        <v>0</v>
      </c>
      <c r="I30" s="652">
        <f>+[3]INVERSIÓN!$CH$34</f>
        <v>0</v>
      </c>
      <c r="J30" s="652">
        <f>+[3]INVERSIÓN!$CH$34</f>
        <v>0</v>
      </c>
      <c r="K30" s="652">
        <f>+[3]INVERSIÓN!$CH$34</f>
        <v>0</v>
      </c>
      <c r="L30" s="652">
        <f>+[3]INVERSIÓN!$CH$34</f>
        <v>0</v>
      </c>
      <c r="M30" s="652">
        <f>+[3]INVERSIÓN!$CH$34</f>
        <v>0</v>
      </c>
      <c r="N30" s="652">
        <f>+[3]INVERSIÓN!$CH$34</f>
        <v>0</v>
      </c>
      <c r="O30" s="652">
        <f>+[3]INVERSIÓN!$CH$34</f>
        <v>0</v>
      </c>
      <c r="P30" s="652"/>
      <c r="Q30" s="652"/>
      <c r="R30" s="652"/>
      <c r="S30" s="653"/>
      <c r="T30" s="652">
        <f>+[3]INVERSIÓN!BH34</f>
        <v>0</v>
      </c>
      <c r="U30" s="652">
        <f>+[3]INVERSIÓN!BJ34+T30</f>
        <v>0</v>
      </c>
      <c r="V30" s="652">
        <f>+[3]INVERSIÓN!BL34+U30</f>
        <v>0</v>
      </c>
      <c r="W30" s="652">
        <f>+[3]INVERSIÓN!BN34+V30</f>
        <v>0</v>
      </c>
      <c r="X30" s="652">
        <f>+[3]INVERSIÓN!BP34+W30</f>
        <v>0</v>
      </c>
      <c r="Y30" s="652">
        <f>+[3]INVERSIÓN!BR34+X30</f>
        <v>0</v>
      </c>
      <c r="Z30" s="652">
        <f>+[3]INVERSIÓN!BT34+Y30</f>
        <v>0</v>
      </c>
      <c r="AA30" s="652">
        <f>+[3]INVERSIÓN!BV34+Z30</f>
        <v>0</v>
      </c>
      <c r="AB30" s="652">
        <f>+[3]INVERSIÓN!BX34+AA30</f>
        <v>0</v>
      </c>
      <c r="AC30" s="654"/>
      <c r="AD30" s="654"/>
      <c r="AE30" s="237"/>
      <c r="AF30" s="653"/>
      <c r="AG30" s="458"/>
      <c r="AH30" s="458"/>
      <c r="AI30" s="458"/>
      <c r="AJ30" s="458"/>
      <c r="AK30" s="458"/>
      <c r="AL30" s="458"/>
      <c r="AM30" s="458"/>
      <c r="AN30" s="458"/>
      <c r="AO30" s="646"/>
      <c r="AP30" s="647"/>
      <c r="AQ30" s="458"/>
      <c r="AR30" s="458"/>
      <c r="AS30" s="458"/>
      <c r="AT30" s="458"/>
      <c r="AU30" s="458"/>
      <c r="AV30" s="458"/>
      <c r="AW30" s="458"/>
      <c r="AX30" s="648"/>
      <c r="AY30" s="649"/>
    </row>
    <row r="31" spans="1:51" ht="55.15" customHeight="1" x14ac:dyDescent="0.25">
      <c r="A31" s="591"/>
      <c r="B31" s="589"/>
      <c r="C31" s="587"/>
      <c r="D31" s="125" t="s">
        <v>4</v>
      </c>
      <c r="E31" s="107">
        <f>+[3]INVERSIÓN!BF35</f>
        <v>662293058</v>
      </c>
      <c r="F31" s="107">
        <f>+[3]INVERSIÓN!CE35</f>
        <v>654546077</v>
      </c>
      <c r="G31" s="107">
        <f>+[3]INVERSIÓN!$CH$35</f>
        <v>654546077</v>
      </c>
      <c r="H31" s="107">
        <f>+[3]INVERSIÓN!$CH$35</f>
        <v>654546077</v>
      </c>
      <c r="I31" s="107">
        <f>+[3]INVERSIÓN!$CH$35</f>
        <v>654546077</v>
      </c>
      <c r="J31" s="107">
        <f>+[3]INVERSIÓN!$CH$35</f>
        <v>654546077</v>
      </c>
      <c r="K31" s="107">
        <f>+[3]INVERSIÓN!$CH$35</f>
        <v>654546077</v>
      </c>
      <c r="L31" s="107">
        <f>+[3]INVERSIÓN!$CH$35</f>
        <v>654546077</v>
      </c>
      <c r="M31" s="107">
        <f>+[3]INVERSIÓN!$CH$35</f>
        <v>654546077</v>
      </c>
      <c r="N31" s="107">
        <f>+[3]INVERSIÓN!$CH$35</f>
        <v>654546077</v>
      </c>
      <c r="O31" s="107">
        <f>+[3]INVERSIÓN!$CH$35</f>
        <v>654546077</v>
      </c>
      <c r="P31" s="107"/>
      <c r="Q31" s="107"/>
      <c r="R31" s="107"/>
      <c r="S31" s="127"/>
      <c r="T31" s="107">
        <f>+[3]INVERSIÓN!BH35</f>
        <v>0</v>
      </c>
      <c r="U31" s="107">
        <f>+[3]INVERSIÓN!BJ35+T31</f>
        <v>24006926</v>
      </c>
      <c r="V31" s="107">
        <f>+[3]INVERSIÓN!BL35+U31</f>
        <v>24006926</v>
      </c>
      <c r="W31" s="107">
        <f>+[3]INVERSIÓN!BN35+V31</f>
        <v>24006926</v>
      </c>
      <c r="X31" s="107">
        <f>+[3]INVERSIÓN!BP35+W31</f>
        <v>24006926</v>
      </c>
      <c r="Y31" s="107">
        <f>+[3]INVERSIÓN!BR35+X31</f>
        <v>24006926</v>
      </c>
      <c r="Z31" s="107">
        <f>+[3]INVERSIÓN!BT35+Y31</f>
        <v>662293058</v>
      </c>
      <c r="AA31" s="107">
        <f>+[3]INVERSIÓN!BV35+Z31</f>
        <v>654546079</v>
      </c>
      <c r="AB31" s="107">
        <f>+[3]INVERSIÓN!BX35+AA31</f>
        <v>654546077</v>
      </c>
      <c r="AC31" s="117"/>
      <c r="AD31" s="117"/>
      <c r="AE31" s="93"/>
      <c r="AF31" s="127"/>
      <c r="AG31" s="458"/>
      <c r="AH31" s="458"/>
      <c r="AI31" s="458"/>
      <c r="AJ31" s="458"/>
      <c r="AK31" s="458"/>
      <c r="AL31" s="458"/>
      <c r="AM31" s="458"/>
      <c r="AN31" s="458"/>
      <c r="AO31" s="646"/>
      <c r="AP31" s="647"/>
      <c r="AQ31" s="458"/>
      <c r="AR31" s="458"/>
      <c r="AS31" s="458"/>
      <c r="AT31" s="458"/>
      <c r="AU31" s="458"/>
      <c r="AV31" s="458"/>
      <c r="AW31" s="458"/>
      <c r="AX31" s="648"/>
      <c r="AY31" s="649"/>
    </row>
    <row r="32" spans="1:51" s="238" customFormat="1" ht="55.15" customHeight="1" x14ac:dyDescent="0.25">
      <c r="A32" s="591"/>
      <c r="B32" s="589"/>
      <c r="C32" s="587"/>
      <c r="D32" s="236" t="s">
        <v>42</v>
      </c>
      <c r="E32" s="239">
        <f>+E28+E30</f>
        <v>1272</v>
      </c>
      <c r="F32" s="239">
        <f>+F28+F30</f>
        <v>1272</v>
      </c>
      <c r="G32" s="239">
        <f t="shared" ref="G32:R33" si="6">+G28+G30</f>
        <v>1272</v>
      </c>
      <c r="H32" s="239">
        <f t="shared" si="6"/>
        <v>1272</v>
      </c>
      <c r="I32" s="239">
        <f t="shared" si="6"/>
        <v>1272</v>
      </c>
      <c r="J32" s="239">
        <f t="shared" si="6"/>
        <v>1272</v>
      </c>
      <c r="K32" s="239">
        <f t="shared" si="6"/>
        <v>1272</v>
      </c>
      <c r="L32" s="239">
        <f t="shared" si="6"/>
        <v>1272</v>
      </c>
      <c r="M32" s="239">
        <f t="shared" si="6"/>
        <v>1272</v>
      </c>
      <c r="N32" s="239">
        <f t="shared" si="6"/>
        <v>1272</v>
      </c>
      <c r="O32" s="239">
        <f t="shared" si="6"/>
        <v>1272</v>
      </c>
      <c r="P32" s="239"/>
      <c r="Q32" s="239"/>
      <c r="R32" s="239"/>
      <c r="S32" s="239"/>
      <c r="T32" s="239">
        <f t="shared" ref="T32:AE33" si="7">+T28+T30</f>
        <v>11</v>
      </c>
      <c r="U32" s="239">
        <f t="shared" si="7"/>
        <v>140</v>
      </c>
      <c r="V32" s="239">
        <f t="shared" si="7"/>
        <v>249</v>
      </c>
      <c r="W32" s="239">
        <f t="shared" si="7"/>
        <v>364</v>
      </c>
      <c r="X32" s="239">
        <f t="shared" si="7"/>
        <v>558</v>
      </c>
      <c r="Y32" s="239">
        <f t="shared" si="7"/>
        <v>685</v>
      </c>
      <c r="Z32" s="239">
        <f t="shared" si="7"/>
        <v>823</v>
      </c>
      <c r="AA32" s="239">
        <f t="shared" si="7"/>
        <v>940</v>
      </c>
      <c r="AB32" s="239">
        <f t="shared" si="7"/>
        <v>1082</v>
      </c>
      <c r="AC32" s="239"/>
      <c r="AD32" s="239"/>
      <c r="AE32" s="237"/>
      <c r="AF32" s="653"/>
      <c r="AG32" s="458"/>
      <c r="AH32" s="458"/>
      <c r="AI32" s="458"/>
      <c r="AJ32" s="458"/>
      <c r="AK32" s="458"/>
      <c r="AL32" s="458"/>
      <c r="AM32" s="458"/>
      <c r="AN32" s="458"/>
      <c r="AO32" s="646"/>
      <c r="AP32" s="647"/>
      <c r="AQ32" s="458"/>
      <c r="AR32" s="458"/>
      <c r="AS32" s="458"/>
      <c r="AT32" s="458"/>
      <c r="AU32" s="458"/>
      <c r="AV32" s="458"/>
      <c r="AW32" s="458"/>
      <c r="AX32" s="648"/>
      <c r="AY32" s="649"/>
    </row>
    <row r="33" spans="1:51" ht="55.15" customHeight="1" x14ac:dyDescent="0.25">
      <c r="A33" s="584"/>
      <c r="B33" s="452"/>
      <c r="C33" s="587"/>
      <c r="D33" s="125" t="s">
        <v>44</v>
      </c>
      <c r="E33" s="127">
        <f>+E29+E31</f>
        <v>2279351058</v>
      </c>
      <c r="F33" s="127">
        <f>+F29+F31</f>
        <v>2470699177</v>
      </c>
      <c r="G33" s="127">
        <f t="shared" si="6"/>
        <v>2470699177</v>
      </c>
      <c r="H33" s="127">
        <f t="shared" si="6"/>
        <v>2470699177</v>
      </c>
      <c r="I33" s="127">
        <f t="shared" si="6"/>
        <v>2470699177</v>
      </c>
      <c r="J33" s="127">
        <f t="shared" si="6"/>
        <v>2470699177</v>
      </c>
      <c r="K33" s="127">
        <f t="shared" si="6"/>
        <v>2470699177</v>
      </c>
      <c r="L33" s="127">
        <f t="shared" si="6"/>
        <v>2470699177</v>
      </c>
      <c r="M33" s="127">
        <f t="shared" si="6"/>
        <v>2470699177</v>
      </c>
      <c r="N33" s="127">
        <f t="shared" si="6"/>
        <v>2470699177</v>
      </c>
      <c r="O33" s="127">
        <f t="shared" si="6"/>
        <v>2470699177</v>
      </c>
      <c r="P33" s="127"/>
      <c r="Q33" s="127"/>
      <c r="R33" s="127"/>
      <c r="S33" s="127"/>
      <c r="T33" s="127">
        <f t="shared" si="7"/>
        <v>1097940000</v>
      </c>
      <c r="U33" s="127">
        <f t="shared" si="7"/>
        <v>1121946926</v>
      </c>
      <c r="V33" s="127">
        <f t="shared" si="7"/>
        <v>1121946926</v>
      </c>
      <c r="W33" s="127">
        <f t="shared" si="7"/>
        <v>1121946926</v>
      </c>
      <c r="X33" s="127">
        <f t="shared" si="7"/>
        <v>1121946926</v>
      </c>
      <c r="Y33" s="127">
        <f t="shared" si="7"/>
        <v>1121946926</v>
      </c>
      <c r="Z33" s="127">
        <f t="shared" si="7"/>
        <v>1760233058</v>
      </c>
      <c r="AA33" s="127">
        <f t="shared" si="7"/>
        <v>1752486079</v>
      </c>
      <c r="AB33" s="127">
        <f t="shared" si="7"/>
        <v>1792486077</v>
      </c>
      <c r="AC33" s="127"/>
      <c r="AD33" s="127"/>
      <c r="AE33" s="93"/>
      <c r="AF33" s="107"/>
      <c r="AG33" s="458"/>
      <c r="AH33" s="458"/>
      <c r="AI33" s="458"/>
      <c r="AJ33" s="458"/>
      <c r="AK33" s="458"/>
      <c r="AL33" s="458"/>
      <c r="AM33" s="458"/>
      <c r="AN33" s="458"/>
      <c r="AO33" s="646"/>
      <c r="AP33" s="647"/>
      <c r="AQ33" s="458"/>
      <c r="AR33" s="458"/>
      <c r="AS33" s="458"/>
      <c r="AT33" s="458"/>
      <c r="AU33" s="458"/>
      <c r="AV33" s="458"/>
      <c r="AW33" s="458"/>
      <c r="AX33" s="648"/>
      <c r="AY33" s="649"/>
    </row>
    <row r="34" spans="1:51" ht="55.15" customHeight="1" x14ac:dyDescent="0.25">
      <c r="A34" s="585">
        <v>5</v>
      </c>
      <c r="B34" s="453" t="s">
        <v>322</v>
      </c>
      <c r="C34" s="596" t="s">
        <v>479</v>
      </c>
      <c r="D34" s="124" t="s">
        <v>40</v>
      </c>
      <c r="E34" s="92">
        <f>+[3]INVERSIÓN!BF38</f>
        <v>1</v>
      </c>
      <c r="F34" s="92">
        <f>+[3]INVERSIÓN!CE38</f>
        <v>1</v>
      </c>
      <c r="G34" s="92">
        <f>+[3]INVERSIÓN!$CH$38</f>
        <v>1</v>
      </c>
      <c r="H34" s="92">
        <f>+[3]INVERSIÓN!$CH$38</f>
        <v>1</v>
      </c>
      <c r="I34" s="92">
        <f>+[3]INVERSIÓN!$CH$38</f>
        <v>1</v>
      </c>
      <c r="J34" s="92">
        <f>+[3]INVERSIÓN!$CH$38</f>
        <v>1</v>
      </c>
      <c r="K34" s="92">
        <f>+[3]INVERSIÓN!$CH$38</f>
        <v>1</v>
      </c>
      <c r="L34" s="92">
        <f>+[3]INVERSIÓN!$CH$38</f>
        <v>1</v>
      </c>
      <c r="M34" s="92">
        <f>+[3]INVERSIÓN!$CH$38</f>
        <v>1</v>
      </c>
      <c r="N34" s="92">
        <f>+[3]INVERSIÓN!$CH$38</f>
        <v>1</v>
      </c>
      <c r="O34" s="92">
        <f>+[3]INVERSIÓN!$CH$38</f>
        <v>1</v>
      </c>
      <c r="P34" s="92"/>
      <c r="Q34" s="92"/>
      <c r="R34" s="92"/>
      <c r="S34" s="106"/>
      <c r="T34" s="92">
        <f>+[3]INVERSIÓN!BH38</f>
        <v>1</v>
      </c>
      <c r="U34" s="92">
        <f>+[3]INVERSIÓN!BJ38</f>
        <v>1</v>
      </c>
      <c r="V34" s="92">
        <f>+[3]INVERSIÓN!BL38</f>
        <v>1</v>
      </c>
      <c r="W34" s="92">
        <f>+[3]INVERSIÓN!BN38</f>
        <v>1</v>
      </c>
      <c r="X34" s="92">
        <f>+[3]INVERSIÓN!BP38</f>
        <v>1</v>
      </c>
      <c r="Y34" s="92">
        <f>+[3]INVERSIÓN!BR38</f>
        <v>1</v>
      </c>
      <c r="Z34" s="92">
        <f>+[3]INVERSIÓN!BT38</f>
        <v>1</v>
      </c>
      <c r="AA34" s="92">
        <f>+[3]INVERSIÓN!BV38</f>
        <v>1</v>
      </c>
      <c r="AB34" s="92">
        <f>+[3]INVERSIÓN!BX38</f>
        <v>1</v>
      </c>
      <c r="AC34" s="92"/>
      <c r="AD34" s="92"/>
      <c r="AE34" s="92"/>
      <c r="AF34" s="106"/>
      <c r="AG34" s="458" t="s">
        <v>326</v>
      </c>
      <c r="AH34" s="458" t="s">
        <v>327</v>
      </c>
      <c r="AI34" s="458" t="s">
        <v>327</v>
      </c>
      <c r="AJ34" s="458" t="s">
        <v>334</v>
      </c>
      <c r="AK34" s="458" t="s">
        <v>329</v>
      </c>
      <c r="AL34" s="458" t="s">
        <v>327</v>
      </c>
      <c r="AM34" s="458" t="s">
        <v>327</v>
      </c>
      <c r="AN34" s="458" t="s">
        <v>327</v>
      </c>
      <c r="AO34" s="655">
        <v>3751549</v>
      </c>
      <c r="AP34" s="656">
        <v>4082618</v>
      </c>
      <c r="AQ34" s="458" t="s">
        <v>327</v>
      </c>
      <c r="AR34" s="458" t="s">
        <v>327</v>
      </c>
      <c r="AS34" s="458" t="s">
        <v>327</v>
      </c>
      <c r="AT34" s="458" t="s">
        <v>327</v>
      </c>
      <c r="AU34" s="458" t="s">
        <v>327</v>
      </c>
      <c r="AV34" s="458" t="s">
        <v>327</v>
      </c>
      <c r="AW34" s="458" t="s">
        <v>327</v>
      </c>
      <c r="AX34" s="648">
        <f>+AO34+AP34</f>
        <v>7834167</v>
      </c>
      <c r="AY34" s="649"/>
    </row>
    <row r="35" spans="1:51" ht="55.15" customHeight="1" x14ac:dyDescent="0.25">
      <c r="A35" s="585"/>
      <c r="B35" s="453"/>
      <c r="C35" s="596"/>
      <c r="D35" s="125" t="s">
        <v>3</v>
      </c>
      <c r="E35" s="117">
        <f>+[3]INVERSIÓN!BF39</f>
        <v>843232000</v>
      </c>
      <c r="F35" s="117">
        <f>+[3]INVERSIÓN!CE39</f>
        <v>946213900</v>
      </c>
      <c r="G35" s="117">
        <f>+[3]INVERSIÓN!$CH$39</f>
        <v>946213900</v>
      </c>
      <c r="H35" s="117">
        <f>+[3]INVERSIÓN!$CH$39</f>
        <v>946213900</v>
      </c>
      <c r="I35" s="117">
        <f>+[3]INVERSIÓN!$CH$39</f>
        <v>946213900</v>
      </c>
      <c r="J35" s="117">
        <f>+[3]INVERSIÓN!$CH$39</f>
        <v>946213900</v>
      </c>
      <c r="K35" s="117">
        <f>+[3]INVERSIÓN!$CH$39</f>
        <v>946213900</v>
      </c>
      <c r="L35" s="117">
        <f>+[3]INVERSIÓN!$CH$39</f>
        <v>946213900</v>
      </c>
      <c r="M35" s="117">
        <f>+[3]INVERSIÓN!$CH$39</f>
        <v>946213900</v>
      </c>
      <c r="N35" s="117">
        <f>+[3]INVERSIÓN!$CH$39</f>
        <v>946213900</v>
      </c>
      <c r="O35" s="117">
        <f>+[3]INVERSIÓN!$CH$39</f>
        <v>946213900</v>
      </c>
      <c r="P35" s="117"/>
      <c r="Q35" s="117"/>
      <c r="R35" s="117"/>
      <c r="S35" s="107"/>
      <c r="T35" s="117">
        <f>+[3]INVERSIÓN!BH39</f>
        <v>455184000</v>
      </c>
      <c r="U35" s="117">
        <f>+[3]INVERSIÓN!BJ39+T35</f>
        <v>455184000</v>
      </c>
      <c r="V35" s="117">
        <f>+[3]INVERSIÓN!BL39+U35</f>
        <v>455184000</v>
      </c>
      <c r="W35" s="117">
        <f>+[3]INVERSIÓN!BN39+V35</f>
        <v>455184000</v>
      </c>
      <c r="X35" s="117">
        <f>+[3]INVERSIÓN!BP39+W35</f>
        <v>455184000</v>
      </c>
      <c r="Y35" s="117">
        <f>+[3]INVERSIÓN!BR39+X35</f>
        <v>455184000</v>
      </c>
      <c r="Z35" s="117">
        <f>+[3]INVERSIÓN!BT39+Y35</f>
        <v>455184000</v>
      </c>
      <c r="AA35" s="117">
        <f>+[3]INVERSIÓN!BV39+Z35</f>
        <v>469212000</v>
      </c>
      <c r="AB35" s="117">
        <f>+[3]INVERSIÓN!BX39+AA35</f>
        <v>488561800</v>
      </c>
      <c r="AC35" s="107"/>
      <c r="AD35" s="107"/>
      <c r="AE35" s="202"/>
      <c r="AF35" s="117"/>
      <c r="AG35" s="458"/>
      <c r="AH35" s="458"/>
      <c r="AI35" s="458"/>
      <c r="AJ35" s="458"/>
      <c r="AK35" s="458"/>
      <c r="AL35" s="458"/>
      <c r="AM35" s="458"/>
      <c r="AN35" s="458"/>
      <c r="AO35" s="657"/>
      <c r="AP35" s="658"/>
      <c r="AQ35" s="458"/>
      <c r="AR35" s="458"/>
      <c r="AS35" s="458"/>
      <c r="AT35" s="458"/>
      <c r="AU35" s="458"/>
      <c r="AV35" s="458"/>
      <c r="AW35" s="458"/>
      <c r="AX35" s="648"/>
      <c r="AY35" s="649"/>
    </row>
    <row r="36" spans="1:51" ht="55.15" customHeight="1" x14ac:dyDescent="0.25">
      <c r="A36" s="585"/>
      <c r="B36" s="453"/>
      <c r="C36" s="596"/>
      <c r="D36" s="124" t="s">
        <v>41</v>
      </c>
      <c r="E36" s="92">
        <f>+[3]INVERSIÓN!BF41</f>
        <v>0</v>
      </c>
      <c r="F36" s="92">
        <f>+[3]INVERSIÓN!CE41</f>
        <v>0</v>
      </c>
      <c r="G36" s="92">
        <f>+[3]INVERSIÓN!$CH$41</f>
        <v>0</v>
      </c>
      <c r="H36" s="92">
        <f>+[3]INVERSIÓN!$CH$41</f>
        <v>0</v>
      </c>
      <c r="I36" s="92">
        <f>+[3]INVERSIÓN!$CH$41</f>
        <v>0</v>
      </c>
      <c r="J36" s="92">
        <f>+[3]INVERSIÓN!$CH$41</f>
        <v>0</v>
      </c>
      <c r="K36" s="92">
        <f>+[3]INVERSIÓN!$CH$41</f>
        <v>0</v>
      </c>
      <c r="L36" s="92">
        <f>+[3]INVERSIÓN!$CH$41</f>
        <v>0</v>
      </c>
      <c r="M36" s="92">
        <f>+[3]INVERSIÓN!$CH$41</f>
        <v>0</v>
      </c>
      <c r="N36" s="92">
        <f>+[3]INVERSIÓN!$CH$41</f>
        <v>0</v>
      </c>
      <c r="O36" s="92">
        <f>+[3]INVERSIÓN!$CH$41</f>
        <v>0</v>
      </c>
      <c r="P36" s="92"/>
      <c r="Q36" s="92"/>
      <c r="R36" s="92"/>
      <c r="S36" s="106"/>
      <c r="T36" s="92">
        <f>+[3]INVERSIÓN!BH41</f>
        <v>0</v>
      </c>
      <c r="U36" s="92">
        <f>+[3]INVERSIÓN!BJ41</f>
        <v>0</v>
      </c>
      <c r="V36" s="92">
        <f>+[3]INVERSIÓN!BL41</f>
        <v>0</v>
      </c>
      <c r="W36" s="92">
        <f>+[3]INVERSIÓN!BN41</f>
        <v>0</v>
      </c>
      <c r="X36" s="92">
        <f>+[3]INVERSIÓN!BP41</f>
        <v>0</v>
      </c>
      <c r="Y36" s="92">
        <f>+[3]INVERSIÓN!BR41</f>
        <v>0</v>
      </c>
      <c r="Z36" s="92">
        <f>+[3]INVERSIÓN!BT41</f>
        <v>0</v>
      </c>
      <c r="AA36" s="92">
        <f>+[3]INVERSIÓN!BV41</f>
        <v>0</v>
      </c>
      <c r="AB36" s="92">
        <f>+[3]INVERSIÓN!BX41</f>
        <v>0</v>
      </c>
      <c r="AC36" s="106"/>
      <c r="AD36" s="106"/>
      <c r="AE36" s="92"/>
      <c r="AF36" s="92"/>
      <c r="AG36" s="458"/>
      <c r="AH36" s="458"/>
      <c r="AI36" s="458"/>
      <c r="AJ36" s="458"/>
      <c r="AK36" s="458"/>
      <c r="AL36" s="458"/>
      <c r="AM36" s="458"/>
      <c r="AN36" s="458"/>
      <c r="AO36" s="657"/>
      <c r="AP36" s="658"/>
      <c r="AQ36" s="458"/>
      <c r="AR36" s="458"/>
      <c r="AS36" s="458"/>
      <c r="AT36" s="458"/>
      <c r="AU36" s="458"/>
      <c r="AV36" s="458"/>
      <c r="AW36" s="458"/>
      <c r="AX36" s="648"/>
      <c r="AY36" s="649"/>
    </row>
    <row r="37" spans="1:51" ht="55.15" customHeight="1" x14ac:dyDescent="0.25">
      <c r="A37" s="585"/>
      <c r="B37" s="453"/>
      <c r="C37" s="596"/>
      <c r="D37" s="125" t="s">
        <v>4</v>
      </c>
      <c r="E37" s="117">
        <f>+[3]INVERSIÓN!BF42</f>
        <v>169302984</v>
      </c>
      <c r="F37" s="117">
        <f>+[3]INVERSIÓN!CE42</f>
        <v>168849650</v>
      </c>
      <c r="G37" s="117">
        <f>+[3]INVERSIÓN!$CH$42</f>
        <v>168849650</v>
      </c>
      <c r="H37" s="117">
        <f>+[3]INVERSIÓN!$CH$42</f>
        <v>168849650</v>
      </c>
      <c r="I37" s="117">
        <f>+[3]INVERSIÓN!$CH$42</f>
        <v>168849650</v>
      </c>
      <c r="J37" s="117">
        <f>+[3]INVERSIÓN!$CH$42</f>
        <v>168849650</v>
      </c>
      <c r="K37" s="117">
        <f>+[3]INVERSIÓN!$CH$42</f>
        <v>168849650</v>
      </c>
      <c r="L37" s="117">
        <f>+[3]INVERSIÓN!$CH$42</f>
        <v>168849650</v>
      </c>
      <c r="M37" s="117">
        <f>+[3]INVERSIÓN!$CH$42</f>
        <v>168849650</v>
      </c>
      <c r="N37" s="117">
        <f>+[3]INVERSIÓN!$CH$42</f>
        <v>168849650</v>
      </c>
      <c r="O37" s="117">
        <f>+[3]INVERSIÓN!$CH$42</f>
        <v>168849650</v>
      </c>
      <c r="P37" s="117"/>
      <c r="Q37" s="117"/>
      <c r="R37" s="117"/>
      <c r="S37" s="107"/>
      <c r="T37" s="117">
        <f>+[3]INVERSIÓN!BH42</f>
        <v>0</v>
      </c>
      <c r="U37" s="117">
        <f>+[3]INVERSIÓN!BJ42+T37</f>
        <v>14024632</v>
      </c>
      <c r="V37" s="117">
        <f>+[3]INVERSIÓN!BL42+U37</f>
        <v>14024632</v>
      </c>
      <c r="W37" s="117">
        <f>+[3]INVERSIÓN!BN42+V37</f>
        <v>14024632</v>
      </c>
      <c r="X37" s="117">
        <f>+[3]INVERSIÓN!BP42+W37</f>
        <v>14024632</v>
      </c>
      <c r="Y37" s="117">
        <f>+[3]INVERSIÓN!BR42+X37</f>
        <v>14024632</v>
      </c>
      <c r="Z37" s="117">
        <f>+[3]INVERSIÓN!BT42+Y37</f>
        <v>168849651</v>
      </c>
      <c r="AA37" s="117">
        <f>+[3]INVERSIÓN!BV42+Z37</f>
        <v>168849651</v>
      </c>
      <c r="AB37" s="117">
        <f>+[3]INVERSIÓN!BX42+AA37</f>
        <v>168849650</v>
      </c>
      <c r="AC37" s="107"/>
      <c r="AD37" s="107"/>
      <c r="AE37" s="117"/>
      <c r="AF37" s="117"/>
      <c r="AG37" s="458"/>
      <c r="AH37" s="458"/>
      <c r="AI37" s="458"/>
      <c r="AJ37" s="458"/>
      <c r="AK37" s="458"/>
      <c r="AL37" s="458"/>
      <c r="AM37" s="458"/>
      <c r="AN37" s="458"/>
      <c r="AO37" s="657"/>
      <c r="AP37" s="658"/>
      <c r="AQ37" s="458"/>
      <c r="AR37" s="458"/>
      <c r="AS37" s="458"/>
      <c r="AT37" s="458"/>
      <c r="AU37" s="458"/>
      <c r="AV37" s="458"/>
      <c r="AW37" s="458"/>
      <c r="AX37" s="648"/>
      <c r="AY37" s="649"/>
    </row>
    <row r="38" spans="1:51" ht="55.15" customHeight="1" x14ac:dyDescent="0.25">
      <c r="A38" s="585"/>
      <c r="B38" s="453"/>
      <c r="C38" s="596"/>
      <c r="D38" s="124" t="s">
        <v>42</v>
      </c>
      <c r="E38" s="126">
        <f>+E34+E36</f>
        <v>1</v>
      </c>
      <c r="F38" s="126">
        <f>+F34+F36</f>
        <v>1</v>
      </c>
      <c r="G38" s="126">
        <f t="shared" ref="G38:R39" si="8">+G34+G36</f>
        <v>1</v>
      </c>
      <c r="H38" s="126">
        <f t="shared" si="8"/>
        <v>1</v>
      </c>
      <c r="I38" s="126">
        <f t="shared" si="8"/>
        <v>1</v>
      </c>
      <c r="J38" s="126">
        <f t="shared" si="8"/>
        <v>1</v>
      </c>
      <c r="K38" s="126">
        <f t="shared" si="8"/>
        <v>1</v>
      </c>
      <c r="L38" s="126">
        <f t="shared" si="8"/>
        <v>1</v>
      </c>
      <c r="M38" s="126">
        <f t="shared" si="8"/>
        <v>1</v>
      </c>
      <c r="N38" s="126">
        <f t="shared" si="8"/>
        <v>1</v>
      </c>
      <c r="O38" s="126">
        <f t="shared" si="8"/>
        <v>1</v>
      </c>
      <c r="P38" s="126"/>
      <c r="Q38" s="126"/>
      <c r="R38" s="126"/>
      <c r="S38" s="126"/>
      <c r="T38" s="126">
        <f t="shared" ref="T38:AE39" si="9">+T34+T36</f>
        <v>1</v>
      </c>
      <c r="U38" s="126">
        <f t="shared" si="9"/>
        <v>1</v>
      </c>
      <c r="V38" s="126">
        <f t="shared" si="9"/>
        <v>1</v>
      </c>
      <c r="W38" s="126">
        <f t="shared" si="9"/>
        <v>1</v>
      </c>
      <c r="X38" s="126">
        <f t="shared" si="9"/>
        <v>1</v>
      </c>
      <c r="Y38" s="126">
        <f t="shared" si="9"/>
        <v>1</v>
      </c>
      <c r="Z38" s="126">
        <f t="shared" si="9"/>
        <v>1</v>
      </c>
      <c r="AA38" s="126">
        <f t="shared" si="9"/>
        <v>1</v>
      </c>
      <c r="AB38" s="126">
        <f t="shared" si="9"/>
        <v>1</v>
      </c>
      <c r="AC38" s="126"/>
      <c r="AD38" s="126"/>
      <c r="AE38" s="126"/>
      <c r="AF38" s="126"/>
      <c r="AG38" s="458"/>
      <c r="AH38" s="458"/>
      <c r="AI38" s="458"/>
      <c r="AJ38" s="458"/>
      <c r="AK38" s="458"/>
      <c r="AL38" s="458"/>
      <c r="AM38" s="458"/>
      <c r="AN38" s="458"/>
      <c r="AO38" s="657"/>
      <c r="AP38" s="658"/>
      <c r="AQ38" s="458"/>
      <c r="AR38" s="458"/>
      <c r="AS38" s="458"/>
      <c r="AT38" s="458"/>
      <c r="AU38" s="458"/>
      <c r="AV38" s="458"/>
      <c r="AW38" s="458"/>
      <c r="AX38" s="648"/>
      <c r="AY38" s="649"/>
    </row>
    <row r="39" spans="1:51" ht="55.15" customHeight="1" x14ac:dyDescent="0.25">
      <c r="A39" s="585"/>
      <c r="B39" s="453"/>
      <c r="C39" s="596"/>
      <c r="D39" s="125" t="s">
        <v>44</v>
      </c>
      <c r="E39" s="127">
        <f>+E35+E37</f>
        <v>1012534984</v>
      </c>
      <c r="F39" s="127">
        <f>+F35+F37</f>
        <v>1115063550</v>
      </c>
      <c r="G39" s="127">
        <f t="shared" si="8"/>
        <v>1115063550</v>
      </c>
      <c r="H39" s="127">
        <f t="shared" si="8"/>
        <v>1115063550</v>
      </c>
      <c r="I39" s="127">
        <f t="shared" si="8"/>
        <v>1115063550</v>
      </c>
      <c r="J39" s="127">
        <f t="shared" si="8"/>
        <v>1115063550</v>
      </c>
      <c r="K39" s="127">
        <f t="shared" si="8"/>
        <v>1115063550</v>
      </c>
      <c r="L39" s="127">
        <f t="shared" si="8"/>
        <v>1115063550</v>
      </c>
      <c r="M39" s="127">
        <f t="shared" si="8"/>
        <v>1115063550</v>
      </c>
      <c r="N39" s="127">
        <f t="shared" si="8"/>
        <v>1115063550</v>
      </c>
      <c r="O39" s="127">
        <f t="shared" si="8"/>
        <v>1115063550</v>
      </c>
      <c r="P39" s="127"/>
      <c r="Q39" s="127"/>
      <c r="R39" s="127"/>
      <c r="S39" s="127"/>
      <c r="T39" s="127">
        <f t="shared" si="9"/>
        <v>455184000</v>
      </c>
      <c r="U39" s="127">
        <f t="shared" si="9"/>
        <v>469208632</v>
      </c>
      <c r="V39" s="127">
        <f t="shared" si="9"/>
        <v>469208632</v>
      </c>
      <c r="W39" s="127">
        <f t="shared" si="9"/>
        <v>469208632</v>
      </c>
      <c r="X39" s="127">
        <f t="shared" si="9"/>
        <v>469208632</v>
      </c>
      <c r="Y39" s="127">
        <f t="shared" si="9"/>
        <v>469208632</v>
      </c>
      <c r="Z39" s="127">
        <f t="shared" si="9"/>
        <v>624033651</v>
      </c>
      <c r="AA39" s="127">
        <f t="shared" si="9"/>
        <v>638061651</v>
      </c>
      <c r="AB39" s="127">
        <f t="shared" si="9"/>
        <v>657411450</v>
      </c>
      <c r="AC39" s="127"/>
      <c r="AD39" s="127"/>
      <c r="AE39" s="127"/>
      <c r="AF39" s="107"/>
      <c r="AG39" s="458"/>
      <c r="AH39" s="458"/>
      <c r="AI39" s="458"/>
      <c r="AJ39" s="458"/>
      <c r="AK39" s="458"/>
      <c r="AL39" s="458"/>
      <c r="AM39" s="458"/>
      <c r="AN39" s="458"/>
      <c r="AO39" s="642"/>
      <c r="AP39" s="643"/>
      <c r="AQ39" s="458"/>
      <c r="AR39" s="458"/>
      <c r="AS39" s="458"/>
      <c r="AT39" s="458"/>
      <c r="AU39" s="458"/>
      <c r="AV39" s="458"/>
      <c r="AW39" s="458"/>
      <c r="AX39" s="648"/>
      <c r="AY39" s="649"/>
    </row>
    <row r="40" spans="1:51" s="238" customFormat="1" ht="55.15" customHeight="1" x14ac:dyDescent="0.25">
      <c r="A40" s="585">
        <v>6</v>
      </c>
      <c r="B40" s="453" t="s">
        <v>323</v>
      </c>
      <c r="C40" s="587" t="s">
        <v>333</v>
      </c>
      <c r="D40" s="236" t="s">
        <v>40</v>
      </c>
      <c r="E40" s="652">
        <f>+[3]INVERSIÓN!BF45</f>
        <v>1097</v>
      </c>
      <c r="F40" s="652">
        <f>+[3]INVERSIÓN!CE45</f>
        <v>1097</v>
      </c>
      <c r="G40" s="652">
        <f>+[3]INVERSIÓN!$CH$45</f>
        <v>1097</v>
      </c>
      <c r="H40" s="652">
        <f>+[3]INVERSIÓN!$CH$45</f>
        <v>1097</v>
      </c>
      <c r="I40" s="652">
        <f>+[3]INVERSIÓN!$CH$45</f>
        <v>1097</v>
      </c>
      <c r="J40" s="652">
        <f>+[3]INVERSIÓN!$CH$45</f>
        <v>1097</v>
      </c>
      <c r="K40" s="652">
        <f>+[3]INVERSIÓN!$CH$45</f>
        <v>1097</v>
      </c>
      <c r="L40" s="652">
        <f>+[3]INVERSIÓN!$CH$45</f>
        <v>1097</v>
      </c>
      <c r="M40" s="652">
        <f>+[3]INVERSIÓN!$CH$45</f>
        <v>1097</v>
      </c>
      <c r="N40" s="652">
        <f>+[3]INVERSIÓN!$CH$45</f>
        <v>1097</v>
      </c>
      <c r="O40" s="652">
        <f>+[3]INVERSIÓN!$CH$45</f>
        <v>1097</v>
      </c>
      <c r="P40" s="652"/>
      <c r="Q40" s="652"/>
      <c r="R40" s="652"/>
      <c r="S40" s="652"/>
      <c r="T40" s="652">
        <f>+[3]INVERSIÓN!BH45</f>
        <v>0</v>
      </c>
      <c r="U40" s="652">
        <f>+[3]INVERSIÓN!BJ45+T40</f>
        <v>32</v>
      </c>
      <c r="V40" s="652">
        <f>+[3]INVERSIÓN!BL45+U40</f>
        <v>87</v>
      </c>
      <c r="W40" s="652">
        <f>+[3]INVERSIÓN!BN45+V40</f>
        <v>197</v>
      </c>
      <c r="X40" s="652">
        <f>+[3]INVERSIÓN!BP45+W40</f>
        <v>460</v>
      </c>
      <c r="Y40" s="652">
        <f>+[3]INVERSIÓN!BR45+X40</f>
        <v>547</v>
      </c>
      <c r="Z40" s="652">
        <f>+[3]INVERSIÓN!BT45+Y40</f>
        <v>612</v>
      </c>
      <c r="AA40" s="652">
        <f>+[3]INVERSIÓN!BV45+Z40</f>
        <v>711</v>
      </c>
      <c r="AB40" s="652">
        <f>+[3]INVERSIÓN!BX45+AA40</f>
        <v>882</v>
      </c>
      <c r="AC40" s="237"/>
      <c r="AD40" s="237"/>
      <c r="AE40" s="237"/>
      <c r="AF40" s="652"/>
      <c r="AG40" s="458" t="s">
        <v>480</v>
      </c>
      <c r="AH40" s="458" t="s">
        <v>327</v>
      </c>
      <c r="AI40" s="458" t="s">
        <v>327</v>
      </c>
      <c r="AJ40" s="458" t="s">
        <v>480</v>
      </c>
      <c r="AK40" s="458" t="s">
        <v>329</v>
      </c>
      <c r="AL40" s="458" t="s">
        <v>327</v>
      </c>
      <c r="AM40" s="458" t="s">
        <v>327</v>
      </c>
      <c r="AN40" s="458" t="s">
        <v>327</v>
      </c>
      <c r="AO40" s="646">
        <v>1636823</v>
      </c>
      <c r="AP40" s="647">
        <v>1816010</v>
      </c>
      <c r="AQ40" s="458" t="s">
        <v>327</v>
      </c>
      <c r="AR40" s="458" t="s">
        <v>327</v>
      </c>
      <c r="AS40" s="458" t="s">
        <v>327</v>
      </c>
      <c r="AT40" s="458" t="s">
        <v>327</v>
      </c>
      <c r="AU40" s="458" t="s">
        <v>327</v>
      </c>
      <c r="AV40" s="458" t="s">
        <v>327</v>
      </c>
      <c r="AW40" s="458" t="s">
        <v>327</v>
      </c>
      <c r="AX40" s="648">
        <f>+AO40+AP40</f>
        <v>3452833</v>
      </c>
      <c r="AY40" s="649"/>
    </row>
    <row r="41" spans="1:51" ht="55.15" customHeight="1" x14ac:dyDescent="0.25">
      <c r="A41" s="585"/>
      <c r="B41" s="453"/>
      <c r="C41" s="587"/>
      <c r="D41" s="125" t="s">
        <v>3</v>
      </c>
      <c r="E41" s="107">
        <f>+[3]INVERSIÓN!BF46</f>
        <v>1568833000</v>
      </c>
      <c r="F41" s="107">
        <f>+[3]INVERSIÓN!CE46</f>
        <v>1845306198</v>
      </c>
      <c r="G41" s="107">
        <f>+[3]INVERSIÓN!$CH$46</f>
        <v>1845306198</v>
      </c>
      <c r="H41" s="107">
        <f>+[3]INVERSIÓN!$CH$46</f>
        <v>1845306198</v>
      </c>
      <c r="I41" s="107">
        <f>+[3]INVERSIÓN!$CH$46</f>
        <v>1845306198</v>
      </c>
      <c r="J41" s="107">
        <f>+[3]INVERSIÓN!$CH$46</f>
        <v>1845306198</v>
      </c>
      <c r="K41" s="107">
        <f>+[3]INVERSIÓN!$CH$46</f>
        <v>1845306198</v>
      </c>
      <c r="L41" s="107">
        <f>+[3]INVERSIÓN!$CH$46</f>
        <v>1845306198</v>
      </c>
      <c r="M41" s="107">
        <f>+[3]INVERSIÓN!$CH$46</f>
        <v>1845306198</v>
      </c>
      <c r="N41" s="107">
        <f>+[3]INVERSIÓN!$CH$46</f>
        <v>1845306198</v>
      </c>
      <c r="O41" s="107">
        <f>+[3]INVERSIÓN!$CH$46</f>
        <v>1845306198</v>
      </c>
      <c r="P41" s="107"/>
      <c r="Q41" s="107"/>
      <c r="R41" s="107"/>
      <c r="S41" s="107"/>
      <c r="T41" s="107">
        <f>+[3]INVERSIÓN!BH46</f>
        <v>1487818000</v>
      </c>
      <c r="U41" s="107">
        <f>+[3]INVERSIÓN!BJ46+T41</f>
        <v>1487818000</v>
      </c>
      <c r="V41" s="107">
        <f>+[3]INVERSIÓN!BL46+U41</f>
        <v>1487818000</v>
      </c>
      <c r="W41" s="107">
        <f>+[3]INVERSIÓN!BN46+V41</f>
        <v>1487818000</v>
      </c>
      <c r="X41" s="107">
        <f>+[3]INVERSIÓN!BP46+W41</f>
        <v>1487818000</v>
      </c>
      <c r="Y41" s="107">
        <f>+[3]INVERSIÓN!BR46+X41</f>
        <v>1493838000</v>
      </c>
      <c r="Z41" s="107">
        <f>+[3]INVERSIÓN!BT46+Y41</f>
        <v>1493838000</v>
      </c>
      <c r="AA41" s="107">
        <f>+[3]INVERSIÓN!BV46+Z41</f>
        <v>1493838000</v>
      </c>
      <c r="AB41" s="107">
        <f>+[3]INVERSIÓN!BX46+AA41</f>
        <v>1541778200</v>
      </c>
      <c r="AC41" s="107"/>
      <c r="AD41" s="107"/>
      <c r="AE41" s="117"/>
      <c r="AF41" s="117"/>
      <c r="AG41" s="458"/>
      <c r="AH41" s="458"/>
      <c r="AI41" s="458"/>
      <c r="AJ41" s="458"/>
      <c r="AK41" s="458"/>
      <c r="AL41" s="458"/>
      <c r="AM41" s="458"/>
      <c r="AN41" s="458"/>
      <c r="AO41" s="646"/>
      <c r="AP41" s="647"/>
      <c r="AQ41" s="458"/>
      <c r="AR41" s="458"/>
      <c r="AS41" s="458"/>
      <c r="AT41" s="458"/>
      <c r="AU41" s="458"/>
      <c r="AV41" s="458"/>
      <c r="AW41" s="458"/>
      <c r="AX41" s="648"/>
      <c r="AY41" s="649"/>
    </row>
    <row r="42" spans="1:51" s="238" customFormat="1" ht="55.15" customHeight="1" x14ac:dyDescent="0.25">
      <c r="A42" s="585"/>
      <c r="B42" s="453"/>
      <c r="C42" s="587"/>
      <c r="D42" s="236" t="s">
        <v>41</v>
      </c>
      <c r="E42" s="652">
        <f>+[3]INVERSIÓN!BF48</f>
        <v>0</v>
      </c>
      <c r="F42" s="652">
        <f>+[3]INVERSIÓN!CE48</f>
        <v>0</v>
      </c>
      <c r="G42" s="652">
        <f>+[3]INVERSIÓN!$CH$48</f>
        <v>0</v>
      </c>
      <c r="H42" s="652">
        <f>+[3]INVERSIÓN!$CH$48</f>
        <v>0</v>
      </c>
      <c r="I42" s="652">
        <f>+[3]INVERSIÓN!$CH$48</f>
        <v>0</v>
      </c>
      <c r="J42" s="652">
        <f>+[3]INVERSIÓN!$CH$48</f>
        <v>0</v>
      </c>
      <c r="K42" s="652">
        <f>+[3]INVERSIÓN!$CH$48</f>
        <v>0</v>
      </c>
      <c r="L42" s="652">
        <f>+[3]INVERSIÓN!$CH$48</f>
        <v>0</v>
      </c>
      <c r="M42" s="652">
        <f>+[3]INVERSIÓN!$CH$48</f>
        <v>0</v>
      </c>
      <c r="N42" s="652">
        <f>+[3]INVERSIÓN!$CH$48</f>
        <v>0</v>
      </c>
      <c r="O42" s="652">
        <f>+[3]INVERSIÓN!$CH$48</f>
        <v>0</v>
      </c>
      <c r="P42" s="652"/>
      <c r="Q42" s="652"/>
      <c r="R42" s="652"/>
      <c r="S42" s="652"/>
      <c r="T42" s="652">
        <f>+[3]INVERSIÓN!BH47</f>
        <v>0</v>
      </c>
      <c r="U42" s="652">
        <f>+[3]INVERSIÓN!BJ48+T42</f>
        <v>0</v>
      </c>
      <c r="V42" s="652">
        <f>+[3]INVERSIÓN!BL48+U42</f>
        <v>0</v>
      </c>
      <c r="W42" s="652">
        <f>+[3]INVERSIÓN!BN48+V42</f>
        <v>0</v>
      </c>
      <c r="X42" s="652">
        <f>+[3]INVERSIÓN!BP48+W42</f>
        <v>0</v>
      </c>
      <c r="Y42" s="652">
        <f>+[3]INVERSIÓN!BR48+X42</f>
        <v>0</v>
      </c>
      <c r="Z42" s="652">
        <f>+[3]INVERSIÓN!BT48+Y42</f>
        <v>0</v>
      </c>
      <c r="AA42" s="652">
        <f>+[3]INVERSIÓN!BV48+Z42</f>
        <v>0</v>
      </c>
      <c r="AB42" s="652">
        <f>+[3]INVERSIÓN!BX48+AA42</f>
        <v>0</v>
      </c>
      <c r="AC42" s="237"/>
      <c r="AD42" s="237"/>
      <c r="AE42" s="237"/>
      <c r="AF42" s="654"/>
      <c r="AG42" s="458"/>
      <c r="AH42" s="458"/>
      <c r="AI42" s="458"/>
      <c r="AJ42" s="458"/>
      <c r="AK42" s="458"/>
      <c r="AL42" s="458"/>
      <c r="AM42" s="458"/>
      <c r="AN42" s="458"/>
      <c r="AO42" s="646"/>
      <c r="AP42" s="647"/>
      <c r="AQ42" s="458"/>
      <c r="AR42" s="458"/>
      <c r="AS42" s="458"/>
      <c r="AT42" s="458"/>
      <c r="AU42" s="458"/>
      <c r="AV42" s="458"/>
      <c r="AW42" s="458"/>
      <c r="AX42" s="648"/>
      <c r="AY42" s="649"/>
    </row>
    <row r="43" spans="1:51" ht="55.15" customHeight="1" x14ac:dyDescent="0.25">
      <c r="A43" s="585"/>
      <c r="B43" s="453"/>
      <c r="C43" s="587"/>
      <c r="D43" s="125" t="s">
        <v>4</v>
      </c>
      <c r="E43" s="107">
        <f>+[3]INVERSIÓN!BF49</f>
        <v>113800542</v>
      </c>
      <c r="F43" s="107">
        <f>+[3]INVERSIÓN!CE49</f>
        <v>86653142</v>
      </c>
      <c r="G43" s="107">
        <f>+[3]INVERSIÓN!$CH$49</f>
        <v>86653142</v>
      </c>
      <c r="H43" s="107">
        <f>+[3]INVERSIÓN!$CH$49</f>
        <v>86653142</v>
      </c>
      <c r="I43" s="107">
        <f>+[3]INVERSIÓN!$CH$49</f>
        <v>86653142</v>
      </c>
      <c r="J43" s="107">
        <f>+[3]INVERSIÓN!$CH$49</f>
        <v>86653142</v>
      </c>
      <c r="K43" s="107">
        <f>+[3]INVERSIÓN!$CH$49</f>
        <v>86653142</v>
      </c>
      <c r="L43" s="107">
        <f>+[3]INVERSIÓN!$CH$49</f>
        <v>86653142</v>
      </c>
      <c r="M43" s="107">
        <f>+[3]INVERSIÓN!$CH$49</f>
        <v>86653142</v>
      </c>
      <c r="N43" s="107">
        <f>+[3]INVERSIÓN!$CH$49</f>
        <v>86653142</v>
      </c>
      <c r="O43" s="107">
        <f>+[3]INVERSIÓN!$CH$49</f>
        <v>86653142</v>
      </c>
      <c r="P43" s="107"/>
      <c r="Q43" s="107"/>
      <c r="R43" s="107"/>
      <c r="S43" s="107"/>
      <c r="T43" s="107">
        <f>+[3]INVERSIÓN!BH48</f>
        <v>0</v>
      </c>
      <c r="U43" s="107">
        <f>+[3]INVERSIÓN!BJ49+T43</f>
        <v>51705541</v>
      </c>
      <c r="V43" s="107">
        <f>+[3]INVERSIÓN!BL49+U43</f>
        <v>51705541</v>
      </c>
      <c r="W43" s="107">
        <f>+[3]INVERSIÓN!BN49+V43</f>
        <v>51705541</v>
      </c>
      <c r="X43" s="107">
        <f>+[3]INVERSIÓN!BP49+W43</f>
        <v>51705541</v>
      </c>
      <c r="Y43" s="107">
        <f>+[3]INVERSIÓN!BR49+X43</f>
        <v>51705541</v>
      </c>
      <c r="Z43" s="107">
        <f>+[3]INVERSIÓN!BT49+Y43</f>
        <v>86653142</v>
      </c>
      <c r="AA43" s="107">
        <f>+[3]INVERSIÓN!BV49+Z43</f>
        <v>86653142</v>
      </c>
      <c r="AB43" s="107">
        <f>+[3]INVERSIÓN!BX49+AA43</f>
        <v>72557341</v>
      </c>
      <c r="AC43" s="107"/>
      <c r="AD43" s="107"/>
      <c r="AE43" s="117"/>
      <c r="AF43" s="117"/>
      <c r="AG43" s="458"/>
      <c r="AH43" s="458"/>
      <c r="AI43" s="458"/>
      <c r="AJ43" s="458"/>
      <c r="AK43" s="458"/>
      <c r="AL43" s="458"/>
      <c r="AM43" s="458"/>
      <c r="AN43" s="458"/>
      <c r="AO43" s="646"/>
      <c r="AP43" s="647"/>
      <c r="AQ43" s="458"/>
      <c r="AR43" s="458"/>
      <c r="AS43" s="458"/>
      <c r="AT43" s="458"/>
      <c r="AU43" s="458"/>
      <c r="AV43" s="458"/>
      <c r="AW43" s="458"/>
      <c r="AX43" s="648"/>
      <c r="AY43" s="649"/>
    </row>
    <row r="44" spans="1:51" s="238" customFormat="1" ht="55.15" customHeight="1" x14ac:dyDescent="0.25">
      <c r="A44" s="585"/>
      <c r="B44" s="453"/>
      <c r="C44" s="587"/>
      <c r="D44" s="236" t="s">
        <v>42</v>
      </c>
      <c r="E44" s="239">
        <f>+E40+E42</f>
        <v>1097</v>
      </c>
      <c r="F44" s="239">
        <f>+F40+F42</f>
        <v>1097</v>
      </c>
      <c r="G44" s="239">
        <f t="shared" ref="G44:R45" si="10">+G40+G42</f>
        <v>1097</v>
      </c>
      <c r="H44" s="239">
        <f t="shared" si="10"/>
        <v>1097</v>
      </c>
      <c r="I44" s="239">
        <f t="shared" si="10"/>
        <v>1097</v>
      </c>
      <c r="J44" s="239">
        <f t="shared" si="10"/>
        <v>1097</v>
      </c>
      <c r="K44" s="239">
        <f t="shared" si="10"/>
        <v>1097</v>
      </c>
      <c r="L44" s="239">
        <f t="shared" si="10"/>
        <v>1097</v>
      </c>
      <c r="M44" s="239">
        <f t="shared" si="10"/>
        <v>1097</v>
      </c>
      <c r="N44" s="239">
        <f t="shared" si="10"/>
        <v>1097</v>
      </c>
      <c r="O44" s="239">
        <f t="shared" si="10"/>
        <v>1097</v>
      </c>
      <c r="P44" s="239"/>
      <c r="Q44" s="239"/>
      <c r="R44" s="239"/>
      <c r="S44" s="239"/>
      <c r="T44" s="239">
        <f t="shared" ref="T44:AE45" si="11">+T40+T42</f>
        <v>0</v>
      </c>
      <c r="U44" s="239">
        <f t="shared" si="11"/>
        <v>32</v>
      </c>
      <c r="V44" s="239">
        <f t="shared" si="11"/>
        <v>87</v>
      </c>
      <c r="W44" s="239">
        <f t="shared" si="11"/>
        <v>197</v>
      </c>
      <c r="X44" s="239">
        <f t="shared" si="11"/>
        <v>460</v>
      </c>
      <c r="Y44" s="239">
        <f t="shared" si="11"/>
        <v>547</v>
      </c>
      <c r="Z44" s="239">
        <f t="shared" si="11"/>
        <v>612</v>
      </c>
      <c r="AA44" s="239">
        <f t="shared" si="11"/>
        <v>711</v>
      </c>
      <c r="AB44" s="239">
        <f>+AB40+AB42</f>
        <v>882</v>
      </c>
      <c r="AC44" s="239"/>
      <c r="AD44" s="239"/>
      <c r="AE44" s="239"/>
      <c r="AF44" s="653"/>
      <c r="AG44" s="458"/>
      <c r="AH44" s="458"/>
      <c r="AI44" s="458"/>
      <c r="AJ44" s="458"/>
      <c r="AK44" s="458"/>
      <c r="AL44" s="458"/>
      <c r="AM44" s="458"/>
      <c r="AN44" s="458"/>
      <c r="AO44" s="646"/>
      <c r="AP44" s="647"/>
      <c r="AQ44" s="458"/>
      <c r="AR44" s="458"/>
      <c r="AS44" s="458"/>
      <c r="AT44" s="458"/>
      <c r="AU44" s="458"/>
      <c r="AV44" s="458"/>
      <c r="AW44" s="458"/>
      <c r="AX44" s="648"/>
      <c r="AY44" s="649"/>
    </row>
    <row r="45" spans="1:51" ht="55.15" customHeight="1" x14ac:dyDescent="0.25">
      <c r="A45" s="585"/>
      <c r="B45" s="453"/>
      <c r="C45" s="587"/>
      <c r="D45" s="125" t="s">
        <v>44</v>
      </c>
      <c r="E45" s="127">
        <f>+E41+E43</f>
        <v>1682633542</v>
      </c>
      <c r="F45" s="127">
        <f>+F41+F43</f>
        <v>1931959340</v>
      </c>
      <c r="G45" s="127">
        <f t="shared" si="10"/>
        <v>1931959340</v>
      </c>
      <c r="H45" s="127">
        <f t="shared" si="10"/>
        <v>1931959340</v>
      </c>
      <c r="I45" s="127">
        <f t="shared" si="10"/>
        <v>1931959340</v>
      </c>
      <c r="J45" s="127">
        <f t="shared" si="10"/>
        <v>1931959340</v>
      </c>
      <c r="K45" s="127">
        <f t="shared" si="10"/>
        <v>1931959340</v>
      </c>
      <c r="L45" s="127">
        <f t="shared" si="10"/>
        <v>1931959340</v>
      </c>
      <c r="M45" s="127">
        <f t="shared" si="10"/>
        <v>1931959340</v>
      </c>
      <c r="N45" s="127">
        <f t="shared" si="10"/>
        <v>1931959340</v>
      </c>
      <c r="O45" s="127">
        <f t="shared" si="10"/>
        <v>1931959340</v>
      </c>
      <c r="P45" s="127"/>
      <c r="Q45" s="127"/>
      <c r="R45" s="127"/>
      <c r="S45" s="127"/>
      <c r="T45" s="127">
        <f t="shared" si="11"/>
        <v>1487818000</v>
      </c>
      <c r="U45" s="127">
        <f t="shared" si="11"/>
        <v>1539523541</v>
      </c>
      <c r="V45" s="127">
        <f t="shared" si="11"/>
        <v>1539523541</v>
      </c>
      <c r="W45" s="127">
        <f t="shared" si="11"/>
        <v>1539523541</v>
      </c>
      <c r="X45" s="127">
        <f t="shared" si="11"/>
        <v>1539523541</v>
      </c>
      <c r="Y45" s="127">
        <f t="shared" si="11"/>
        <v>1545543541</v>
      </c>
      <c r="Z45" s="127">
        <f t="shared" si="11"/>
        <v>1580491142</v>
      </c>
      <c r="AA45" s="127">
        <f t="shared" si="11"/>
        <v>1580491142</v>
      </c>
      <c r="AB45" s="127">
        <f t="shared" si="11"/>
        <v>1614335541</v>
      </c>
      <c r="AC45" s="127"/>
      <c r="AD45" s="127"/>
      <c r="AE45" s="127"/>
      <c r="AF45" s="107"/>
      <c r="AG45" s="458"/>
      <c r="AH45" s="458"/>
      <c r="AI45" s="458"/>
      <c r="AJ45" s="458"/>
      <c r="AK45" s="458"/>
      <c r="AL45" s="458"/>
      <c r="AM45" s="458"/>
      <c r="AN45" s="458"/>
      <c r="AO45" s="646"/>
      <c r="AP45" s="647"/>
      <c r="AQ45" s="458"/>
      <c r="AR45" s="458"/>
      <c r="AS45" s="458"/>
      <c r="AT45" s="458"/>
      <c r="AU45" s="458"/>
      <c r="AV45" s="458"/>
      <c r="AW45" s="458"/>
      <c r="AX45" s="648"/>
      <c r="AY45" s="649"/>
    </row>
    <row r="46" spans="1:51" ht="55.15" customHeight="1" x14ac:dyDescent="0.25">
      <c r="A46" s="585">
        <v>7</v>
      </c>
      <c r="B46" s="453" t="s">
        <v>324</v>
      </c>
      <c r="C46" s="587" t="s">
        <v>335</v>
      </c>
      <c r="D46" s="124" t="s">
        <v>40</v>
      </c>
      <c r="E46" s="92">
        <f>+[3]INVERSIÓN!BF52</f>
        <v>1</v>
      </c>
      <c r="F46" s="92">
        <f>+[3]INVERSIÓN!CE52</f>
        <v>1</v>
      </c>
      <c r="G46" s="92">
        <f>+[3]INVERSIÓN!$CH$52</f>
        <v>1</v>
      </c>
      <c r="H46" s="92">
        <f>+[3]INVERSIÓN!$CH$52</f>
        <v>1</v>
      </c>
      <c r="I46" s="92">
        <f>+[3]INVERSIÓN!$CH$52</f>
        <v>1</v>
      </c>
      <c r="J46" s="92">
        <f>+[3]INVERSIÓN!$CH$52</f>
        <v>1</v>
      </c>
      <c r="K46" s="92">
        <f>+[3]INVERSIÓN!$CH$52</f>
        <v>1</v>
      </c>
      <c r="L46" s="92">
        <f>+[3]INVERSIÓN!$CH$52</f>
        <v>1</v>
      </c>
      <c r="M46" s="92">
        <f>+[3]INVERSIÓN!$CH$52</f>
        <v>1</v>
      </c>
      <c r="N46" s="92">
        <f>+[3]INVERSIÓN!$CH$52</f>
        <v>1</v>
      </c>
      <c r="O46" s="92">
        <f>+[3]INVERSIÓN!$CH$52</f>
        <v>1</v>
      </c>
      <c r="P46" s="92"/>
      <c r="Q46" s="92"/>
      <c r="R46" s="92"/>
      <c r="S46" s="106"/>
      <c r="T46" s="92">
        <f>+[3]INVERSIÓN!BH52</f>
        <v>1</v>
      </c>
      <c r="U46" s="92">
        <f>+[3]INVERSIÓN!BJ52</f>
        <v>1</v>
      </c>
      <c r="V46" s="92">
        <f>+[3]INVERSIÓN!BL52</f>
        <v>1</v>
      </c>
      <c r="W46" s="92">
        <f>+[3]INVERSIÓN!BN52</f>
        <v>1</v>
      </c>
      <c r="X46" s="92">
        <f>+[3]INVERSIÓN!BP52</f>
        <v>1</v>
      </c>
      <c r="Y46" s="92">
        <f>+[3]INVERSIÓN!BR52</f>
        <v>1</v>
      </c>
      <c r="Z46" s="92">
        <f>+[3]INVERSIÓN!BT52</f>
        <v>1</v>
      </c>
      <c r="AA46" s="92">
        <f>+[3]INVERSIÓN!BV52</f>
        <v>1</v>
      </c>
      <c r="AB46" s="92">
        <f>+[3]INVERSIÓN!BX52</f>
        <v>1</v>
      </c>
      <c r="AC46" s="92"/>
      <c r="AD46" s="92"/>
      <c r="AE46" s="92"/>
      <c r="AF46" s="106"/>
      <c r="AG46" s="458" t="s">
        <v>326</v>
      </c>
      <c r="AH46" s="458" t="s">
        <v>327</v>
      </c>
      <c r="AI46" s="458" t="s">
        <v>327</v>
      </c>
      <c r="AJ46" s="458" t="s">
        <v>329</v>
      </c>
      <c r="AK46" s="458" t="s">
        <v>329</v>
      </c>
      <c r="AL46" s="458" t="s">
        <v>327</v>
      </c>
      <c r="AM46" s="458" t="s">
        <v>327</v>
      </c>
      <c r="AN46" s="458" t="s">
        <v>327</v>
      </c>
      <c r="AO46" s="655">
        <v>3751549</v>
      </c>
      <c r="AP46" s="656">
        <v>4082618</v>
      </c>
      <c r="AQ46" s="458" t="s">
        <v>327</v>
      </c>
      <c r="AR46" s="458" t="s">
        <v>327</v>
      </c>
      <c r="AS46" s="458" t="s">
        <v>327</v>
      </c>
      <c r="AT46" s="458" t="s">
        <v>327</v>
      </c>
      <c r="AU46" s="458" t="s">
        <v>327</v>
      </c>
      <c r="AV46" s="458" t="s">
        <v>327</v>
      </c>
      <c r="AW46" s="458" t="s">
        <v>327</v>
      </c>
      <c r="AX46" s="648">
        <f>+AO46+AP46</f>
        <v>7834167</v>
      </c>
      <c r="AY46" s="649"/>
    </row>
    <row r="47" spans="1:51" ht="55.15" customHeight="1" x14ac:dyDescent="0.25">
      <c r="A47" s="585"/>
      <c r="B47" s="453"/>
      <c r="C47" s="587"/>
      <c r="D47" s="125" t="s">
        <v>3</v>
      </c>
      <c r="E47" s="117">
        <f>+[3]INVERSIÓN!BF53</f>
        <v>725040000</v>
      </c>
      <c r="F47" s="117">
        <f>+[3]INVERSIÓN!CE53</f>
        <v>664856767</v>
      </c>
      <c r="G47" s="117">
        <f>+[3]INVERSIÓN!$CH$53</f>
        <v>664856767</v>
      </c>
      <c r="H47" s="117">
        <f>+[3]INVERSIÓN!$CH$53</f>
        <v>664856767</v>
      </c>
      <c r="I47" s="117">
        <f>+[3]INVERSIÓN!$CH$53</f>
        <v>664856767</v>
      </c>
      <c r="J47" s="117">
        <f>+[3]INVERSIÓN!$CH$53</f>
        <v>664856767</v>
      </c>
      <c r="K47" s="117">
        <f>+[3]INVERSIÓN!$CH$53</f>
        <v>664856767</v>
      </c>
      <c r="L47" s="117">
        <f>+[3]INVERSIÓN!$CH$53</f>
        <v>664856767</v>
      </c>
      <c r="M47" s="117">
        <f>+[3]INVERSIÓN!$CH$53</f>
        <v>664856767</v>
      </c>
      <c r="N47" s="117">
        <f>+[3]INVERSIÓN!$CH$53</f>
        <v>664856767</v>
      </c>
      <c r="O47" s="117">
        <f>+[3]INVERSIÓN!$CH$53</f>
        <v>664856767</v>
      </c>
      <c r="P47" s="117"/>
      <c r="Q47" s="117"/>
      <c r="R47" s="117"/>
      <c r="S47" s="117"/>
      <c r="T47" s="117">
        <f>+[3]INVERSIÓN!BH53</f>
        <v>585413000</v>
      </c>
      <c r="U47" s="117">
        <f>+[3]INVERSIÓN!BJ53+T47</f>
        <v>585413000</v>
      </c>
      <c r="V47" s="117">
        <f>+[3]INVERSIÓN!BL53+U47</f>
        <v>585413000</v>
      </c>
      <c r="W47" s="117">
        <f>+[3]INVERSIÓN!BN53+V47</f>
        <v>585413000</v>
      </c>
      <c r="X47" s="117">
        <f>+[3]INVERSIÓN!BP53+W47</f>
        <v>585413000</v>
      </c>
      <c r="Y47" s="117">
        <f>+[3]INVERSIÓN!BR53+X47</f>
        <v>585413000</v>
      </c>
      <c r="Z47" s="117">
        <f>+[3]INVERSIÓN!BT53+Y47</f>
        <v>585413000</v>
      </c>
      <c r="AA47" s="117">
        <f>+[3]INVERSIÓN!BV53+Z47</f>
        <v>585413000</v>
      </c>
      <c r="AB47" s="117">
        <f>+[3]INVERSIÓN!BX53+AA47</f>
        <v>597453000</v>
      </c>
      <c r="AC47" s="107"/>
      <c r="AD47" s="107"/>
      <c r="AE47" s="117"/>
      <c r="AF47" s="117"/>
      <c r="AG47" s="458"/>
      <c r="AH47" s="458"/>
      <c r="AI47" s="458"/>
      <c r="AJ47" s="458"/>
      <c r="AK47" s="458"/>
      <c r="AL47" s="458"/>
      <c r="AM47" s="458"/>
      <c r="AN47" s="458"/>
      <c r="AO47" s="657"/>
      <c r="AP47" s="658"/>
      <c r="AQ47" s="458"/>
      <c r="AR47" s="458"/>
      <c r="AS47" s="458"/>
      <c r="AT47" s="458"/>
      <c r="AU47" s="458"/>
      <c r="AV47" s="458"/>
      <c r="AW47" s="458"/>
      <c r="AX47" s="648"/>
      <c r="AY47" s="649"/>
    </row>
    <row r="48" spans="1:51" ht="55.15" customHeight="1" x14ac:dyDescent="0.25">
      <c r="A48" s="585"/>
      <c r="B48" s="453"/>
      <c r="C48" s="587"/>
      <c r="D48" s="124" t="s">
        <v>41</v>
      </c>
      <c r="E48" s="92">
        <f>+[3]INVERSIÓN!BF55</f>
        <v>0</v>
      </c>
      <c r="F48" s="92">
        <f>+[3]INVERSIÓN!CE55</f>
        <v>0</v>
      </c>
      <c r="G48" s="92">
        <f>+[3]INVERSIÓN!$CH$55</f>
        <v>0</v>
      </c>
      <c r="H48" s="92">
        <f>+[3]INVERSIÓN!$CH$55</f>
        <v>0</v>
      </c>
      <c r="I48" s="92">
        <f>+[3]INVERSIÓN!$CH$55</f>
        <v>0</v>
      </c>
      <c r="J48" s="92">
        <f>+[3]INVERSIÓN!$CH$55</f>
        <v>0</v>
      </c>
      <c r="K48" s="92">
        <f>+[3]INVERSIÓN!$CH$55</f>
        <v>0</v>
      </c>
      <c r="L48" s="92">
        <f>+[3]INVERSIÓN!$CH$55</f>
        <v>0</v>
      </c>
      <c r="M48" s="92">
        <f>+[3]INVERSIÓN!$CH$55</f>
        <v>0</v>
      </c>
      <c r="N48" s="92">
        <f>+[3]INVERSIÓN!$CH$55</f>
        <v>0</v>
      </c>
      <c r="O48" s="92">
        <f>+[3]INVERSIÓN!$CH$55</f>
        <v>0</v>
      </c>
      <c r="P48" s="92"/>
      <c r="Q48" s="92"/>
      <c r="R48" s="92"/>
      <c r="S48" s="92"/>
      <c r="T48" s="92">
        <f>+[3]INVERSIÓN!BH55</f>
        <v>0</v>
      </c>
      <c r="U48" s="92">
        <f>+[3]INVERSIÓN!BJ55</f>
        <v>0</v>
      </c>
      <c r="V48" s="92">
        <f>+[3]INVERSIÓN!BL55</f>
        <v>0</v>
      </c>
      <c r="W48" s="92">
        <f>+[3]INVERSIÓN!BN55</f>
        <v>0</v>
      </c>
      <c r="X48" s="92">
        <f>+[3]INVERSIÓN!BP55</f>
        <v>0</v>
      </c>
      <c r="Y48" s="92">
        <f>+[3]INVERSIÓN!BR55</f>
        <v>0</v>
      </c>
      <c r="Z48" s="92">
        <f>+[3]INVERSIÓN!BT55</f>
        <v>0</v>
      </c>
      <c r="AA48" s="92">
        <f>+[3]INVERSIÓN!BV55</f>
        <v>0</v>
      </c>
      <c r="AB48" s="92">
        <f>+[3]INVERSIÓN!BX55</f>
        <v>0</v>
      </c>
      <c r="AC48" s="92"/>
      <c r="AD48" s="92"/>
      <c r="AE48" s="92"/>
      <c r="AF48" s="92"/>
      <c r="AG48" s="458"/>
      <c r="AH48" s="458"/>
      <c r="AI48" s="458"/>
      <c r="AJ48" s="458"/>
      <c r="AK48" s="458"/>
      <c r="AL48" s="458"/>
      <c r="AM48" s="458"/>
      <c r="AN48" s="458"/>
      <c r="AO48" s="657"/>
      <c r="AP48" s="658"/>
      <c r="AQ48" s="458"/>
      <c r="AR48" s="458"/>
      <c r="AS48" s="458"/>
      <c r="AT48" s="458"/>
      <c r="AU48" s="458"/>
      <c r="AV48" s="458"/>
      <c r="AW48" s="458"/>
      <c r="AX48" s="648"/>
      <c r="AY48" s="649"/>
    </row>
    <row r="49" spans="1:51" ht="55.15" customHeight="1" x14ac:dyDescent="0.25">
      <c r="A49" s="585"/>
      <c r="B49" s="453"/>
      <c r="C49" s="587"/>
      <c r="D49" s="125" t="s">
        <v>4</v>
      </c>
      <c r="E49" s="117">
        <f>+[3]INVERSIÓN!BF56</f>
        <v>25802399</v>
      </c>
      <c r="F49" s="117">
        <f>+[3]INVERSIÓN!CE56</f>
        <v>25802399</v>
      </c>
      <c r="G49" s="117">
        <f>+[3]INVERSIÓN!$CH$56</f>
        <v>25802399</v>
      </c>
      <c r="H49" s="117">
        <f>+[3]INVERSIÓN!$CH$56</f>
        <v>25802399</v>
      </c>
      <c r="I49" s="117">
        <f>+[3]INVERSIÓN!$CH$56</f>
        <v>25802399</v>
      </c>
      <c r="J49" s="117">
        <f>+[3]INVERSIÓN!$CH$56</f>
        <v>25802399</v>
      </c>
      <c r="K49" s="117">
        <f>+[3]INVERSIÓN!$CH$56</f>
        <v>25802399</v>
      </c>
      <c r="L49" s="117">
        <f>+[3]INVERSIÓN!$CH$56</f>
        <v>25802399</v>
      </c>
      <c r="M49" s="117">
        <f>+[3]INVERSIÓN!$CH$56</f>
        <v>25802399</v>
      </c>
      <c r="N49" s="117">
        <f>+[3]INVERSIÓN!$CH$56</f>
        <v>25802399</v>
      </c>
      <c r="O49" s="117">
        <f>+[3]INVERSIÓN!$CH$56</f>
        <v>25802399</v>
      </c>
      <c r="P49" s="117"/>
      <c r="Q49" s="117"/>
      <c r="R49" s="117"/>
      <c r="S49" s="107"/>
      <c r="T49" s="117">
        <f>+[3]INVERSIÓN!BH56</f>
        <v>0</v>
      </c>
      <c r="U49" s="117">
        <f>+[3]INVERSIÓN!BJ56+T49</f>
        <v>25802399</v>
      </c>
      <c r="V49" s="117">
        <f>+[3]INVERSIÓN!BL56+U49</f>
        <v>25802399</v>
      </c>
      <c r="W49" s="117">
        <f>+[3]INVERSIÓN!BN56+V49</f>
        <v>25802399</v>
      </c>
      <c r="X49" s="117">
        <f>+[3]INVERSIÓN!BP56+W49</f>
        <v>25802399</v>
      </c>
      <c r="Y49" s="117">
        <f>+[3]INVERSIÓN!BR56+X49</f>
        <v>25802399</v>
      </c>
      <c r="Z49" s="117">
        <f>+[3]INVERSIÓN!BT56+Y49</f>
        <v>25802399</v>
      </c>
      <c r="AA49" s="117">
        <f>+[3]INVERSIÓN!BV56+Z49</f>
        <v>25802399</v>
      </c>
      <c r="AB49" s="117">
        <f>+[3]INVERSIÓN!BX56+AA49</f>
        <v>25802399</v>
      </c>
      <c r="AC49" s="107"/>
      <c r="AD49" s="107"/>
      <c r="AE49" s="117"/>
      <c r="AF49" s="117"/>
      <c r="AG49" s="458"/>
      <c r="AH49" s="458"/>
      <c r="AI49" s="458"/>
      <c r="AJ49" s="458"/>
      <c r="AK49" s="458"/>
      <c r="AL49" s="458"/>
      <c r="AM49" s="458"/>
      <c r="AN49" s="458"/>
      <c r="AO49" s="657"/>
      <c r="AP49" s="658"/>
      <c r="AQ49" s="458"/>
      <c r="AR49" s="458"/>
      <c r="AS49" s="458"/>
      <c r="AT49" s="458"/>
      <c r="AU49" s="458"/>
      <c r="AV49" s="458"/>
      <c r="AW49" s="458"/>
      <c r="AX49" s="648"/>
      <c r="AY49" s="649"/>
    </row>
    <row r="50" spans="1:51" ht="55.15" customHeight="1" x14ac:dyDescent="0.25">
      <c r="A50" s="585"/>
      <c r="B50" s="453"/>
      <c r="C50" s="587"/>
      <c r="D50" s="130" t="s">
        <v>42</v>
      </c>
      <c r="E50" s="126">
        <f>+E46+E48</f>
        <v>1</v>
      </c>
      <c r="F50" s="126">
        <f>+F46+F48</f>
        <v>1</v>
      </c>
      <c r="G50" s="126">
        <f t="shared" ref="G50:R51" si="12">+G46+G48</f>
        <v>1</v>
      </c>
      <c r="H50" s="126">
        <f t="shared" si="12"/>
        <v>1</v>
      </c>
      <c r="I50" s="126">
        <f t="shared" si="12"/>
        <v>1</v>
      </c>
      <c r="J50" s="126">
        <f t="shared" si="12"/>
        <v>1</v>
      </c>
      <c r="K50" s="126">
        <f t="shared" si="12"/>
        <v>1</v>
      </c>
      <c r="L50" s="126">
        <f t="shared" si="12"/>
        <v>1</v>
      </c>
      <c r="M50" s="126">
        <f t="shared" si="12"/>
        <v>1</v>
      </c>
      <c r="N50" s="126">
        <f t="shared" si="12"/>
        <v>1</v>
      </c>
      <c r="O50" s="126">
        <f t="shared" si="12"/>
        <v>1</v>
      </c>
      <c r="P50" s="126"/>
      <c r="Q50" s="126"/>
      <c r="R50" s="126"/>
      <c r="S50" s="126"/>
      <c r="T50" s="126">
        <f t="shared" ref="T50:AE51" si="13">+T46+T48</f>
        <v>1</v>
      </c>
      <c r="U50" s="126">
        <f t="shared" si="13"/>
        <v>1</v>
      </c>
      <c r="V50" s="126">
        <f t="shared" si="13"/>
        <v>1</v>
      </c>
      <c r="W50" s="126">
        <f t="shared" si="13"/>
        <v>1</v>
      </c>
      <c r="X50" s="126">
        <f t="shared" si="13"/>
        <v>1</v>
      </c>
      <c r="Y50" s="126">
        <f t="shared" si="13"/>
        <v>1</v>
      </c>
      <c r="Z50" s="126">
        <f t="shared" si="13"/>
        <v>1</v>
      </c>
      <c r="AA50" s="126">
        <f t="shared" si="13"/>
        <v>1</v>
      </c>
      <c r="AB50" s="126">
        <f t="shared" si="13"/>
        <v>1</v>
      </c>
      <c r="AC50" s="126"/>
      <c r="AD50" s="126"/>
      <c r="AE50" s="126"/>
      <c r="AF50" s="126"/>
      <c r="AG50" s="458"/>
      <c r="AH50" s="458"/>
      <c r="AI50" s="458"/>
      <c r="AJ50" s="458"/>
      <c r="AK50" s="458"/>
      <c r="AL50" s="458"/>
      <c r="AM50" s="458"/>
      <c r="AN50" s="458"/>
      <c r="AO50" s="657"/>
      <c r="AP50" s="658"/>
      <c r="AQ50" s="458"/>
      <c r="AR50" s="458"/>
      <c r="AS50" s="458"/>
      <c r="AT50" s="458"/>
      <c r="AU50" s="458"/>
      <c r="AV50" s="458"/>
      <c r="AW50" s="458"/>
      <c r="AX50" s="648"/>
      <c r="AY50" s="649"/>
    </row>
    <row r="51" spans="1:51" ht="55.15" customHeight="1" x14ac:dyDescent="0.25">
      <c r="A51" s="585"/>
      <c r="B51" s="453"/>
      <c r="C51" s="587"/>
      <c r="D51" s="131" t="s">
        <v>44</v>
      </c>
      <c r="E51" s="127">
        <f>+E47+E49</f>
        <v>750842399</v>
      </c>
      <c r="F51" s="127">
        <f>+F47+F49</f>
        <v>690659166</v>
      </c>
      <c r="G51" s="127">
        <f t="shared" si="12"/>
        <v>690659166</v>
      </c>
      <c r="H51" s="127">
        <f t="shared" si="12"/>
        <v>690659166</v>
      </c>
      <c r="I51" s="127">
        <f t="shared" si="12"/>
        <v>690659166</v>
      </c>
      <c r="J51" s="127">
        <f t="shared" si="12"/>
        <v>690659166</v>
      </c>
      <c r="K51" s="127">
        <f t="shared" si="12"/>
        <v>690659166</v>
      </c>
      <c r="L51" s="127">
        <f t="shared" si="12"/>
        <v>690659166</v>
      </c>
      <c r="M51" s="127">
        <f t="shared" si="12"/>
        <v>690659166</v>
      </c>
      <c r="N51" s="127">
        <f t="shared" si="12"/>
        <v>690659166</v>
      </c>
      <c r="O51" s="127">
        <f t="shared" si="12"/>
        <v>690659166</v>
      </c>
      <c r="P51" s="127"/>
      <c r="Q51" s="127"/>
      <c r="R51" s="127"/>
      <c r="S51" s="127"/>
      <c r="T51" s="127">
        <f t="shared" si="13"/>
        <v>585413000</v>
      </c>
      <c r="U51" s="127">
        <f t="shared" si="13"/>
        <v>611215399</v>
      </c>
      <c r="V51" s="127">
        <f t="shared" si="13"/>
        <v>611215399</v>
      </c>
      <c r="W51" s="127">
        <f t="shared" si="13"/>
        <v>611215399</v>
      </c>
      <c r="X51" s="127">
        <f t="shared" si="13"/>
        <v>611215399</v>
      </c>
      <c r="Y51" s="127">
        <f t="shared" si="13"/>
        <v>611215399</v>
      </c>
      <c r="Z51" s="127">
        <f t="shared" si="13"/>
        <v>611215399</v>
      </c>
      <c r="AA51" s="127">
        <f t="shared" si="13"/>
        <v>611215399</v>
      </c>
      <c r="AB51" s="127">
        <f t="shared" si="13"/>
        <v>623255399</v>
      </c>
      <c r="AC51" s="127"/>
      <c r="AD51" s="127"/>
      <c r="AE51" s="127"/>
      <c r="AF51" s="118"/>
      <c r="AG51" s="458"/>
      <c r="AH51" s="458"/>
      <c r="AI51" s="458"/>
      <c r="AJ51" s="458"/>
      <c r="AK51" s="458"/>
      <c r="AL51" s="458"/>
      <c r="AM51" s="458"/>
      <c r="AN51" s="458"/>
      <c r="AO51" s="642"/>
      <c r="AP51" s="643"/>
      <c r="AQ51" s="458"/>
      <c r="AR51" s="458"/>
      <c r="AS51" s="458"/>
      <c r="AT51" s="458"/>
      <c r="AU51" s="458"/>
      <c r="AV51" s="458"/>
      <c r="AW51" s="458"/>
      <c r="AX51" s="648"/>
      <c r="AY51" s="649"/>
    </row>
    <row r="52" spans="1:51" s="212" customFormat="1" ht="55.15" customHeight="1" x14ac:dyDescent="0.2">
      <c r="A52" s="478" t="s">
        <v>21</v>
      </c>
      <c r="B52" s="478"/>
      <c r="C52" s="478"/>
      <c r="D52" s="240" t="s">
        <v>33</v>
      </c>
      <c r="E52" s="248">
        <f t="shared" ref="E52:R52" si="14">+E11+E17+E23+E29+E35+E41+E47</f>
        <v>16468441000</v>
      </c>
      <c r="F52" s="248">
        <f t="shared" si="14"/>
        <v>16468441000</v>
      </c>
      <c r="G52" s="248">
        <f t="shared" si="14"/>
        <v>16468441000</v>
      </c>
      <c r="H52" s="248">
        <f t="shared" si="14"/>
        <v>16468441000</v>
      </c>
      <c r="I52" s="248">
        <f t="shared" si="14"/>
        <v>16468441000</v>
      </c>
      <c r="J52" s="248">
        <f t="shared" si="14"/>
        <v>16468441000</v>
      </c>
      <c r="K52" s="248">
        <f t="shared" si="14"/>
        <v>16468441000</v>
      </c>
      <c r="L52" s="248">
        <f t="shared" si="14"/>
        <v>16468441000</v>
      </c>
      <c r="M52" s="248">
        <f t="shared" si="14"/>
        <v>16468441000</v>
      </c>
      <c r="N52" s="248">
        <f t="shared" si="14"/>
        <v>16468441000</v>
      </c>
      <c r="O52" s="248">
        <f t="shared" si="14"/>
        <v>16468441000</v>
      </c>
      <c r="P52" s="248"/>
      <c r="Q52" s="248"/>
      <c r="R52" s="248"/>
      <c r="S52" s="597"/>
      <c r="T52" s="248">
        <f t="shared" ref="T52:Z52" si="15">+T11+T17+T23+T29+T35+T41+T47</f>
        <v>8662799908</v>
      </c>
      <c r="U52" s="248">
        <f t="shared" si="15"/>
        <v>8662799908</v>
      </c>
      <c r="V52" s="248">
        <f t="shared" si="15"/>
        <v>8712799908</v>
      </c>
      <c r="W52" s="248">
        <f t="shared" si="15"/>
        <v>8712799908</v>
      </c>
      <c r="X52" s="248">
        <f t="shared" si="15"/>
        <v>8987395908</v>
      </c>
      <c r="Y52" s="248">
        <f t="shared" si="15"/>
        <v>9121415908</v>
      </c>
      <c r="Z52" s="248">
        <f t="shared" si="15"/>
        <v>9075549908</v>
      </c>
      <c r="AA52" s="248">
        <f>+AA11+AA17+AA23+AA29+AA35+AA41+AA47</f>
        <v>9089577908</v>
      </c>
      <c r="AB52" s="248">
        <f>+AB11+AB17+AB23+AB29+AB35+AB41+AB47</f>
        <v>9545925742</v>
      </c>
      <c r="AC52" s="248"/>
      <c r="AD52" s="248"/>
      <c r="AE52" s="248"/>
      <c r="AF52" s="597"/>
      <c r="AG52" s="478"/>
      <c r="AH52" s="478"/>
      <c r="AI52" s="478"/>
      <c r="AJ52" s="478"/>
      <c r="AK52" s="478"/>
      <c r="AL52" s="478"/>
      <c r="AM52" s="478"/>
      <c r="AN52" s="478"/>
      <c r="AO52" s="478"/>
      <c r="AP52" s="478"/>
      <c r="AQ52" s="478"/>
      <c r="AR52" s="478"/>
      <c r="AS52" s="478"/>
      <c r="AT52" s="478"/>
      <c r="AU52" s="478"/>
      <c r="AV52" s="478"/>
      <c r="AW52" s="478"/>
      <c r="AX52" s="478"/>
      <c r="AY52" s="478"/>
    </row>
    <row r="53" spans="1:51" s="212" customFormat="1" ht="55.15" customHeight="1" x14ac:dyDescent="0.2">
      <c r="A53" s="478"/>
      <c r="B53" s="478"/>
      <c r="C53" s="478"/>
      <c r="D53" s="240" t="s">
        <v>32</v>
      </c>
      <c r="E53" s="248">
        <f t="shared" ref="E53:R53" si="16">+E13+E19+E25+E31+E37+E43+E49</f>
        <v>2043657525</v>
      </c>
      <c r="F53" s="248">
        <f t="shared" si="16"/>
        <v>2004507652</v>
      </c>
      <c r="G53" s="248">
        <f t="shared" si="16"/>
        <v>2004507652</v>
      </c>
      <c r="H53" s="248">
        <f t="shared" si="16"/>
        <v>2004507652</v>
      </c>
      <c r="I53" s="248">
        <f t="shared" si="16"/>
        <v>2004507652</v>
      </c>
      <c r="J53" s="248">
        <f t="shared" si="16"/>
        <v>2004507652</v>
      </c>
      <c r="K53" s="248">
        <f t="shared" si="16"/>
        <v>2004507652</v>
      </c>
      <c r="L53" s="248">
        <f t="shared" si="16"/>
        <v>2004507652</v>
      </c>
      <c r="M53" s="248">
        <f t="shared" si="16"/>
        <v>2004507652</v>
      </c>
      <c r="N53" s="248">
        <f t="shared" si="16"/>
        <v>2004507652</v>
      </c>
      <c r="O53" s="248">
        <f t="shared" si="16"/>
        <v>2004507652</v>
      </c>
      <c r="P53" s="248"/>
      <c r="Q53" s="248"/>
      <c r="R53" s="248"/>
      <c r="S53" s="597"/>
      <c r="T53" s="248">
        <f t="shared" ref="T53:AB53" si="17">+T13+T19+T25+T31+T37+T43+T49</f>
        <v>0</v>
      </c>
      <c r="U53" s="248">
        <f t="shared" si="17"/>
        <v>275548817</v>
      </c>
      <c r="V53" s="248">
        <f t="shared" si="17"/>
        <v>275548817</v>
      </c>
      <c r="W53" s="248">
        <f t="shared" si="17"/>
        <v>275548817</v>
      </c>
      <c r="X53" s="248">
        <f t="shared" si="17"/>
        <v>275548817</v>
      </c>
      <c r="Y53" s="248">
        <f t="shared" si="17"/>
        <v>275548817</v>
      </c>
      <c r="Z53" s="248">
        <f t="shared" si="17"/>
        <v>2013773126</v>
      </c>
      <c r="AA53" s="248">
        <f t="shared" si="17"/>
        <v>2004507660</v>
      </c>
      <c r="AB53" s="248">
        <f t="shared" si="17"/>
        <v>1743452405</v>
      </c>
      <c r="AC53" s="248"/>
      <c r="AD53" s="248"/>
      <c r="AE53" s="248"/>
      <c r="AF53" s="597"/>
      <c r="AG53" s="478"/>
      <c r="AH53" s="478"/>
      <c r="AI53" s="478"/>
      <c r="AJ53" s="478"/>
      <c r="AK53" s="478"/>
      <c r="AL53" s="478"/>
      <c r="AM53" s="478"/>
      <c r="AN53" s="478"/>
      <c r="AO53" s="478"/>
      <c r="AP53" s="478"/>
      <c r="AQ53" s="478"/>
      <c r="AR53" s="478"/>
      <c r="AS53" s="478"/>
      <c r="AT53" s="478"/>
      <c r="AU53" s="478"/>
      <c r="AV53" s="478"/>
      <c r="AW53" s="478"/>
      <c r="AX53" s="478"/>
      <c r="AY53" s="478"/>
    </row>
    <row r="54" spans="1:51" s="212" customFormat="1" ht="55.15" customHeight="1" x14ac:dyDescent="0.2">
      <c r="A54" s="478"/>
      <c r="B54" s="478"/>
      <c r="C54" s="478"/>
      <c r="D54" s="240" t="s">
        <v>31</v>
      </c>
      <c r="E54" s="248">
        <f>+E52+E53</f>
        <v>18512098525</v>
      </c>
      <c r="F54" s="248">
        <f>+F52+F53</f>
        <v>18472948652</v>
      </c>
      <c r="G54" s="248">
        <f t="shared" ref="G54:R54" si="18">+G52+G53</f>
        <v>18472948652</v>
      </c>
      <c r="H54" s="248">
        <f t="shared" si="18"/>
        <v>18472948652</v>
      </c>
      <c r="I54" s="248">
        <f t="shared" si="18"/>
        <v>18472948652</v>
      </c>
      <c r="J54" s="248">
        <f t="shared" si="18"/>
        <v>18472948652</v>
      </c>
      <c r="K54" s="248">
        <f t="shared" si="18"/>
        <v>18472948652</v>
      </c>
      <c r="L54" s="248">
        <f t="shared" si="18"/>
        <v>18472948652</v>
      </c>
      <c r="M54" s="248">
        <f t="shared" si="18"/>
        <v>18472948652</v>
      </c>
      <c r="N54" s="248">
        <f t="shared" si="18"/>
        <v>18472948652</v>
      </c>
      <c r="O54" s="248">
        <f t="shared" si="18"/>
        <v>18472948652</v>
      </c>
      <c r="P54" s="248"/>
      <c r="Q54" s="248"/>
      <c r="R54" s="248"/>
      <c r="S54" s="597"/>
      <c r="T54" s="248">
        <f t="shared" ref="T54:AE54" si="19">+T52+T53</f>
        <v>8662799908</v>
      </c>
      <c r="U54" s="248">
        <f t="shared" si="19"/>
        <v>8938348725</v>
      </c>
      <c r="V54" s="248">
        <f t="shared" si="19"/>
        <v>8988348725</v>
      </c>
      <c r="W54" s="248">
        <f t="shared" si="19"/>
        <v>8988348725</v>
      </c>
      <c r="X54" s="248">
        <f t="shared" si="19"/>
        <v>9262944725</v>
      </c>
      <c r="Y54" s="248">
        <f t="shared" si="19"/>
        <v>9396964725</v>
      </c>
      <c r="Z54" s="248">
        <f t="shared" si="19"/>
        <v>11089323034</v>
      </c>
      <c r="AA54" s="248">
        <f t="shared" si="19"/>
        <v>11094085568</v>
      </c>
      <c r="AB54" s="248">
        <f t="shared" si="19"/>
        <v>11289378147</v>
      </c>
      <c r="AC54" s="248"/>
      <c r="AD54" s="248"/>
      <c r="AE54" s="248"/>
      <c r="AF54" s="597"/>
      <c r="AG54" s="478"/>
      <c r="AH54" s="478"/>
      <c r="AI54" s="478"/>
      <c r="AJ54" s="478"/>
      <c r="AK54" s="478"/>
      <c r="AL54" s="478"/>
      <c r="AM54" s="478"/>
      <c r="AN54" s="478"/>
      <c r="AO54" s="478"/>
      <c r="AP54" s="478"/>
      <c r="AQ54" s="478"/>
      <c r="AR54" s="478"/>
      <c r="AS54" s="478"/>
      <c r="AT54" s="478"/>
      <c r="AU54" s="478"/>
      <c r="AV54" s="478"/>
      <c r="AW54" s="478"/>
      <c r="AX54" s="478"/>
      <c r="AY54" s="478"/>
    </row>
    <row r="55" spans="1:51" ht="55.5" customHeight="1" x14ac:dyDescent="0.25">
      <c r="A55" s="20"/>
      <c r="B55" s="20"/>
      <c r="C55" s="20"/>
      <c r="D55" s="20"/>
      <c r="E55" s="21"/>
      <c r="F55" s="53"/>
      <c r="G55" s="21"/>
      <c r="H55" s="21"/>
      <c r="I55" s="21"/>
      <c r="J55" s="21"/>
      <c r="K55" s="21"/>
      <c r="L55" s="21"/>
      <c r="M55" s="21"/>
      <c r="N55" s="21"/>
      <c r="O55" s="21"/>
      <c r="P55" s="21"/>
      <c r="Q55" s="21"/>
      <c r="R55" s="21"/>
      <c r="S55" s="21"/>
      <c r="T55" s="21"/>
      <c r="U55" s="21"/>
      <c r="V55" s="21"/>
      <c r="W55" s="21"/>
      <c r="X55" s="21"/>
      <c r="Y55" s="21"/>
      <c r="Z55" s="21"/>
      <c r="AA55" s="21"/>
      <c r="AB55" s="21"/>
      <c r="AC55" s="21"/>
      <c r="AD55" s="43"/>
      <c r="AE55" s="20"/>
      <c r="AF55" s="20"/>
      <c r="AG55" s="20"/>
      <c r="AH55" s="20"/>
      <c r="AI55" s="20"/>
      <c r="AJ55" s="20"/>
      <c r="AK55" s="20"/>
      <c r="AL55" s="20"/>
      <c r="AM55" s="20"/>
      <c r="AN55" s="20"/>
      <c r="AO55" s="20"/>
      <c r="AP55" s="35"/>
      <c r="AQ55" s="35"/>
      <c r="AR55" s="20"/>
      <c r="AS55" s="20"/>
      <c r="AT55" s="20"/>
      <c r="AU55" s="20"/>
      <c r="AV55" s="20"/>
      <c r="AW55" s="20"/>
      <c r="AX55" s="35"/>
    </row>
    <row r="56" spans="1:51" ht="69.75" customHeight="1" x14ac:dyDescent="0.25">
      <c r="A56" s="22"/>
      <c r="B56" s="22" t="s">
        <v>34</v>
      </c>
      <c r="C56" s="20"/>
      <c r="D56" s="20"/>
      <c r="E56" s="21"/>
      <c r="F56" s="53"/>
      <c r="G56" s="21"/>
      <c r="H56" s="21"/>
      <c r="I56" s="21"/>
      <c r="J56" s="21"/>
      <c r="K56" s="21"/>
      <c r="L56" s="21"/>
      <c r="M56" s="21"/>
      <c r="N56" s="21"/>
      <c r="O56" s="21"/>
      <c r="P56" s="21"/>
      <c r="Q56" s="21"/>
      <c r="R56" s="21"/>
      <c r="S56" s="21"/>
      <c r="T56" s="21"/>
      <c r="U56" s="21"/>
      <c r="V56" s="21"/>
      <c r="W56" s="21"/>
      <c r="X56" s="21"/>
      <c r="Y56" s="21"/>
      <c r="Z56" s="21"/>
      <c r="AA56" s="21"/>
      <c r="AB56" s="21"/>
      <c r="AC56" s="21"/>
      <c r="AD56" s="43"/>
      <c r="AE56" s="20"/>
      <c r="AF56" s="20"/>
      <c r="AG56" s="20"/>
      <c r="AH56" s="20"/>
      <c r="AI56" s="20"/>
      <c r="AJ56" s="23"/>
      <c r="AK56" s="23"/>
      <c r="AL56" s="23"/>
      <c r="AM56" s="23"/>
      <c r="AN56" s="23"/>
      <c r="AO56" s="23"/>
      <c r="AP56" s="36"/>
      <c r="AQ56" s="36"/>
      <c r="AR56" s="24"/>
      <c r="AS56" s="24"/>
      <c r="AT56" s="24"/>
      <c r="AU56" s="24"/>
      <c r="AV56" s="24"/>
      <c r="AW56" s="24"/>
      <c r="AX56" s="24"/>
    </row>
    <row r="57" spans="1:51" s="6" customFormat="1" ht="69.75" customHeight="1" x14ac:dyDescent="0.25">
      <c r="B57" s="247" t="s">
        <v>35</v>
      </c>
      <c r="C57" s="443" t="s">
        <v>36</v>
      </c>
      <c r="D57" s="444"/>
      <c r="E57" s="444"/>
      <c r="F57" s="444"/>
      <c r="G57" s="444"/>
      <c r="H57" s="444"/>
      <c r="I57" s="445"/>
      <c r="J57" s="446" t="s">
        <v>37</v>
      </c>
      <c r="K57" s="447"/>
      <c r="L57" s="447"/>
      <c r="M57" s="447"/>
      <c r="N57" s="447"/>
      <c r="O57" s="447"/>
      <c r="P57" s="448"/>
      <c r="Q57" s="9"/>
      <c r="R57" s="9"/>
      <c r="S57" s="9"/>
      <c r="T57" s="9"/>
      <c r="U57" s="9"/>
      <c r="V57" s="46"/>
      <c r="W57" s="8"/>
      <c r="X57" s="8"/>
      <c r="Y57" s="8"/>
      <c r="Z57" s="8"/>
      <c r="AA57" s="8"/>
      <c r="AB57" s="8"/>
      <c r="AC57" s="8"/>
      <c r="AD57" s="8"/>
      <c r="AE57" s="8"/>
    </row>
    <row r="58" spans="1:51" s="6" customFormat="1" ht="69.75" customHeight="1" x14ac:dyDescent="0.25">
      <c r="A58" s="8"/>
      <c r="B58" s="250">
        <v>13</v>
      </c>
      <c r="C58" s="449" t="s">
        <v>89</v>
      </c>
      <c r="D58" s="449"/>
      <c r="E58" s="449"/>
      <c r="F58" s="449"/>
      <c r="G58" s="449"/>
      <c r="H58" s="449"/>
      <c r="I58" s="449"/>
      <c r="J58" s="449" t="s">
        <v>80</v>
      </c>
      <c r="K58" s="449"/>
      <c r="L58" s="449"/>
      <c r="M58" s="449"/>
      <c r="N58" s="449"/>
      <c r="O58" s="449"/>
      <c r="P58" s="449"/>
      <c r="Q58" s="9"/>
      <c r="R58" s="9"/>
      <c r="S58" s="9"/>
      <c r="T58" s="9"/>
      <c r="U58" s="9"/>
      <c r="V58" s="46"/>
      <c r="W58" s="8"/>
      <c r="X58" s="8"/>
      <c r="Y58" s="8"/>
      <c r="Z58" s="8"/>
      <c r="AA58" s="8"/>
      <c r="AB58" s="8"/>
      <c r="AC58" s="8"/>
      <c r="AD58" s="8"/>
      <c r="AE58" s="8"/>
    </row>
    <row r="59" spans="1:51" s="6" customFormat="1" ht="69.75" customHeight="1" x14ac:dyDescent="0.25">
      <c r="A59" s="8"/>
      <c r="B59" s="250">
        <v>14</v>
      </c>
      <c r="C59" s="449" t="s">
        <v>258</v>
      </c>
      <c r="D59" s="449"/>
      <c r="E59" s="449"/>
      <c r="F59" s="449"/>
      <c r="G59" s="449"/>
      <c r="H59" s="449"/>
      <c r="I59" s="449"/>
      <c r="J59" s="450" t="s">
        <v>530</v>
      </c>
      <c r="K59" s="450"/>
      <c r="L59" s="450"/>
      <c r="M59" s="450"/>
      <c r="N59" s="450"/>
      <c r="O59" s="450"/>
      <c r="P59" s="450"/>
      <c r="Q59" s="9"/>
      <c r="R59" s="9"/>
      <c r="S59" s="9"/>
      <c r="T59" s="9"/>
      <c r="U59" s="9"/>
      <c r="V59" s="46"/>
      <c r="W59" s="8"/>
      <c r="X59" s="8"/>
      <c r="Y59" s="8"/>
      <c r="Z59" s="8"/>
      <c r="AA59" s="8"/>
      <c r="AB59" s="8"/>
      <c r="AC59" s="8"/>
      <c r="AD59" s="8"/>
      <c r="AE59" s="8"/>
    </row>
    <row r="60" spans="1:51" ht="69.75" customHeight="1" x14ac:dyDescent="0.25">
      <c r="A60" s="25"/>
      <c r="B60" s="25"/>
      <c r="C60" s="25"/>
      <c r="D60" s="25"/>
      <c r="E60" s="27"/>
      <c r="F60" s="27"/>
      <c r="G60" s="27"/>
      <c r="H60" s="27"/>
      <c r="I60" s="27"/>
      <c r="J60" s="27"/>
      <c r="K60" s="27"/>
      <c r="L60" s="27"/>
      <c r="M60" s="27"/>
      <c r="N60" s="27"/>
      <c r="O60" s="27"/>
      <c r="P60" s="27"/>
      <c r="Q60" s="27"/>
      <c r="R60" s="25"/>
      <c r="S60" s="25"/>
      <c r="T60" s="25"/>
      <c r="U60" s="25"/>
      <c r="V60" s="25"/>
      <c r="W60" s="25"/>
      <c r="X60" s="25"/>
      <c r="Y60" s="25"/>
      <c r="Z60" s="25"/>
      <c r="AA60" s="25"/>
      <c r="AB60" s="25"/>
      <c r="AC60" s="25"/>
      <c r="AD60" s="168"/>
      <c r="AE60" s="25"/>
      <c r="AF60" s="25"/>
      <c r="AG60" s="25"/>
      <c r="AH60" s="25"/>
      <c r="AI60" s="25"/>
      <c r="AJ60" s="25"/>
      <c r="AK60" s="25"/>
      <c r="AL60" s="25"/>
      <c r="AM60" s="25"/>
      <c r="AN60" s="25"/>
      <c r="AO60" s="25"/>
      <c r="AP60" s="25"/>
      <c r="AQ60" s="25"/>
      <c r="AR60" s="25"/>
      <c r="AS60" s="25"/>
      <c r="AT60" s="25"/>
      <c r="AU60" s="25"/>
      <c r="AV60" s="25"/>
      <c r="AW60" s="25"/>
      <c r="AX60" s="25"/>
    </row>
    <row r="61" spans="1:51" ht="69.75" customHeight="1" x14ac:dyDescent="0.25">
      <c r="A61" s="25"/>
      <c r="B61" s="25"/>
      <c r="C61" s="25"/>
      <c r="D61" s="25"/>
      <c r="E61" s="25"/>
      <c r="F61" s="54"/>
      <c r="G61" s="25"/>
      <c r="H61" s="25"/>
      <c r="I61" s="25"/>
      <c r="J61" s="25"/>
      <c r="K61" s="25"/>
      <c r="L61" s="25"/>
      <c r="M61" s="25"/>
      <c r="N61" s="25"/>
      <c r="O61" s="25"/>
      <c r="P61" s="25"/>
      <c r="Q61" s="25"/>
      <c r="R61" s="25"/>
      <c r="S61" s="25"/>
      <c r="T61" s="25"/>
      <c r="U61" s="25"/>
      <c r="V61" s="25"/>
      <c r="W61" s="25"/>
      <c r="X61" s="25"/>
      <c r="Y61" s="25"/>
      <c r="Z61" s="25"/>
      <c r="AA61" s="25"/>
      <c r="AB61" s="25"/>
      <c r="AC61" s="25"/>
      <c r="AD61" s="169"/>
      <c r="AE61" s="25"/>
      <c r="AF61" s="25"/>
      <c r="AG61" s="25"/>
      <c r="AH61" s="25"/>
      <c r="AI61" s="25"/>
      <c r="AJ61" s="25"/>
      <c r="AK61" s="25"/>
      <c r="AL61" s="25"/>
      <c r="AM61" s="25"/>
      <c r="AN61" s="25"/>
      <c r="AO61" s="25"/>
      <c r="AP61" s="25"/>
      <c r="AQ61" s="25"/>
      <c r="AR61" s="25"/>
      <c r="AS61" s="25"/>
      <c r="AT61" s="25"/>
      <c r="AU61" s="25"/>
      <c r="AV61" s="25"/>
      <c r="AW61" s="25"/>
      <c r="AX61" s="25"/>
    </row>
    <row r="62" spans="1:51" ht="69.75" customHeight="1" x14ac:dyDescent="0.25">
      <c r="A62" s="25"/>
      <c r="B62" s="25"/>
      <c r="C62" s="25"/>
      <c r="D62" s="25"/>
      <c r="E62" s="26"/>
      <c r="F62" s="55"/>
      <c r="G62" s="26"/>
      <c r="H62" s="26"/>
      <c r="I62" s="26"/>
      <c r="J62" s="26"/>
      <c r="K62" s="26"/>
      <c r="L62" s="26"/>
      <c r="M62" s="26"/>
      <c r="N62" s="26"/>
      <c r="O62" s="26"/>
      <c r="P62" s="26"/>
      <c r="Q62" s="26"/>
      <c r="R62" s="26"/>
      <c r="S62" s="26"/>
      <c r="T62" s="26"/>
      <c r="U62" s="26"/>
      <c r="V62" s="26"/>
      <c r="W62" s="26"/>
      <c r="X62" s="26"/>
      <c r="Y62" s="26"/>
      <c r="Z62" s="26"/>
      <c r="AA62" s="26"/>
      <c r="AB62" s="26"/>
      <c r="AC62" s="26"/>
      <c r="AD62" s="168"/>
      <c r="AE62" s="25"/>
      <c r="AF62" s="25"/>
      <c r="AG62" s="25"/>
      <c r="AH62" s="25"/>
      <c r="AI62" s="25"/>
      <c r="AJ62" s="25"/>
      <c r="AK62" s="25"/>
      <c r="AL62" s="25"/>
      <c r="AM62" s="25"/>
      <c r="AN62" s="25"/>
      <c r="AO62" s="25"/>
      <c r="AP62" s="25"/>
      <c r="AQ62" s="25"/>
      <c r="AR62" s="25"/>
      <c r="AS62" s="25"/>
      <c r="AT62" s="25"/>
      <c r="AU62" s="25"/>
      <c r="AV62" s="25"/>
      <c r="AW62" s="25"/>
      <c r="AX62" s="25"/>
    </row>
    <row r="63" spans="1:51" ht="69.75" customHeight="1" x14ac:dyDescent="0.25">
      <c r="A63" s="25"/>
      <c r="B63" s="25"/>
      <c r="C63" s="25"/>
      <c r="D63" s="25"/>
      <c r="E63" s="25"/>
      <c r="F63" s="54"/>
      <c r="G63" s="25"/>
      <c r="H63" s="25"/>
      <c r="I63" s="25"/>
      <c r="J63" s="25"/>
      <c r="K63" s="25"/>
      <c r="L63" s="25"/>
      <c r="M63" s="25"/>
      <c r="N63" s="25"/>
      <c r="O63" s="25"/>
      <c r="P63" s="25"/>
      <c r="Q63" s="25"/>
      <c r="R63" s="25"/>
      <c r="S63" s="25"/>
      <c r="T63" s="25"/>
      <c r="U63" s="25"/>
      <c r="V63" s="25"/>
      <c r="W63" s="25"/>
      <c r="X63" s="25"/>
      <c r="Y63" s="25"/>
      <c r="Z63" s="25"/>
      <c r="AA63" s="25"/>
      <c r="AB63" s="25"/>
      <c r="AC63" s="25"/>
      <c r="AD63" s="168"/>
      <c r="AE63" s="25"/>
      <c r="AF63" s="25"/>
      <c r="AG63" s="25"/>
      <c r="AH63" s="25"/>
      <c r="AI63" s="25"/>
      <c r="AJ63" s="25"/>
      <c r="AK63" s="25"/>
      <c r="AL63" s="25"/>
      <c r="AM63" s="25"/>
      <c r="AN63" s="25"/>
      <c r="AO63" s="25"/>
      <c r="AP63" s="25"/>
      <c r="AQ63" s="25"/>
      <c r="AR63" s="25"/>
      <c r="AS63" s="25"/>
      <c r="AT63" s="25"/>
      <c r="AU63" s="25"/>
      <c r="AV63" s="25"/>
      <c r="AW63" s="25"/>
      <c r="AX63" s="25"/>
    </row>
    <row r="64" spans="1:51" ht="69.75" customHeight="1" x14ac:dyDescent="0.25">
      <c r="A64" s="25"/>
      <c r="B64" s="25"/>
      <c r="C64" s="25"/>
      <c r="D64" s="25"/>
      <c r="E64" s="25"/>
      <c r="F64" s="54"/>
      <c r="G64" s="25"/>
      <c r="H64" s="25"/>
      <c r="I64" s="25"/>
      <c r="J64" s="25"/>
      <c r="K64" s="25"/>
      <c r="L64" s="25"/>
      <c r="M64" s="25"/>
      <c r="N64" s="25"/>
      <c r="O64" s="25"/>
      <c r="P64" s="25"/>
      <c r="Q64" s="25"/>
      <c r="R64" s="25"/>
      <c r="S64" s="25"/>
      <c r="T64" s="25"/>
      <c r="U64" s="25"/>
      <c r="V64" s="25"/>
      <c r="W64" s="25"/>
      <c r="X64" s="25"/>
      <c r="Y64" s="25"/>
      <c r="Z64" s="25"/>
      <c r="AA64" s="25"/>
      <c r="AB64" s="25"/>
      <c r="AC64" s="25"/>
      <c r="AD64" s="168"/>
      <c r="AE64" s="25"/>
      <c r="AF64" s="25"/>
      <c r="AG64" s="25"/>
      <c r="AH64" s="25"/>
      <c r="AI64" s="25"/>
      <c r="AJ64" s="25"/>
      <c r="AK64" s="25"/>
      <c r="AL64" s="25"/>
      <c r="AM64" s="25"/>
      <c r="AN64" s="25"/>
      <c r="AO64" s="25"/>
      <c r="AP64" s="25"/>
      <c r="AQ64" s="25"/>
      <c r="AR64" s="25"/>
      <c r="AS64" s="25"/>
      <c r="AT64" s="25"/>
      <c r="AU64" s="25"/>
      <c r="AV64" s="25"/>
      <c r="AW64" s="25"/>
      <c r="AX64" s="25"/>
    </row>
    <row r="65" spans="1:50" ht="69.75" customHeight="1" x14ac:dyDescent="0.25">
      <c r="A65" s="25"/>
      <c r="B65" s="25"/>
      <c r="C65" s="25"/>
      <c r="D65" s="25"/>
      <c r="E65" s="25"/>
      <c r="F65" s="54"/>
      <c r="G65" s="25"/>
      <c r="H65" s="25"/>
      <c r="I65" s="25"/>
      <c r="J65" s="25"/>
      <c r="K65" s="25"/>
      <c r="L65" s="25"/>
      <c r="M65" s="25"/>
      <c r="N65" s="25"/>
      <c r="O65" s="25"/>
      <c r="P65" s="25"/>
      <c r="Q65" s="25"/>
      <c r="R65" s="25"/>
      <c r="S65" s="25"/>
      <c r="T65" s="25"/>
      <c r="U65" s="25"/>
      <c r="V65" s="25"/>
      <c r="W65" s="25"/>
      <c r="X65" s="25"/>
      <c r="Y65" s="25"/>
      <c r="Z65" s="25"/>
      <c r="AA65" s="25"/>
      <c r="AB65" s="25"/>
      <c r="AC65" s="25"/>
      <c r="AD65" s="168"/>
      <c r="AE65" s="25"/>
      <c r="AF65" s="25"/>
      <c r="AG65" s="25"/>
      <c r="AH65" s="25"/>
      <c r="AI65" s="25"/>
      <c r="AJ65" s="25"/>
      <c r="AK65" s="25"/>
      <c r="AL65" s="25"/>
      <c r="AM65" s="25"/>
      <c r="AN65" s="25"/>
      <c r="AO65" s="25"/>
      <c r="AP65" s="25"/>
      <c r="AQ65" s="25"/>
      <c r="AR65" s="25"/>
      <c r="AS65" s="25"/>
      <c r="AT65" s="25"/>
      <c r="AU65" s="25"/>
      <c r="AV65" s="25"/>
      <c r="AW65" s="25"/>
      <c r="AX65" s="25"/>
    </row>
    <row r="66" spans="1:50" ht="69.75" customHeight="1" x14ac:dyDescent="0.25">
      <c r="A66" s="25"/>
      <c r="B66" s="25"/>
      <c r="C66" s="25"/>
      <c r="D66" s="25"/>
      <c r="E66" s="25"/>
      <c r="F66" s="54"/>
      <c r="G66" s="25"/>
      <c r="H66" s="25"/>
      <c r="I66" s="25"/>
      <c r="J66" s="25"/>
      <c r="K66" s="25"/>
      <c r="L66" s="25"/>
      <c r="M66" s="25"/>
      <c r="N66" s="25"/>
      <c r="O66" s="25"/>
      <c r="P66" s="25"/>
      <c r="Q66" s="25"/>
      <c r="R66" s="25"/>
      <c r="S66" s="25"/>
      <c r="T66" s="25"/>
      <c r="U66" s="25"/>
      <c r="V66" s="25"/>
      <c r="W66" s="25"/>
      <c r="X66" s="25"/>
      <c r="Y66" s="25"/>
      <c r="Z66" s="25"/>
      <c r="AA66" s="25"/>
      <c r="AB66" s="25"/>
      <c r="AC66" s="25"/>
      <c r="AD66" s="168"/>
      <c r="AE66" s="25"/>
      <c r="AF66" s="25"/>
      <c r="AG66" s="25"/>
      <c r="AH66" s="25"/>
      <c r="AI66" s="25"/>
      <c r="AJ66" s="25"/>
      <c r="AK66" s="25"/>
      <c r="AL66" s="25"/>
      <c r="AM66" s="25"/>
      <c r="AN66" s="25"/>
      <c r="AO66" s="25"/>
      <c r="AP66" s="25"/>
      <c r="AQ66" s="25"/>
      <c r="AR66" s="25"/>
      <c r="AS66" s="25"/>
      <c r="AT66" s="25"/>
      <c r="AU66" s="25"/>
      <c r="AV66" s="25"/>
      <c r="AW66" s="25"/>
      <c r="AX66" s="25"/>
    </row>
    <row r="67" spans="1:50" ht="69.75" customHeight="1" x14ac:dyDescent="0.25">
      <c r="A67" s="25"/>
      <c r="B67" s="25"/>
      <c r="C67" s="25"/>
      <c r="D67" s="25"/>
      <c r="E67" s="25"/>
      <c r="F67" s="54"/>
      <c r="G67" s="25"/>
      <c r="H67" s="25"/>
      <c r="I67" s="25"/>
      <c r="J67" s="25"/>
      <c r="K67" s="25"/>
      <c r="L67" s="25"/>
      <c r="M67" s="25"/>
      <c r="N67" s="25"/>
      <c r="O67" s="25"/>
      <c r="P67" s="25"/>
      <c r="Q67" s="25"/>
      <c r="R67" s="25"/>
      <c r="S67" s="25"/>
      <c r="T67" s="25"/>
      <c r="U67" s="25"/>
      <c r="V67" s="25"/>
      <c r="W67" s="25"/>
      <c r="X67" s="25"/>
      <c r="Y67" s="25"/>
      <c r="Z67" s="25"/>
      <c r="AA67" s="25"/>
      <c r="AB67" s="25"/>
      <c r="AC67" s="25"/>
      <c r="AD67" s="168"/>
      <c r="AE67" s="25"/>
      <c r="AF67" s="25"/>
      <c r="AG67" s="25"/>
      <c r="AH67" s="25"/>
      <c r="AI67" s="25"/>
      <c r="AJ67" s="25"/>
      <c r="AK67" s="25"/>
      <c r="AL67" s="25"/>
      <c r="AM67" s="25"/>
      <c r="AN67" s="25"/>
      <c r="AO67" s="25"/>
      <c r="AP67" s="25"/>
      <c r="AQ67" s="25"/>
      <c r="AR67" s="25"/>
      <c r="AS67" s="25"/>
      <c r="AT67" s="25"/>
      <c r="AU67" s="25"/>
      <c r="AV67" s="25"/>
      <c r="AW67" s="25"/>
      <c r="AX67" s="25"/>
    </row>
    <row r="68" spans="1:50" ht="69.75" customHeight="1" x14ac:dyDescent="0.25">
      <c r="A68" s="25"/>
      <c r="B68" s="25"/>
      <c r="C68" s="25"/>
      <c r="D68" s="25"/>
      <c r="E68" s="25"/>
      <c r="F68" s="54"/>
      <c r="G68" s="25"/>
      <c r="H68" s="25"/>
      <c r="I68" s="25"/>
      <c r="J68" s="25"/>
      <c r="K68" s="25"/>
      <c r="L68" s="25"/>
      <c r="M68" s="25"/>
      <c r="N68" s="25"/>
      <c r="O68" s="25"/>
      <c r="P68" s="25"/>
      <c r="Q68" s="25"/>
      <c r="R68" s="25"/>
      <c r="S68" s="25"/>
      <c r="T68" s="25"/>
      <c r="U68" s="25"/>
      <c r="V68" s="25"/>
      <c r="W68" s="25"/>
      <c r="X68" s="25"/>
      <c r="Y68" s="25"/>
      <c r="Z68" s="25"/>
      <c r="AA68" s="25"/>
      <c r="AB68" s="25"/>
      <c r="AC68" s="25"/>
      <c r="AD68" s="168"/>
      <c r="AE68" s="25"/>
      <c r="AF68" s="25"/>
      <c r="AG68" s="25"/>
      <c r="AH68" s="25"/>
      <c r="AI68" s="25"/>
      <c r="AJ68" s="25"/>
      <c r="AK68" s="25"/>
      <c r="AL68" s="25"/>
      <c r="AM68" s="25"/>
      <c r="AN68" s="25"/>
      <c r="AO68" s="25"/>
      <c r="AP68" s="25"/>
      <c r="AQ68" s="25"/>
      <c r="AR68" s="25"/>
      <c r="AS68" s="25"/>
      <c r="AT68" s="25"/>
      <c r="AU68" s="25"/>
      <c r="AV68" s="25"/>
      <c r="AW68" s="25"/>
      <c r="AX68" s="25"/>
    </row>
    <row r="69" spans="1:50" ht="69.75" customHeight="1" x14ac:dyDescent="0.25">
      <c r="A69" s="25"/>
      <c r="B69" s="25"/>
      <c r="C69" s="25"/>
      <c r="D69" s="25"/>
      <c r="E69" s="25"/>
      <c r="F69" s="54"/>
      <c r="G69" s="25"/>
      <c r="H69" s="25"/>
      <c r="I69" s="25"/>
      <c r="J69" s="25"/>
      <c r="K69" s="25"/>
      <c r="L69" s="25"/>
      <c r="M69" s="25"/>
      <c r="N69" s="25"/>
      <c r="O69" s="25"/>
      <c r="P69" s="25"/>
      <c r="Q69" s="25"/>
      <c r="R69" s="25"/>
      <c r="S69" s="25"/>
      <c r="T69" s="25"/>
      <c r="U69" s="25"/>
      <c r="V69" s="25"/>
      <c r="W69" s="25"/>
      <c r="X69" s="25"/>
      <c r="Y69" s="25"/>
      <c r="Z69" s="25"/>
      <c r="AA69" s="25"/>
      <c r="AB69" s="25"/>
      <c r="AC69" s="25"/>
      <c r="AD69" s="168"/>
      <c r="AE69" s="25"/>
      <c r="AF69" s="25"/>
      <c r="AG69" s="25"/>
      <c r="AH69" s="25"/>
      <c r="AI69" s="25"/>
      <c r="AJ69" s="25"/>
      <c r="AK69" s="25"/>
      <c r="AL69" s="25"/>
      <c r="AM69" s="25"/>
      <c r="AN69" s="25"/>
      <c r="AO69" s="25"/>
      <c r="AP69" s="25"/>
      <c r="AQ69" s="25"/>
      <c r="AR69" s="25"/>
      <c r="AS69" s="25"/>
      <c r="AT69" s="25"/>
      <c r="AU69" s="25"/>
      <c r="AV69" s="25"/>
      <c r="AW69" s="25"/>
      <c r="AX69" s="25"/>
    </row>
    <row r="70" spans="1:50" ht="69.75" customHeight="1" x14ac:dyDescent="0.25">
      <c r="R70" s="25"/>
      <c r="S70" s="25"/>
      <c r="T70" s="25"/>
      <c r="U70" s="25"/>
      <c r="V70" s="25"/>
      <c r="W70" s="25"/>
      <c r="X70" s="25"/>
      <c r="Y70" s="25"/>
      <c r="Z70" s="25"/>
      <c r="AA70" s="25"/>
      <c r="AB70" s="25"/>
      <c r="AC70" s="25"/>
      <c r="AD70" s="168"/>
    </row>
    <row r="71" spans="1:50" ht="69.75" customHeight="1" x14ac:dyDescent="0.25">
      <c r="R71" s="25"/>
      <c r="S71" s="25"/>
      <c r="T71" s="25"/>
      <c r="U71" s="25"/>
      <c r="V71" s="25"/>
      <c r="W71" s="25"/>
      <c r="X71" s="25"/>
      <c r="Y71" s="25"/>
      <c r="Z71" s="25"/>
      <c r="AA71" s="25"/>
      <c r="AB71" s="25"/>
      <c r="AC71" s="25"/>
      <c r="AD71" s="168"/>
    </row>
    <row r="72" spans="1:50" ht="69.75" customHeight="1" x14ac:dyDescent="0.25">
      <c r="R72" s="25"/>
      <c r="S72" s="25"/>
      <c r="T72" s="25"/>
      <c r="U72" s="25"/>
      <c r="V72" s="25"/>
      <c r="W72" s="25"/>
      <c r="X72" s="25"/>
      <c r="Y72" s="25"/>
      <c r="Z72" s="25"/>
      <c r="AA72" s="25"/>
      <c r="AB72" s="25"/>
      <c r="AC72" s="25"/>
      <c r="AD72" s="168"/>
    </row>
    <row r="73" spans="1:50" ht="69.75" customHeight="1" x14ac:dyDescent="0.25">
      <c r="R73" s="25"/>
      <c r="S73" s="25"/>
      <c r="T73" s="25"/>
      <c r="U73" s="25"/>
      <c r="V73" s="25"/>
      <c r="W73" s="25"/>
      <c r="X73" s="25"/>
      <c r="Y73" s="25"/>
      <c r="Z73" s="25"/>
      <c r="AA73" s="25"/>
      <c r="AB73" s="25"/>
      <c r="AC73" s="25"/>
      <c r="AD73" s="168"/>
    </row>
    <row r="74" spans="1:50" ht="69.75" customHeight="1" x14ac:dyDescent="0.25">
      <c r="R74" s="25"/>
      <c r="S74" s="25"/>
      <c r="T74" s="25"/>
      <c r="U74" s="25"/>
      <c r="V74" s="25"/>
      <c r="W74" s="25"/>
      <c r="X74" s="25"/>
      <c r="Y74" s="25"/>
      <c r="Z74" s="25"/>
      <c r="AA74" s="25"/>
      <c r="AB74" s="25"/>
      <c r="AC74" s="25"/>
      <c r="AD74" s="168"/>
    </row>
    <row r="75" spans="1:50" ht="69.75" customHeight="1" x14ac:dyDescent="0.25">
      <c r="R75" s="25"/>
      <c r="S75" s="25"/>
      <c r="T75" s="25"/>
      <c r="U75" s="25"/>
      <c r="V75" s="25"/>
      <c r="W75" s="25"/>
      <c r="X75" s="25"/>
      <c r="Y75" s="25"/>
      <c r="Z75" s="25"/>
      <c r="AA75" s="25"/>
      <c r="AB75" s="25"/>
      <c r="AC75" s="25"/>
      <c r="AD75" s="168"/>
    </row>
    <row r="76" spans="1:50" ht="69.75" customHeight="1" x14ac:dyDescent="0.25">
      <c r="R76" s="25"/>
      <c r="S76" s="25"/>
      <c r="T76" s="25"/>
      <c r="U76" s="25"/>
      <c r="V76" s="25"/>
      <c r="W76" s="25"/>
      <c r="X76" s="25"/>
      <c r="Y76" s="25"/>
      <c r="Z76" s="25"/>
      <c r="AA76" s="25"/>
      <c r="AB76" s="25"/>
      <c r="AC76" s="25"/>
      <c r="AD76" s="168"/>
    </row>
    <row r="77" spans="1:50" ht="69.75" customHeight="1" x14ac:dyDescent="0.25">
      <c r="R77" s="25"/>
      <c r="S77" s="25"/>
      <c r="T77" s="25"/>
      <c r="U77" s="25"/>
      <c r="V77" s="25"/>
      <c r="W77" s="25"/>
      <c r="X77" s="25"/>
      <c r="Y77" s="25"/>
      <c r="Z77" s="25"/>
      <c r="AA77" s="25"/>
      <c r="AB77" s="25"/>
      <c r="AC77" s="25"/>
      <c r="AD77" s="168"/>
    </row>
    <row r="78" spans="1:50" ht="69.75" customHeight="1" x14ac:dyDescent="0.25">
      <c r="R78" s="25"/>
      <c r="S78" s="25"/>
      <c r="T78" s="25"/>
      <c r="U78" s="25"/>
      <c r="V78" s="25"/>
      <c r="W78" s="25"/>
      <c r="X78" s="25"/>
      <c r="Y78" s="25"/>
      <c r="Z78" s="25"/>
      <c r="AA78" s="25"/>
      <c r="AB78" s="25"/>
      <c r="AC78" s="25"/>
      <c r="AD78" s="168"/>
    </row>
    <row r="79" spans="1:50" ht="69.75" customHeight="1" x14ac:dyDescent="0.25">
      <c r="R79" s="25"/>
      <c r="S79" s="25"/>
      <c r="T79" s="25"/>
      <c r="U79" s="25"/>
      <c r="V79" s="25"/>
      <c r="W79" s="25"/>
      <c r="X79" s="25"/>
      <c r="Y79" s="25"/>
      <c r="Z79" s="25"/>
      <c r="AA79" s="25"/>
      <c r="AB79" s="25"/>
      <c r="AC79" s="25"/>
      <c r="AD79" s="168"/>
    </row>
    <row r="80" spans="1:50" ht="69.75" customHeight="1" x14ac:dyDescent="0.25">
      <c r="R80" s="25"/>
      <c r="S80" s="25"/>
      <c r="T80" s="25"/>
      <c r="U80" s="25"/>
      <c r="V80" s="25"/>
      <c r="W80" s="25"/>
      <c r="X80" s="25"/>
      <c r="Y80" s="25"/>
      <c r="Z80" s="25"/>
      <c r="AA80" s="25"/>
      <c r="AB80" s="25"/>
      <c r="AC80" s="25"/>
      <c r="AD80" s="168"/>
    </row>
    <row r="81" spans="18:30" ht="69.75" customHeight="1" x14ac:dyDescent="0.25">
      <c r="R81" s="25"/>
      <c r="S81" s="25"/>
      <c r="T81" s="25"/>
      <c r="U81" s="25"/>
      <c r="V81" s="25"/>
      <c r="W81" s="25"/>
      <c r="X81" s="25"/>
      <c r="Y81" s="25"/>
      <c r="Z81" s="25"/>
      <c r="AA81" s="25"/>
      <c r="AB81" s="25"/>
      <c r="AC81" s="25"/>
      <c r="AD81" s="168"/>
    </row>
    <row r="82" spans="18:30" ht="69.75" customHeight="1" x14ac:dyDescent="0.25">
      <c r="R82" s="25"/>
      <c r="S82" s="25"/>
      <c r="T82" s="25"/>
      <c r="U82" s="25"/>
      <c r="V82" s="25"/>
      <c r="W82" s="25"/>
      <c r="X82" s="25"/>
      <c r="Y82" s="25"/>
      <c r="Z82" s="25"/>
      <c r="AA82" s="25"/>
      <c r="AB82" s="25"/>
      <c r="AC82" s="25"/>
      <c r="AD82" s="168"/>
    </row>
    <row r="83" spans="18:30" ht="69.75" customHeight="1" x14ac:dyDescent="0.25">
      <c r="R83" s="25"/>
      <c r="S83" s="25"/>
      <c r="T83" s="25"/>
      <c r="U83" s="25"/>
      <c r="V83" s="25"/>
      <c r="W83" s="25"/>
      <c r="X83" s="25"/>
      <c r="Y83" s="25"/>
      <c r="Z83" s="25"/>
      <c r="AA83" s="25"/>
      <c r="AB83" s="25"/>
      <c r="AC83" s="25"/>
      <c r="AD83" s="168"/>
    </row>
    <row r="84" spans="18:30" ht="69.75" customHeight="1" x14ac:dyDescent="0.25">
      <c r="R84" s="25"/>
      <c r="S84" s="25"/>
      <c r="T84" s="25"/>
      <c r="U84" s="25"/>
      <c r="V84" s="25"/>
      <c r="W84" s="25"/>
      <c r="X84" s="25"/>
      <c r="Y84" s="25"/>
      <c r="Z84" s="25"/>
      <c r="AA84" s="25"/>
      <c r="AB84" s="25"/>
      <c r="AC84" s="25"/>
      <c r="AD84" s="168"/>
    </row>
    <row r="85" spans="18:30" ht="69.75" customHeight="1" x14ac:dyDescent="0.25">
      <c r="R85" s="25"/>
      <c r="S85" s="25"/>
      <c r="T85" s="25"/>
      <c r="U85" s="25"/>
      <c r="V85" s="25"/>
      <c r="W85" s="25"/>
      <c r="X85" s="25"/>
      <c r="Y85" s="25"/>
      <c r="Z85" s="25"/>
      <c r="AA85" s="25"/>
      <c r="AB85" s="25"/>
      <c r="AC85" s="25"/>
      <c r="AD85" s="168"/>
    </row>
    <row r="86" spans="18:30" ht="69.75" customHeight="1" x14ac:dyDescent="0.25">
      <c r="R86" s="25"/>
      <c r="S86" s="25"/>
      <c r="T86" s="25"/>
      <c r="U86" s="25"/>
      <c r="V86" s="25"/>
      <c r="W86" s="25"/>
      <c r="X86" s="25"/>
      <c r="Y86" s="25"/>
      <c r="Z86" s="25"/>
      <c r="AA86" s="25"/>
      <c r="AB86" s="25"/>
      <c r="AC86" s="25"/>
      <c r="AD86" s="168"/>
    </row>
    <row r="87" spans="18:30" ht="69.75" customHeight="1" x14ac:dyDescent="0.25">
      <c r="R87" s="25"/>
      <c r="S87" s="25"/>
      <c r="T87" s="25"/>
      <c r="U87" s="25"/>
      <c r="V87" s="25"/>
      <c r="W87" s="25"/>
      <c r="X87" s="25"/>
      <c r="Y87" s="25"/>
      <c r="Z87" s="25"/>
      <c r="AA87" s="25"/>
      <c r="AB87" s="25"/>
      <c r="AC87" s="25"/>
      <c r="AD87" s="168"/>
    </row>
    <row r="88" spans="18:30" ht="69.75" customHeight="1" x14ac:dyDescent="0.25">
      <c r="R88" s="25"/>
      <c r="S88" s="25"/>
      <c r="T88" s="25"/>
      <c r="U88" s="25"/>
      <c r="V88" s="25"/>
      <c r="W88" s="25"/>
      <c r="X88" s="25"/>
      <c r="Y88" s="25"/>
      <c r="Z88" s="25"/>
      <c r="AA88" s="25"/>
      <c r="AB88" s="25"/>
      <c r="AC88" s="25"/>
      <c r="AD88" s="168"/>
    </row>
    <row r="89" spans="18:30" ht="69.75" customHeight="1" x14ac:dyDescent="0.25">
      <c r="R89" s="25"/>
      <c r="S89" s="25"/>
      <c r="T89" s="25"/>
      <c r="U89" s="25"/>
      <c r="V89" s="25"/>
      <c r="W89" s="25"/>
      <c r="X89" s="25"/>
      <c r="Y89" s="25"/>
      <c r="Z89" s="25"/>
      <c r="AA89" s="25"/>
      <c r="AB89" s="25"/>
      <c r="AC89" s="25"/>
      <c r="AD89" s="168"/>
    </row>
    <row r="90" spans="18:30" ht="69.75" customHeight="1" x14ac:dyDescent="0.25">
      <c r="R90" s="25"/>
      <c r="S90" s="25"/>
      <c r="T90" s="25"/>
      <c r="U90" s="25"/>
      <c r="V90" s="25"/>
      <c r="W90" s="25"/>
      <c r="X90" s="25"/>
      <c r="Y90" s="25"/>
      <c r="Z90" s="25"/>
      <c r="AA90" s="25"/>
      <c r="AB90" s="25"/>
      <c r="AC90" s="25"/>
      <c r="AD90" s="168"/>
    </row>
    <row r="91" spans="18:30" ht="69.75" customHeight="1" x14ac:dyDescent="0.25">
      <c r="R91" s="25"/>
      <c r="S91" s="25"/>
      <c r="T91" s="25"/>
      <c r="U91" s="25"/>
      <c r="V91" s="25"/>
      <c r="W91" s="25"/>
      <c r="X91" s="25"/>
      <c r="Y91" s="25"/>
      <c r="Z91" s="25"/>
      <c r="AA91" s="25"/>
      <c r="AB91" s="25"/>
      <c r="AC91" s="25"/>
      <c r="AD91" s="168"/>
    </row>
    <row r="92" spans="18:30" ht="69.75" customHeight="1" x14ac:dyDescent="0.25">
      <c r="R92" s="25"/>
      <c r="S92" s="25"/>
      <c r="T92" s="25"/>
      <c r="U92" s="25"/>
      <c r="V92" s="25"/>
      <c r="W92" s="25"/>
      <c r="X92" s="25"/>
      <c r="Y92" s="25"/>
      <c r="Z92" s="25"/>
      <c r="AA92" s="25"/>
      <c r="AB92" s="25"/>
      <c r="AC92" s="25"/>
      <c r="AD92" s="168"/>
    </row>
    <row r="93" spans="18:30" ht="69.75" customHeight="1" x14ac:dyDescent="0.25">
      <c r="R93" s="25"/>
      <c r="S93" s="25"/>
      <c r="T93" s="25"/>
      <c r="U93" s="25"/>
      <c r="V93" s="25"/>
      <c r="W93" s="25"/>
      <c r="X93" s="25"/>
      <c r="Y93" s="25"/>
      <c r="Z93" s="25"/>
      <c r="AA93" s="25"/>
      <c r="AB93" s="25"/>
      <c r="AC93" s="25"/>
      <c r="AD93" s="168"/>
    </row>
    <row r="94" spans="18:30" ht="69.75" customHeight="1" x14ac:dyDescent="0.25">
      <c r="R94" s="25"/>
      <c r="S94" s="25"/>
      <c r="T94" s="25"/>
      <c r="U94" s="25"/>
      <c r="V94" s="25"/>
      <c r="W94" s="25"/>
      <c r="X94" s="25"/>
      <c r="Y94" s="25"/>
      <c r="Z94" s="25"/>
      <c r="AA94" s="25"/>
      <c r="AB94" s="25"/>
      <c r="AC94" s="25"/>
      <c r="AD94" s="168"/>
    </row>
    <row r="95" spans="18:30" ht="69.75" customHeight="1" x14ac:dyDescent="0.25">
      <c r="R95" s="25"/>
      <c r="S95" s="25"/>
      <c r="T95" s="25"/>
      <c r="U95" s="25"/>
      <c r="V95" s="25"/>
      <c r="W95" s="25"/>
      <c r="X95" s="25"/>
      <c r="Y95" s="25"/>
      <c r="Z95" s="25"/>
      <c r="AA95" s="25"/>
      <c r="AB95" s="25"/>
      <c r="AC95" s="25"/>
      <c r="AD95" s="168"/>
    </row>
    <row r="96" spans="18:30" ht="69.75" customHeight="1" x14ac:dyDescent="0.25">
      <c r="R96" s="25"/>
      <c r="S96" s="25"/>
      <c r="T96" s="25"/>
      <c r="U96" s="25"/>
      <c r="V96" s="25"/>
      <c r="W96" s="25"/>
      <c r="X96" s="25"/>
      <c r="Y96" s="25"/>
      <c r="Z96" s="25"/>
      <c r="AA96" s="25"/>
      <c r="AB96" s="25"/>
      <c r="AC96" s="25"/>
      <c r="AD96" s="168"/>
    </row>
    <row r="97" spans="18:30" ht="69.75" customHeight="1" x14ac:dyDescent="0.25">
      <c r="R97" s="25"/>
      <c r="S97" s="25"/>
      <c r="T97" s="25"/>
      <c r="U97" s="25"/>
      <c r="V97" s="25"/>
      <c r="W97" s="25"/>
      <c r="X97" s="25"/>
      <c r="Y97" s="25"/>
      <c r="Z97" s="25"/>
      <c r="AA97" s="25"/>
      <c r="AB97" s="25"/>
      <c r="AC97" s="25"/>
      <c r="AD97" s="168"/>
    </row>
    <row r="98" spans="18:30" ht="69.75" customHeight="1" x14ac:dyDescent="0.25">
      <c r="R98" s="25"/>
      <c r="S98" s="25"/>
      <c r="T98" s="25"/>
      <c r="U98" s="25"/>
      <c r="V98" s="25"/>
      <c r="W98" s="25"/>
      <c r="X98" s="25"/>
      <c r="Y98" s="25"/>
      <c r="Z98" s="25"/>
      <c r="AA98" s="25"/>
      <c r="AB98" s="25"/>
      <c r="AC98" s="25"/>
      <c r="AD98" s="168"/>
    </row>
    <row r="99" spans="18:30" ht="69.75" customHeight="1" x14ac:dyDescent="0.25">
      <c r="R99" s="25"/>
      <c r="S99" s="25"/>
      <c r="T99" s="25"/>
      <c r="U99" s="25"/>
      <c r="V99" s="25"/>
      <c r="W99" s="25"/>
      <c r="X99" s="25"/>
      <c r="Y99" s="25"/>
      <c r="Z99" s="25"/>
      <c r="AA99" s="25"/>
      <c r="AB99" s="25"/>
      <c r="AC99" s="25"/>
      <c r="AD99" s="168"/>
    </row>
    <row r="100" spans="18:30" ht="69.75" customHeight="1" x14ac:dyDescent="0.25">
      <c r="R100" s="25"/>
      <c r="S100" s="25"/>
      <c r="T100" s="25"/>
      <c r="U100" s="25"/>
      <c r="V100" s="25"/>
      <c r="W100" s="25"/>
      <c r="X100" s="25"/>
      <c r="Y100" s="25"/>
      <c r="Z100" s="25"/>
      <c r="AA100" s="25"/>
      <c r="AB100" s="25"/>
      <c r="AC100" s="25"/>
      <c r="AD100" s="168"/>
    </row>
    <row r="101" spans="18:30" ht="69.75" customHeight="1" x14ac:dyDescent="0.25">
      <c r="R101" s="25"/>
      <c r="S101" s="25"/>
      <c r="T101" s="25"/>
      <c r="U101" s="25"/>
      <c r="V101" s="25"/>
      <c r="W101" s="25"/>
      <c r="X101" s="25"/>
      <c r="Y101" s="25"/>
      <c r="Z101" s="25"/>
      <c r="AA101" s="25"/>
      <c r="AB101" s="25"/>
      <c r="AC101" s="25"/>
      <c r="AD101" s="168"/>
    </row>
    <row r="102" spans="18:30" ht="69.75" customHeight="1" x14ac:dyDescent="0.25">
      <c r="R102" s="25"/>
      <c r="S102" s="25"/>
      <c r="T102" s="25"/>
      <c r="U102" s="25"/>
      <c r="V102" s="25"/>
      <c r="W102" s="25"/>
      <c r="X102" s="25"/>
      <c r="Y102" s="25"/>
      <c r="Z102" s="25"/>
      <c r="AA102" s="25"/>
      <c r="AB102" s="25"/>
      <c r="AC102" s="25"/>
      <c r="AD102" s="168"/>
    </row>
    <row r="103" spans="18:30" ht="69.75" customHeight="1" x14ac:dyDescent="0.25">
      <c r="R103" s="25"/>
      <c r="S103" s="25"/>
      <c r="T103" s="25"/>
      <c r="U103" s="25"/>
      <c r="V103" s="25"/>
      <c r="W103" s="25"/>
      <c r="X103" s="25"/>
      <c r="Y103" s="25"/>
      <c r="Z103" s="25"/>
      <c r="AA103" s="25"/>
      <c r="AB103" s="25"/>
      <c r="AC103" s="25"/>
      <c r="AD103" s="168"/>
    </row>
    <row r="104" spans="18:30" ht="69.75" customHeight="1" x14ac:dyDescent="0.25">
      <c r="R104" s="25"/>
      <c r="S104" s="25"/>
      <c r="T104" s="25"/>
      <c r="U104" s="25"/>
      <c r="V104" s="25"/>
      <c r="W104" s="25"/>
      <c r="X104" s="25"/>
      <c r="Y104" s="25"/>
      <c r="Z104" s="25"/>
      <c r="AA104" s="25"/>
      <c r="AB104" s="25"/>
      <c r="AC104" s="25"/>
      <c r="AD104" s="168"/>
    </row>
    <row r="105" spans="18:30" ht="69.75" customHeight="1" x14ac:dyDescent="0.25">
      <c r="R105" s="25"/>
      <c r="S105" s="25"/>
      <c r="T105" s="25"/>
      <c r="U105" s="25"/>
      <c r="V105" s="25"/>
      <c r="W105" s="25"/>
      <c r="X105" s="25"/>
      <c r="Y105" s="25"/>
      <c r="Z105" s="25"/>
      <c r="AA105" s="25"/>
      <c r="AB105" s="25"/>
      <c r="AC105" s="25"/>
      <c r="AD105" s="168"/>
    </row>
    <row r="106" spans="18:30" ht="69.75" customHeight="1" x14ac:dyDescent="0.25">
      <c r="R106" s="25"/>
      <c r="S106" s="25"/>
      <c r="T106" s="25"/>
      <c r="U106" s="25"/>
      <c r="V106" s="25"/>
      <c r="W106" s="25"/>
      <c r="X106" s="25"/>
      <c r="Y106" s="25"/>
      <c r="Z106" s="25"/>
      <c r="AA106" s="25"/>
      <c r="AB106" s="25"/>
      <c r="AC106" s="25"/>
      <c r="AD106" s="168"/>
    </row>
    <row r="107" spans="18:30" ht="69.75" customHeight="1" x14ac:dyDescent="0.25">
      <c r="R107" s="25"/>
      <c r="S107" s="25"/>
      <c r="T107" s="25"/>
      <c r="U107" s="25"/>
      <c r="V107" s="25"/>
      <c r="W107" s="25"/>
      <c r="X107" s="25"/>
      <c r="Y107" s="25"/>
      <c r="Z107" s="25"/>
      <c r="AA107" s="25"/>
      <c r="AB107" s="25"/>
      <c r="AC107" s="25"/>
      <c r="AD107" s="168"/>
    </row>
    <row r="108" spans="18:30" ht="69.75" customHeight="1" x14ac:dyDescent="0.25">
      <c r="R108" s="25"/>
      <c r="S108" s="25"/>
      <c r="T108" s="25"/>
      <c r="U108" s="25"/>
      <c r="V108" s="25"/>
      <c r="W108" s="25"/>
      <c r="X108" s="25"/>
      <c r="Y108" s="25"/>
      <c r="Z108" s="25"/>
      <c r="AA108" s="25"/>
      <c r="AB108" s="25"/>
      <c r="AC108" s="25"/>
      <c r="AD108" s="168"/>
    </row>
    <row r="109" spans="18:30" ht="69.75" customHeight="1" x14ac:dyDescent="0.25">
      <c r="R109" s="25"/>
      <c r="S109" s="25"/>
      <c r="T109" s="25"/>
      <c r="U109" s="25"/>
      <c r="V109" s="25"/>
      <c r="W109" s="25"/>
      <c r="X109" s="25"/>
      <c r="Y109" s="25"/>
      <c r="Z109" s="25"/>
      <c r="AA109" s="25"/>
      <c r="AB109" s="25"/>
      <c r="AC109" s="25"/>
      <c r="AD109" s="168"/>
    </row>
    <row r="110" spans="18:30" ht="69.75" customHeight="1" x14ac:dyDescent="0.25">
      <c r="R110" s="25"/>
      <c r="S110" s="25"/>
      <c r="T110" s="25"/>
      <c r="U110" s="25"/>
      <c r="V110" s="25"/>
      <c r="W110" s="25"/>
      <c r="X110" s="25"/>
      <c r="Y110" s="25"/>
      <c r="Z110" s="25"/>
      <c r="AA110" s="25"/>
      <c r="AB110" s="25"/>
      <c r="AC110" s="25"/>
      <c r="AD110" s="168"/>
    </row>
    <row r="111" spans="18:30" ht="69.75" customHeight="1" x14ac:dyDescent="0.25">
      <c r="R111" s="25"/>
      <c r="S111" s="25"/>
      <c r="T111" s="25"/>
      <c r="U111" s="25"/>
      <c r="V111" s="25"/>
      <c r="W111" s="25"/>
      <c r="X111" s="25"/>
      <c r="Y111" s="25"/>
      <c r="Z111" s="25"/>
      <c r="AA111" s="25"/>
      <c r="AB111" s="25"/>
      <c r="AC111" s="25"/>
      <c r="AD111" s="168"/>
    </row>
    <row r="112" spans="18:30" ht="69.75" customHeight="1" x14ac:dyDescent="0.25">
      <c r="R112" s="25"/>
      <c r="S112" s="25"/>
      <c r="T112" s="25"/>
      <c r="U112" s="25"/>
      <c r="V112" s="25"/>
      <c r="W112" s="25"/>
      <c r="X112" s="25"/>
      <c r="Y112" s="25"/>
      <c r="Z112" s="25"/>
      <c r="AA112" s="25"/>
      <c r="AB112" s="25"/>
      <c r="AC112" s="25"/>
      <c r="AD112" s="168"/>
    </row>
    <row r="113" spans="18:30" ht="69.75" customHeight="1" x14ac:dyDescent="0.25">
      <c r="R113" s="25"/>
      <c r="S113" s="25"/>
      <c r="T113" s="25"/>
      <c r="U113" s="25"/>
      <c r="V113" s="25"/>
      <c r="W113" s="25"/>
      <c r="X113" s="25"/>
      <c r="Y113" s="25"/>
      <c r="Z113" s="25"/>
      <c r="AA113" s="25"/>
      <c r="AB113" s="25"/>
      <c r="AC113" s="25"/>
      <c r="AD113" s="168"/>
    </row>
    <row r="114" spans="18:30" ht="69.75" customHeight="1" x14ac:dyDescent="0.25">
      <c r="R114" s="25"/>
      <c r="S114" s="25"/>
      <c r="T114" s="25"/>
      <c r="U114" s="25"/>
      <c r="V114" s="25"/>
      <c r="W114" s="25"/>
      <c r="X114" s="25"/>
      <c r="Y114" s="25"/>
      <c r="Z114" s="25"/>
      <c r="AA114" s="25"/>
      <c r="AB114" s="25"/>
      <c r="AC114" s="25"/>
      <c r="AD114" s="168"/>
    </row>
    <row r="115" spans="18:30" ht="69.75" customHeight="1" x14ac:dyDescent="0.25">
      <c r="R115" s="25"/>
      <c r="S115" s="25"/>
      <c r="T115" s="25"/>
      <c r="U115" s="25"/>
      <c r="V115" s="25"/>
      <c r="W115" s="25"/>
      <c r="X115" s="25"/>
      <c r="Y115" s="25"/>
      <c r="Z115" s="25"/>
      <c r="AA115" s="25"/>
      <c r="AB115" s="25"/>
      <c r="AC115" s="25"/>
      <c r="AD115" s="168"/>
    </row>
    <row r="116" spans="18:30" ht="69.75" customHeight="1" x14ac:dyDescent="0.25">
      <c r="R116" s="25"/>
      <c r="S116" s="25"/>
      <c r="T116" s="25"/>
      <c r="U116" s="25"/>
      <c r="V116" s="25"/>
      <c r="W116" s="25"/>
      <c r="X116" s="25"/>
      <c r="Y116" s="25"/>
      <c r="Z116" s="25"/>
      <c r="AA116" s="25"/>
      <c r="AB116" s="25"/>
      <c r="AC116" s="25"/>
      <c r="AD116" s="168"/>
    </row>
    <row r="117" spans="18:30" ht="69.75" customHeight="1" x14ac:dyDescent="0.25">
      <c r="R117" s="25"/>
      <c r="S117" s="25"/>
      <c r="T117" s="25"/>
      <c r="U117" s="25"/>
      <c r="V117" s="25"/>
      <c r="W117" s="25"/>
      <c r="X117" s="25"/>
      <c r="Y117" s="25"/>
      <c r="Z117" s="25"/>
      <c r="AA117" s="25"/>
      <c r="AB117" s="25"/>
      <c r="AC117" s="25"/>
      <c r="AD117" s="168"/>
    </row>
    <row r="118" spans="18:30" ht="69.75" customHeight="1" x14ac:dyDescent="0.25">
      <c r="R118" s="25"/>
      <c r="S118" s="25"/>
      <c r="T118" s="25"/>
      <c r="U118" s="25"/>
      <c r="V118" s="25"/>
      <c r="W118" s="25"/>
      <c r="X118" s="25"/>
      <c r="Y118" s="25"/>
      <c r="Z118" s="25"/>
      <c r="AA118" s="25"/>
      <c r="AB118" s="25"/>
      <c r="AC118" s="25"/>
      <c r="AD118" s="168"/>
    </row>
    <row r="119" spans="18:30" ht="69.75" customHeight="1" x14ac:dyDescent="0.25">
      <c r="R119" s="25"/>
      <c r="S119" s="25"/>
      <c r="T119" s="25"/>
      <c r="U119" s="25"/>
      <c r="V119" s="25"/>
      <c r="W119" s="25"/>
      <c r="X119" s="25"/>
      <c r="Y119" s="25"/>
      <c r="Z119" s="25"/>
      <c r="AA119" s="25"/>
      <c r="AB119" s="25"/>
      <c r="AC119" s="25"/>
      <c r="AD119" s="168"/>
    </row>
    <row r="120" spans="18:30" ht="69.75" customHeight="1" x14ac:dyDescent="0.25">
      <c r="R120" s="25"/>
      <c r="S120" s="25"/>
      <c r="T120" s="25"/>
      <c r="U120" s="25"/>
      <c r="V120" s="25"/>
      <c r="W120" s="25"/>
      <c r="X120" s="25"/>
      <c r="Y120" s="25"/>
      <c r="Z120" s="25"/>
      <c r="AA120" s="25"/>
      <c r="AB120" s="25"/>
      <c r="AC120" s="25"/>
      <c r="AD120" s="168"/>
    </row>
    <row r="121" spans="18:30" ht="69.75" customHeight="1" x14ac:dyDescent="0.25">
      <c r="R121" s="25"/>
      <c r="S121" s="25"/>
      <c r="T121" s="25"/>
      <c r="U121" s="25"/>
      <c r="V121" s="25"/>
      <c r="W121" s="25"/>
      <c r="X121" s="25"/>
      <c r="Y121" s="25"/>
      <c r="Z121" s="25"/>
      <c r="AA121" s="25"/>
      <c r="AB121" s="25"/>
      <c r="AC121" s="25"/>
      <c r="AD121" s="168"/>
    </row>
    <row r="122" spans="18:30" ht="69.75" customHeight="1" x14ac:dyDescent="0.25">
      <c r="R122" s="25"/>
      <c r="S122" s="25"/>
      <c r="T122" s="25"/>
      <c r="U122" s="25"/>
      <c r="V122" s="25"/>
      <c r="W122" s="25"/>
      <c r="X122" s="25"/>
      <c r="Y122" s="25"/>
      <c r="Z122" s="25"/>
      <c r="AA122" s="25"/>
      <c r="AB122" s="25"/>
      <c r="AC122" s="25"/>
      <c r="AD122" s="168"/>
    </row>
    <row r="123" spans="18:30" ht="69.75" customHeight="1" x14ac:dyDescent="0.25">
      <c r="R123" s="25"/>
      <c r="S123" s="25"/>
      <c r="T123" s="25"/>
      <c r="U123" s="25"/>
      <c r="V123" s="25"/>
      <c r="W123" s="25"/>
      <c r="X123" s="25"/>
      <c r="Y123" s="25"/>
      <c r="Z123" s="25"/>
      <c r="AA123" s="25"/>
      <c r="AB123" s="25"/>
      <c r="AC123" s="25"/>
      <c r="AD123" s="168"/>
    </row>
    <row r="124" spans="18:30" ht="69.75" customHeight="1" x14ac:dyDescent="0.25">
      <c r="R124" s="25"/>
      <c r="S124" s="25"/>
      <c r="T124" s="25"/>
      <c r="U124" s="25"/>
      <c r="V124" s="25"/>
      <c r="W124" s="25"/>
      <c r="X124" s="25"/>
      <c r="Y124" s="25"/>
      <c r="Z124" s="25"/>
      <c r="AA124" s="25"/>
      <c r="AB124" s="25"/>
      <c r="AC124" s="25"/>
      <c r="AD124" s="168"/>
    </row>
    <row r="125" spans="18:30" ht="69.75" customHeight="1" x14ac:dyDescent="0.25">
      <c r="R125" s="25"/>
      <c r="S125" s="25"/>
      <c r="T125" s="25"/>
      <c r="U125" s="25"/>
      <c r="V125" s="25"/>
      <c r="W125" s="25"/>
      <c r="X125" s="25"/>
      <c r="Y125" s="25"/>
      <c r="Z125" s="25"/>
      <c r="AA125" s="25"/>
      <c r="AB125" s="25"/>
      <c r="AC125" s="25"/>
      <c r="AD125" s="168"/>
    </row>
    <row r="126" spans="18:30" ht="69.75" customHeight="1" x14ac:dyDescent="0.25">
      <c r="R126" s="25"/>
      <c r="S126" s="25"/>
      <c r="T126" s="25"/>
      <c r="U126" s="25"/>
      <c r="V126" s="25"/>
      <c r="W126" s="25"/>
      <c r="X126" s="25"/>
      <c r="Y126" s="25"/>
      <c r="Z126" s="25"/>
      <c r="AA126" s="25"/>
      <c r="AB126" s="25"/>
      <c r="AC126" s="25"/>
      <c r="AD126" s="168"/>
    </row>
    <row r="127" spans="18:30" ht="69.75" customHeight="1" x14ac:dyDescent="0.25">
      <c r="R127" s="25"/>
      <c r="S127" s="25"/>
      <c r="T127" s="25"/>
      <c r="U127" s="25"/>
      <c r="V127" s="25"/>
      <c r="W127" s="25"/>
      <c r="X127" s="25"/>
      <c r="Y127" s="25"/>
      <c r="Z127" s="25"/>
      <c r="AA127" s="25"/>
      <c r="AB127" s="25"/>
      <c r="AC127" s="25"/>
      <c r="AD127" s="168"/>
    </row>
    <row r="128" spans="18:30" ht="69.75" customHeight="1" x14ac:dyDescent="0.25">
      <c r="R128" s="25"/>
      <c r="S128" s="25"/>
      <c r="T128" s="25"/>
      <c r="U128" s="25"/>
      <c r="V128" s="25"/>
      <c r="W128" s="25"/>
      <c r="X128" s="25"/>
      <c r="Y128" s="25"/>
      <c r="Z128" s="25"/>
      <c r="AA128" s="25"/>
      <c r="AB128" s="25"/>
      <c r="AC128" s="25"/>
      <c r="AD128" s="168"/>
    </row>
    <row r="129" spans="18:30" ht="69.75" customHeight="1" x14ac:dyDescent="0.25">
      <c r="R129" s="25"/>
      <c r="S129" s="25"/>
      <c r="T129" s="25"/>
      <c r="U129" s="25"/>
      <c r="V129" s="25"/>
      <c r="W129" s="25"/>
      <c r="X129" s="25"/>
      <c r="Y129" s="25"/>
      <c r="Z129" s="25"/>
      <c r="AA129" s="25"/>
      <c r="AB129" s="25"/>
      <c r="AC129" s="25"/>
      <c r="AD129" s="168"/>
    </row>
    <row r="130" spans="18:30" ht="69.75" customHeight="1" x14ac:dyDescent="0.25">
      <c r="R130" s="25"/>
      <c r="S130" s="25"/>
      <c r="T130" s="25"/>
      <c r="U130" s="25"/>
      <c r="V130" s="25"/>
      <c r="W130" s="25"/>
      <c r="X130" s="25"/>
      <c r="Y130" s="25"/>
      <c r="Z130" s="25"/>
      <c r="AA130" s="25"/>
      <c r="AB130" s="25"/>
      <c r="AC130" s="25"/>
      <c r="AD130" s="168"/>
    </row>
    <row r="131" spans="18:30" ht="69.75" customHeight="1" x14ac:dyDescent="0.25">
      <c r="R131" s="25"/>
      <c r="S131" s="25"/>
      <c r="T131" s="25"/>
      <c r="U131" s="25"/>
      <c r="V131" s="25"/>
      <c r="W131" s="25"/>
      <c r="X131" s="25"/>
      <c r="Y131" s="25"/>
      <c r="Z131" s="25"/>
      <c r="AA131" s="25"/>
      <c r="AB131" s="25"/>
      <c r="AC131" s="25"/>
      <c r="AD131" s="168"/>
    </row>
    <row r="132" spans="18:30" ht="69.75" customHeight="1" x14ac:dyDescent="0.25">
      <c r="R132" s="25"/>
      <c r="S132" s="25"/>
      <c r="T132" s="25"/>
      <c r="U132" s="25"/>
      <c r="V132" s="25"/>
      <c r="W132" s="25"/>
      <c r="X132" s="25"/>
      <c r="Y132" s="25"/>
      <c r="Z132" s="25"/>
      <c r="AA132" s="25"/>
      <c r="AB132" s="25"/>
      <c r="AC132" s="25"/>
      <c r="AD132" s="168"/>
    </row>
    <row r="133" spans="18:30" ht="69.75" customHeight="1" x14ac:dyDescent="0.25">
      <c r="R133" s="25"/>
      <c r="S133" s="25"/>
      <c r="T133" s="25"/>
      <c r="U133" s="25"/>
      <c r="V133" s="25"/>
      <c r="W133" s="25"/>
      <c r="X133" s="25"/>
      <c r="Y133" s="25"/>
      <c r="Z133" s="25"/>
      <c r="AA133" s="25"/>
      <c r="AB133" s="25"/>
      <c r="AC133" s="25"/>
      <c r="AD133" s="168"/>
    </row>
    <row r="134" spans="18:30" ht="69.75" customHeight="1" x14ac:dyDescent="0.25">
      <c r="R134" s="25"/>
      <c r="S134" s="25"/>
      <c r="T134" s="25"/>
      <c r="U134" s="25"/>
      <c r="V134" s="25"/>
      <c r="W134" s="25"/>
      <c r="X134" s="25"/>
      <c r="Y134" s="25"/>
      <c r="Z134" s="25"/>
      <c r="AA134" s="25"/>
      <c r="AB134" s="25"/>
      <c r="AC134" s="25"/>
      <c r="AD134" s="168"/>
    </row>
    <row r="135" spans="18:30" ht="69.75" customHeight="1" x14ac:dyDescent="0.25">
      <c r="R135" s="25"/>
      <c r="S135" s="25"/>
      <c r="T135" s="25"/>
      <c r="U135" s="25"/>
      <c r="V135" s="25"/>
      <c r="W135" s="25"/>
      <c r="X135" s="25"/>
      <c r="Y135" s="25"/>
      <c r="Z135" s="25"/>
      <c r="AA135" s="25"/>
      <c r="AB135" s="25"/>
      <c r="AC135" s="25"/>
      <c r="AD135" s="168"/>
    </row>
    <row r="136" spans="18:30" ht="69.75" customHeight="1" x14ac:dyDescent="0.25">
      <c r="R136" s="25"/>
      <c r="S136" s="25"/>
      <c r="T136" s="25"/>
      <c r="U136" s="25"/>
      <c r="V136" s="25"/>
      <c r="W136" s="25"/>
      <c r="X136" s="25"/>
      <c r="Y136" s="25"/>
      <c r="Z136" s="25"/>
      <c r="AA136" s="25"/>
      <c r="AB136" s="25"/>
      <c r="AC136" s="25"/>
      <c r="AD136" s="168"/>
    </row>
    <row r="137" spans="18:30" ht="69.75" customHeight="1" x14ac:dyDescent="0.25">
      <c r="R137" s="25"/>
      <c r="S137" s="25"/>
      <c r="T137" s="25"/>
      <c r="U137" s="25"/>
      <c r="V137" s="25"/>
      <c r="W137" s="25"/>
      <c r="X137" s="25"/>
      <c r="Y137" s="25"/>
      <c r="Z137" s="25"/>
      <c r="AA137" s="25"/>
      <c r="AB137" s="25"/>
      <c r="AC137" s="25"/>
      <c r="AD137" s="168"/>
    </row>
    <row r="138" spans="18:30" ht="69.75" customHeight="1" x14ac:dyDescent="0.25">
      <c r="R138" s="25"/>
      <c r="S138" s="25"/>
      <c r="T138" s="25"/>
      <c r="U138" s="25"/>
      <c r="V138" s="25"/>
      <c r="W138" s="25"/>
      <c r="X138" s="25"/>
      <c r="Y138" s="25"/>
      <c r="Z138" s="25"/>
      <c r="AA138" s="25"/>
      <c r="AB138" s="25"/>
      <c r="AC138" s="25"/>
      <c r="AD138" s="168"/>
    </row>
    <row r="139" spans="18:30" ht="69.75" customHeight="1" x14ac:dyDescent="0.25">
      <c r="R139" s="25"/>
      <c r="S139" s="25"/>
      <c r="T139" s="25"/>
      <c r="U139" s="25"/>
      <c r="V139" s="25"/>
      <c r="W139" s="25"/>
      <c r="X139" s="25"/>
      <c r="Y139" s="25"/>
      <c r="Z139" s="25"/>
      <c r="AA139" s="25"/>
      <c r="AB139" s="25"/>
      <c r="AC139" s="25"/>
      <c r="AD139" s="168"/>
    </row>
    <row r="140" spans="18:30" ht="69.75" customHeight="1" x14ac:dyDescent="0.25">
      <c r="R140" s="25"/>
      <c r="S140" s="25"/>
      <c r="T140" s="25"/>
      <c r="U140" s="25"/>
      <c r="V140" s="25"/>
      <c r="W140" s="25"/>
      <c r="X140" s="25"/>
      <c r="Y140" s="25"/>
      <c r="Z140" s="25"/>
      <c r="AA140" s="25"/>
      <c r="AB140" s="25"/>
      <c r="AC140" s="25"/>
      <c r="AD140" s="168"/>
    </row>
    <row r="141" spans="18:30" ht="69.75" customHeight="1" x14ac:dyDescent="0.25">
      <c r="R141" s="25"/>
      <c r="S141" s="25"/>
      <c r="T141" s="25"/>
      <c r="U141" s="25"/>
      <c r="V141" s="25"/>
      <c r="W141" s="25"/>
      <c r="X141" s="25"/>
      <c r="Y141" s="25"/>
      <c r="Z141" s="25"/>
      <c r="AA141" s="25"/>
      <c r="AB141" s="25"/>
      <c r="AC141" s="25"/>
      <c r="AD141" s="168"/>
    </row>
    <row r="142" spans="18:30" ht="69.75" customHeight="1" x14ac:dyDescent="0.25">
      <c r="R142" s="25"/>
      <c r="S142" s="25"/>
      <c r="T142" s="25"/>
      <c r="U142" s="25"/>
      <c r="V142" s="25"/>
      <c r="W142" s="25"/>
      <c r="X142" s="25"/>
      <c r="Y142" s="25"/>
      <c r="Z142" s="25"/>
      <c r="AA142" s="25"/>
      <c r="AB142" s="25"/>
      <c r="AC142" s="25"/>
      <c r="AD142" s="168"/>
    </row>
    <row r="143" spans="18:30" ht="69.75" customHeight="1" x14ac:dyDescent="0.25">
      <c r="R143" s="25"/>
      <c r="S143" s="25"/>
      <c r="T143" s="25"/>
      <c r="U143" s="25"/>
      <c r="V143" s="25"/>
      <c r="W143" s="25"/>
      <c r="X143" s="25"/>
      <c r="Y143" s="25"/>
      <c r="Z143" s="25"/>
      <c r="AA143" s="25"/>
      <c r="AB143" s="25"/>
      <c r="AC143" s="25"/>
      <c r="AD143" s="168"/>
    </row>
    <row r="144" spans="18:30" ht="69.75" customHeight="1" x14ac:dyDescent="0.25">
      <c r="R144" s="25"/>
      <c r="S144" s="25"/>
      <c r="T144" s="25"/>
      <c r="U144" s="25"/>
      <c r="V144" s="25"/>
      <c r="W144" s="25"/>
      <c r="X144" s="25"/>
      <c r="Y144" s="25"/>
      <c r="Z144" s="25"/>
      <c r="AA144" s="25"/>
      <c r="AB144" s="25"/>
      <c r="AC144" s="25"/>
      <c r="AD144" s="168"/>
    </row>
    <row r="145" spans="18:30" ht="69.75" customHeight="1" x14ac:dyDescent="0.25">
      <c r="R145" s="25"/>
      <c r="S145" s="25"/>
      <c r="T145" s="25"/>
      <c r="U145" s="25"/>
      <c r="V145" s="25"/>
      <c r="W145" s="25"/>
      <c r="X145" s="25"/>
      <c r="Y145" s="25"/>
      <c r="Z145" s="25"/>
      <c r="AA145" s="25"/>
      <c r="AB145" s="25"/>
      <c r="AC145" s="25"/>
      <c r="AD145" s="168"/>
    </row>
    <row r="146" spans="18:30" ht="69.75" customHeight="1" x14ac:dyDescent="0.25">
      <c r="R146" s="25"/>
      <c r="S146" s="25"/>
      <c r="T146" s="25"/>
      <c r="U146" s="25"/>
      <c r="V146" s="25"/>
      <c r="W146" s="25"/>
      <c r="X146" s="25"/>
      <c r="Y146" s="25"/>
      <c r="Z146" s="25"/>
      <c r="AA146" s="25"/>
      <c r="AB146" s="25"/>
      <c r="AC146" s="25"/>
      <c r="AD146" s="168"/>
    </row>
    <row r="147" spans="18:30" ht="69.75" customHeight="1" x14ac:dyDescent="0.25">
      <c r="R147" s="25"/>
      <c r="S147" s="25"/>
      <c r="T147" s="25"/>
      <c r="U147" s="25"/>
      <c r="V147" s="25"/>
      <c r="W147" s="25"/>
      <c r="X147" s="25"/>
      <c r="Y147" s="25"/>
      <c r="Z147" s="25"/>
      <c r="AA147" s="25"/>
      <c r="AB147" s="25"/>
      <c r="AC147" s="25"/>
      <c r="AD147" s="168"/>
    </row>
    <row r="148" spans="18:30" ht="69.75" customHeight="1" x14ac:dyDescent="0.25">
      <c r="R148" s="25"/>
      <c r="S148" s="25"/>
      <c r="T148" s="25"/>
      <c r="U148" s="25"/>
      <c r="V148" s="25"/>
      <c r="W148" s="25"/>
      <c r="X148" s="25"/>
      <c r="Y148" s="25"/>
      <c r="Z148" s="25"/>
      <c r="AA148" s="25"/>
      <c r="AB148" s="25"/>
      <c r="AC148" s="25"/>
      <c r="AD148" s="168"/>
    </row>
    <row r="149" spans="18:30" ht="69.75" customHeight="1" x14ac:dyDescent="0.25">
      <c r="R149" s="25"/>
      <c r="S149" s="25"/>
      <c r="T149" s="25"/>
      <c r="U149" s="25"/>
      <c r="V149" s="25"/>
      <c r="W149" s="25"/>
      <c r="X149" s="25"/>
      <c r="Y149" s="25"/>
      <c r="Z149" s="25"/>
      <c r="AA149" s="25"/>
      <c r="AB149" s="25"/>
      <c r="AC149" s="25"/>
      <c r="AD149" s="168"/>
    </row>
    <row r="150" spans="18:30" ht="69.75" customHeight="1" x14ac:dyDescent="0.25">
      <c r="R150" s="25"/>
      <c r="S150" s="25"/>
      <c r="T150" s="25"/>
      <c r="U150" s="25"/>
      <c r="V150" s="25"/>
      <c r="W150" s="25"/>
      <c r="X150" s="25"/>
      <c r="Y150" s="25"/>
      <c r="Z150" s="25"/>
      <c r="AA150" s="25"/>
      <c r="AB150" s="25"/>
      <c r="AC150" s="25"/>
      <c r="AD150" s="168"/>
    </row>
    <row r="151" spans="18:30" ht="69.75" customHeight="1" x14ac:dyDescent="0.25">
      <c r="R151" s="25"/>
      <c r="S151" s="25"/>
      <c r="T151" s="25"/>
      <c r="U151" s="25"/>
      <c r="V151" s="25"/>
      <c r="W151" s="25"/>
      <c r="X151" s="25"/>
      <c r="Y151" s="25"/>
      <c r="Z151" s="25"/>
      <c r="AA151" s="25"/>
      <c r="AB151" s="25"/>
      <c r="AC151" s="25"/>
      <c r="AD151" s="168"/>
    </row>
    <row r="152" spans="18:30" ht="69.75" customHeight="1" x14ac:dyDescent="0.25">
      <c r="R152" s="25"/>
      <c r="S152" s="25"/>
      <c r="T152" s="25"/>
      <c r="U152" s="25"/>
      <c r="V152" s="25"/>
      <c r="W152" s="25"/>
      <c r="X152" s="25"/>
      <c r="Y152" s="25"/>
      <c r="Z152" s="25"/>
      <c r="AA152" s="25"/>
      <c r="AB152" s="25"/>
      <c r="AC152" s="25"/>
      <c r="AD152" s="168"/>
    </row>
    <row r="153" spans="18:30" ht="69.75" customHeight="1" x14ac:dyDescent="0.25">
      <c r="R153" s="25"/>
      <c r="S153" s="25"/>
      <c r="T153" s="25"/>
      <c r="U153" s="25"/>
      <c r="V153" s="25"/>
      <c r="W153" s="25"/>
      <c r="X153" s="25"/>
      <c r="Y153" s="25"/>
      <c r="Z153" s="25"/>
      <c r="AA153" s="25"/>
      <c r="AB153" s="25"/>
      <c r="AC153" s="25"/>
      <c r="AD153" s="168"/>
    </row>
    <row r="154" spans="18:30" ht="69.75" customHeight="1" x14ac:dyDescent="0.25">
      <c r="R154" s="25"/>
      <c r="S154" s="25"/>
      <c r="T154" s="25"/>
      <c r="U154" s="25"/>
      <c r="V154" s="25"/>
      <c r="W154" s="25"/>
      <c r="X154" s="25"/>
      <c r="Y154" s="25"/>
      <c r="Z154" s="25"/>
      <c r="AA154" s="25"/>
      <c r="AB154" s="25"/>
      <c r="AC154" s="25"/>
      <c r="AD154" s="168"/>
    </row>
    <row r="155" spans="18:30" ht="69.75" customHeight="1" x14ac:dyDescent="0.25">
      <c r="R155" s="25"/>
      <c r="S155" s="25"/>
      <c r="T155" s="25"/>
      <c r="U155" s="25"/>
      <c r="V155" s="25"/>
      <c r="W155" s="25"/>
      <c r="X155" s="25"/>
      <c r="Y155" s="25"/>
      <c r="Z155" s="25"/>
      <c r="AA155" s="25"/>
      <c r="AB155" s="25"/>
      <c r="AC155" s="25"/>
      <c r="AD155" s="168"/>
    </row>
    <row r="156" spans="18:30" ht="69.75" customHeight="1" x14ac:dyDescent="0.25">
      <c r="R156" s="25"/>
      <c r="S156" s="25"/>
      <c r="T156" s="25"/>
      <c r="U156" s="25"/>
      <c r="V156" s="25"/>
      <c r="W156" s="25"/>
      <c r="X156" s="25"/>
      <c r="Y156" s="25"/>
      <c r="Z156" s="25"/>
      <c r="AA156" s="25"/>
      <c r="AB156" s="25"/>
      <c r="AC156" s="25"/>
      <c r="AD156" s="168"/>
    </row>
    <row r="157" spans="18:30" ht="69.75" customHeight="1" x14ac:dyDescent="0.25">
      <c r="R157" s="25"/>
      <c r="S157" s="25"/>
      <c r="T157" s="25"/>
      <c r="U157" s="25"/>
      <c r="V157" s="25"/>
      <c r="W157" s="25"/>
      <c r="X157" s="25"/>
      <c r="Y157" s="25"/>
      <c r="Z157" s="25"/>
      <c r="AA157" s="25"/>
      <c r="AB157" s="25"/>
      <c r="AC157" s="25"/>
      <c r="AD157" s="168"/>
    </row>
    <row r="158" spans="18:30" ht="69.75" customHeight="1" x14ac:dyDescent="0.25">
      <c r="R158" s="25"/>
      <c r="S158" s="25"/>
      <c r="T158" s="25"/>
      <c r="U158" s="25"/>
      <c r="V158" s="25"/>
      <c r="W158" s="25"/>
      <c r="X158" s="25"/>
      <c r="Y158" s="25"/>
      <c r="Z158" s="25"/>
      <c r="AA158" s="25"/>
      <c r="AB158" s="25"/>
      <c r="AC158" s="25"/>
      <c r="AD158" s="168"/>
    </row>
    <row r="159" spans="18:30" ht="69.75" customHeight="1" x14ac:dyDescent="0.25">
      <c r="R159" s="25"/>
      <c r="S159" s="25"/>
      <c r="T159" s="25"/>
      <c r="U159" s="25"/>
      <c r="V159" s="25"/>
      <c r="W159" s="25"/>
      <c r="X159" s="25"/>
      <c r="Y159" s="25"/>
      <c r="Z159" s="25"/>
      <c r="AA159" s="25"/>
      <c r="AB159" s="25"/>
      <c r="AC159" s="25"/>
      <c r="AD159" s="168"/>
    </row>
    <row r="160" spans="18:30" ht="69.75" customHeight="1" x14ac:dyDescent="0.25">
      <c r="R160" s="25"/>
      <c r="S160" s="25"/>
      <c r="T160" s="25"/>
      <c r="U160" s="25"/>
      <c r="V160" s="25"/>
      <c r="W160" s="25"/>
      <c r="X160" s="25"/>
      <c r="Y160" s="25"/>
      <c r="Z160" s="25"/>
      <c r="AA160" s="25"/>
      <c r="AB160" s="25"/>
      <c r="AC160" s="25"/>
      <c r="AD160" s="168"/>
    </row>
    <row r="161" spans="18:30" ht="69.75" customHeight="1" x14ac:dyDescent="0.25">
      <c r="R161" s="25"/>
      <c r="S161" s="25"/>
      <c r="T161" s="25"/>
      <c r="U161" s="25"/>
      <c r="V161" s="25"/>
      <c r="W161" s="25"/>
      <c r="X161" s="25"/>
      <c r="Y161" s="25"/>
      <c r="Z161" s="25"/>
      <c r="AA161" s="25"/>
      <c r="AB161" s="25"/>
      <c r="AC161" s="25"/>
      <c r="AD161" s="168"/>
    </row>
    <row r="162" spans="18:30" ht="69.75" customHeight="1" x14ac:dyDescent="0.25">
      <c r="R162" s="25"/>
      <c r="S162" s="25"/>
      <c r="T162" s="25"/>
      <c r="U162" s="25"/>
      <c r="V162" s="25"/>
      <c r="W162" s="25"/>
      <c r="X162" s="25"/>
      <c r="Y162" s="25"/>
      <c r="Z162" s="25"/>
      <c r="AA162" s="25"/>
      <c r="AB162" s="25"/>
      <c r="AC162" s="25"/>
      <c r="AD162" s="168"/>
    </row>
    <row r="163" spans="18:30" ht="69.75" customHeight="1" x14ac:dyDescent="0.25">
      <c r="R163" s="25"/>
      <c r="S163" s="25"/>
      <c r="T163" s="25"/>
      <c r="U163" s="25"/>
      <c r="V163" s="25"/>
      <c r="W163" s="25"/>
      <c r="X163" s="25"/>
      <c r="Y163" s="25"/>
      <c r="Z163" s="25"/>
      <c r="AA163" s="25"/>
      <c r="AB163" s="25"/>
      <c r="AC163" s="25"/>
      <c r="AD163" s="168"/>
    </row>
    <row r="164" spans="18:30" ht="69.75" customHeight="1" x14ac:dyDescent="0.25">
      <c r="R164" s="25"/>
      <c r="S164" s="25"/>
      <c r="T164" s="25"/>
      <c r="U164" s="25"/>
      <c r="V164" s="25"/>
      <c r="W164" s="25"/>
      <c r="X164" s="25"/>
      <c r="Y164" s="25"/>
      <c r="Z164" s="25"/>
      <c r="AA164" s="25"/>
      <c r="AB164" s="25"/>
      <c r="AC164" s="25"/>
      <c r="AD164" s="168"/>
    </row>
    <row r="165" spans="18:30" ht="69.75" customHeight="1" x14ac:dyDescent="0.25">
      <c r="R165" s="25"/>
      <c r="S165" s="25"/>
      <c r="T165" s="25"/>
      <c r="U165" s="25"/>
      <c r="V165" s="25"/>
      <c r="W165" s="25"/>
      <c r="X165" s="25"/>
      <c r="Y165" s="25"/>
      <c r="Z165" s="25"/>
      <c r="AA165" s="25"/>
      <c r="AB165" s="25"/>
      <c r="AC165" s="25"/>
      <c r="AD165" s="168"/>
    </row>
    <row r="166" spans="18:30" ht="69.75" customHeight="1" x14ac:dyDescent="0.25">
      <c r="R166" s="25"/>
      <c r="S166" s="25"/>
      <c r="T166" s="25"/>
      <c r="U166" s="25"/>
      <c r="V166" s="25"/>
      <c r="W166" s="25"/>
      <c r="X166" s="25"/>
      <c r="Y166" s="25"/>
      <c r="Z166" s="25"/>
      <c r="AA166" s="25"/>
      <c r="AB166" s="25"/>
      <c r="AC166" s="25"/>
      <c r="AD166" s="168"/>
    </row>
    <row r="167" spans="18:30" ht="69.75" customHeight="1" x14ac:dyDescent="0.25">
      <c r="R167" s="25"/>
      <c r="S167" s="25"/>
      <c r="T167" s="25"/>
      <c r="U167" s="25"/>
      <c r="V167" s="25"/>
      <c r="W167" s="25"/>
      <c r="X167" s="25"/>
      <c r="Y167" s="25"/>
      <c r="Z167" s="25"/>
      <c r="AA167" s="25"/>
      <c r="AB167" s="25"/>
      <c r="AC167" s="25"/>
      <c r="AD167" s="168"/>
    </row>
    <row r="168" spans="18:30" ht="69.75" customHeight="1" x14ac:dyDescent="0.25">
      <c r="R168" s="25"/>
      <c r="S168" s="25"/>
      <c r="T168" s="25"/>
      <c r="U168" s="25"/>
      <c r="V168" s="25"/>
      <c r="W168" s="25"/>
      <c r="X168" s="25"/>
      <c r="Y168" s="25"/>
      <c r="Z168" s="25"/>
      <c r="AA168" s="25"/>
      <c r="AB168" s="25"/>
      <c r="AC168" s="25"/>
      <c r="AD168" s="168"/>
    </row>
    <row r="169" spans="18:30" ht="69.75" customHeight="1" x14ac:dyDescent="0.25">
      <c r="R169" s="25"/>
      <c r="S169" s="25"/>
      <c r="T169" s="25"/>
      <c r="U169" s="25"/>
      <c r="V169" s="25"/>
      <c r="W169" s="25"/>
      <c r="X169" s="25"/>
      <c r="Y169" s="25"/>
      <c r="Z169" s="25"/>
      <c r="AA169" s="25"/>
      <c r="AB169" s="25"/>
      <c r="AC169" s="25"/>
      <c r="AD169" s="168"/>
    </row>
    <row r="170" spans="18:30" ht="69.75" customHeight="1" x14ac:dyDescent="0.25">
      <c r="R170" s="25"/>
      <c r="S170" s="25"/>
      <c r="T170" s="25"/>
      <c r="U170" s="25"/>
      <c r="V170" s="25"/>
      <c r="W170" s="25"/>
      <c r="X170" s="25"/>
      <c r="Y170" s="25"/>
      <c r="Z170" s="25"/>
      <c r="AA170" s="25"/>
      <c r="AB170" s="25"/>
      <c r="AC170" s="25"/>
      <c r="AD170" s="168"/>
    </row>
    <row r="171" spans="18:30" ht="69.75" customHeight="1" x14ac:dyDescent="0.25">
      <c r="R171" s="25"/>
      <c r="S171" s="25"/>
      <c r="T171" s="25"/>
      <c r="U171" s="25"/>
      <c r="V171" s="25"/>
      <c r="W171" s="25"/>
      <c r="X171" s="25"/>
      <c r="Y171" s="25"/>
      <c r="Z171" s="25"/>
      <c r="AA171" s="25"/>
      <c r="AB171" s="25"/>
      <c r="AC171" s="25"/>
      <c r="AD171" s="168"/>
    </row>
    <row r="172" spans="18:30" ht="69.75" customHeight="1" x14ac:dyDescent="0.25">
      <c r="R172" s="25"/>
      <c r="S172" s="25"/>
      <c r="T172" s="25"/>
      <c r="U172" s="25"/>
      <c r="V172" s="25"/>
      <c r="W172" s="25"/>
      <c r="X172" s="25"/>
      <c r="Y172" s="25"/>
      <c r="Z172" s="25"/>
      <c r="AA172" s="25"/>
      <c r="AB172" s="25"/>
      <c r="AC172" s="25"/>
      <c r="AD172" s="168"/>
    </row>
    <row r="173" spans="18:30" ht="69.75" customHeight="1" x14ac:dyDescent="0.25">
      <c r="R173" s="25"/>
      <c r="S173" s="25"/>
      <c r="T173" s="25"/>
      <c r="U173" s="25"/>
      <c r="V173" s="25"/>
      <c r="W173" s="25"/>
      <c r="X173" s="25"/>
      <c r="Y173" s="25"/>
      <c r="Z173" s="25"/>
      <c r="AA173" s="25"/>
      <c r="AB173" s="25"/>
      <c r="AC173" s="25"/>
      <c r="AD173" s="168"/>
    </row>
    <row r="174" spans="18:30" ht="69.75" customHeight="1" x14ac:dyDescent="0.25">
      <c r="R174" s="25"/>
      <c r="S174" s="25"/>
      <c r="T174" s="25"/>
      <c r="U174" s="25"/>
      <c r="V174" s="25"/>
      <c r="W174" s="25"/>
      <c r="X174" s="25"/>
      <c r="Y174" s="25"/>
      <c r="Z174" s="25"/>
      <c r="AA174" s="25"/>
      <c r="AB174" s="25"/>
      <c r="AC174" s="25"/>
      <c r="AD174" s="168"/>
    </row>
    <row r="175" spans="18:30" ht="69.75" customHeight="1" x14ac:dyDescent="0.25">
      <c r="R175" s="25"/>
      <c r="S175" s="25"/>
      <c r="T175" s="25"/>
      <c r="U175" s="25"/>
      <c r="V175" s="25"/>
      <c r="W175" s="25"/>
      <c r="X175" s="25"/>
      <c r="Y175" s="25"/>
      <c r="Z175" s="25"/>
      <c r="AA175" s="25"/>
      <c r="AB175" s="25"/>
      <c r="AC175" s="25"/>
      <c r="AD175" s="168"/>
    </row>
    <row r="176" spans="18:30" ht="69.75" customHeight="1" x14ac:dyDescent="0.25">
      <c r="R176" s="25"/>
      <c r="S176" s="25"/>
      <c r="T176" s="25"/>
      <c r="U176" s="25"/>
      <c r="V176" s="25"/>
      <c r="W176" s="25"/>
      <c r="X176" s="25"/>
      <c r="Y176" s="25"/>
      <c r="Z176" s="25"/>
      <c r="AA176" s="25"/>
      <c r="AB176" s="25"/>
      <c r="AC176" s="25"/>
      <c r="AD176" s="168"/>
    </row>
    <row r="177" spans="18:30" ht="69.75" customHeight="1" x14ac:dyDescent="0.25">
      <c r="R177" s="25"/>
      <c r="S177" s="25"/>
      <c r="T177" s="25"/>
      <c r="U177" s="25"/>
      <c r="V177" s="25"/>
      <c r="W177" s="25"/>
      <c r="X177" s="25"/>
      <c r="Y177" s="25"/>
      <c r="Z177" s="25"/>
      <c r="AA177" s="25"/>
      <c r="AB177" s="25"/>
      <c r="AC177" s="25"/>
      <c r="AD177" s="168"/>
    </row>
    <row r="178" spans="18:30" ht="69.75" customHeight="1" x14ac:dyDescent="0.25">
      <c r="R178" s="25"/>
      <c r="S178" s="25"/>
      <c r="T178" s="25"/>
      <c r="U178" s="25"/>
      <c r="V178" s="25"/>
      <c r="W178" s="25"/>
      <c r="X178" s="25"/>
      <c r="Y178" s="25"/>
      <c r="Z178" s="25"/>
      <c r="AA178" s="25"/>
      <c r="AB178" s="25"/>
      <c r="AC178" s="25"/>
      <c r="AD178" s="168"/>
    </row>
    <row r="179" spans="18:30" ht="69.75" customHeight="1" x14ac:dyDescent="0.25">
      <c r="R179" s="25"/>
      <c r="S179" s="25"/>
      <c r="T179" s="25"/>
      <c r="U179" s="25"/>
      <c r="V179" s="25"/>
      <c r="W179" s="25"/>
      <c r="X179" s="25"/>
      <c r="Y179" s="25"/>
      <c r="Z179" s="25"/>
      <c r="AA179" s="25"/>
      <c r="AB179" s="25"/>
      <c r="AC179" s="25"/>
      <c r="AD179" s="168"/>
    </row>
    <row r="180" spans="18:30" ht="69.75" customHeight="1" x14ac:dyDescent="0.25">
      <c r="R180" s="25"/>
      <c r="S180" s="25"/>
      <c r="T180" s="25"/>
      <c r="U180" s="25"/>
      <c r="V180" s="25"/>
      <c r="W180" s="25"/>
      <c r="X180" s="25"/>
      <c r="Y180" s="25"/>
      <c r="Z180" s="25"/>
      <c r="AA180" s="25"/>
      <c r="AB180" s="25"/>
      <c r="AC180" s="25"/>
      <c r="AD180" s="168"/>
    </row>
    <row r="181" spans="18:30" ht="69.75" customHeight="1" x14ac:dyDescent="0.25">
      <c r="R181" s="25"/>
      <c r="S181" s="25"/>
      <c r="T181" s="25"/>
      <c r="U181" s="25"/>
      <c r="V181" s="25"/>
      <c r="W181" s="25"/>
      <c r="X181" s="25"/>
      <c r="Y181" s="25"/>
      <c r="Z181" s="25"/>
      <c r="AA181" s="25"/>
      <c r="AB181" s="25"/>
      <c r="AC181" s="25"/>
      <c r="AD181" s="168"/>
    </row>
    <row r="182" spans="18:30" ht="69.75" customHeight="1" x14ac:dyDescent="0.25">
      <c r="R182" s="25"/>
      <c r="S182" s="25"/>
      <c r="T182" s="25"/>
      <c r="U182" s="25"/>
      <c r="V182" s="25"/>
      <c r="W182" s="25"/>
      <c r="X182" s="25"/>
      <c r="Y182" s="25"/>
      <c r="Z182" s="25"/>
      <c r="AA182" s="25"/>
      <c r="AB182" s="25"/>
      <c r="AC182" s="25"/>
      <c r="AD182" s="168"/>
    </row>
    <row r="183" spans="18:30" ht="69.75" customHeight="1" x14ac:dyDescent="0.25">
      <c r="R183" s="25"/>
      <c r="S183" s="25"/>
      <c r="T183" s="25"/>
      <c r="U183" s="25"/>
      <c r="V183" s="25"/>
      <c r="W183" s="25"/>
      <c r="X183" s="25"/>
      <c r="Y183" s="25"/>
      <c r="Z183" s="25"/>
      <c r="AA183" s="25"/>
      <c r="AB183" s="25"/>
      <c r="AC183" s="25"/>
      <c r="AD183" s="168"/>
    </row>
    <row r="184" spans="18:30" ht="69.75" customHeight="1" x14ac:dyDescent="0.25">
      <c r="R184" s="25"/>
      <c r="S184" s="25"/>
      <c r="T184" s="25"/>
      <c r="U184" s="25"/>
      <c r="V184" s="25"/>
      <c r="W184" s="25"/>
      <c r="X184" s="25"/>
      <c r="Y184" s="25"/>
      <c r="Z184" s="25"/>
      <c r="AA184" s="25"/>
      <c r="AB184" s="25"/>
      <c r="AC184" s="25"/>
      <c r="AD184" s="168"/>
    </row>
    <row r="185" spans="18:30" ht="69.75" customHeight="1" x14ac:dyDescent="0.25">
      <c r="R185" s="25"/>
      <c r="S185" s="25"/>
      <c r="T185" s="25"/>
      <c r="U185" s="25"/>
      <c r="V185" s="25"/>
      <c r="W185" s="25"/>
      <c r="X185" s="25"/>
      <c r="Y185" s="25"/>
      <c r="Z185" s="25"/>
      <c r="AA185" s="25"/>
      <c r="AB185" s="25"/>
      <c r="AC185" s="25"/>
      <c r="AD185" s="168"/>
    </row>
    <row r="186" spans="18:30" ht="69.75" customHeight="1" x14ac:dyDescent="0.25">
      <c r="R186" s="25"/>
      <c r="S186" s="25"/>
      <c r="T186" s="25"/>
      <c r="U186" s="25"/>
      <c r="V186" s="25"/>
      <c r="W186" s="25"/>
      <c r="X186" s="25"/>
      <c r="Y186" s="25"/>
      <c r="Z186" s="25"/>
      <c r="AA186" s="25"/>
      <c r="AB186" s="25"/>
      <c r="AC186" s="25"/>
      <c r="AD186" s="168"/>
    </row>
    <row r="187" spans="18:30" ht="69.75" customHeight="1" x14ac:dyDescent="0.25">
      <c r="R187" s="25"/>
      <c r="S187" s="25"/>
      <c r="T187" s="25"/>
      <c r="U187" s="25"/>
      <c r="V187" s="25"/>
      <c r="W187" s="25"/>
      <c r="X187" s="25"/>
      <c r="Y187" s="25"/>
      <c r="Z187" s="25"/>
      <c r="AA187" s="25"/>
      <c r="AB187" s="25"/>
      <c r="AC187" s="25"/>
      <c r="AD187" s="168"/>
    </row>
    <row r="188" spans="18:30" ht="69.75" customHeight="1" x14ac:dyDescent="0.25">
      <c r="R188" s="25"/>
      <c r="S188" s="25"/>
      <c r="T188" s="25"/>
      <c r="U188" s="25"/>
      <c r="V188" s="25"/>
      <c r="W188" s="25"/>
      <c r="X188" s="25"/>
      <c r="Y188" s="25"/>
      <c r="Z188" s="25"/>
      <c r="AA188" s="25"/>
      <c r="AB188" s="25"/>
      <c r="AC188" s="25"/>
      <c r="AD188" s="168"/>
    </row>
    <row r="189" spans="18:30" ht="69.75" customHeight="1" x14ac:dyDescent="0.25">
      <c r="R189" s="25"/>
      <c r="S189" s="25"/>
      <c r="T189" s="25"/>
      <c r="U189" s="25"/>
      <c r="V189" s="25"/>
      <c r="W189" s="25"/>
      <c r="X189" s="25"/>
      <c r="Y189" s="25"/>
      <c r="Z189" s="25"/>
      <c r="AA189" s="25"/>
      <c r="AB189" s="25"/>
      <c r="AC189" s="25"/>
      <c r="AD189" s="168"/>
    </row>
    <row r="190" spans="18:30" ht="69.75" customHeight="1" x14ac:dyDescent="0.25">
      <c r="R190" s="25"/>
      <c r="S190" s="25"/>
      <c r="T190" s="25"/>
      <c r="U190" s="25"/>
      <c r="V190" s="25"/>
      <c r="W190" s="25"/>
      <c r="X190" s="25"/>
      <c r="Y190" s="25"/>
      <c r="Z190" s="25"/>
      <c r="AA190" s="25"/>
      <c r="AB190" s="25"/>
      <c r="AC190" s="25"/>
      <c r="AD190" s="168"/>
    </row>
    <row r="191" spans="18:30" ht="69.75" customHeight="1" x14ac:dyDescent="0.25">
      <c r="R191" s="25"/>
      <c r="S191" s="25"/>
      <c r="T191" s="25"/>
      <c r="U191" s="25"/>
      <c r="V191" s="25"/>
      <c r="W191" s="25"/>
      <c r="X191" s="25"/>
      <c r="Y191" s="25"/>
      <c r="Z191" s="25"/>
      <c r="AA191" s="25"/>
      <c r="AB191" s="25"/>
      <c r="AC191" s="25"/>
      <c r="AD191" s="168"/>
    </row>
    <row r="192" spans="18:30" ht="69.75" customHeight="1" x14ac:dyDescent="0.25">
      <c r="R192" s="25"/>
      <c r="S192" s="25"/>
      <c r="T192" s="25"/>
      <c r="U192" s="25"/>
      <c r="V192" s="25"/>
      <c r="W192" s="25"/>
      <c r="X192" s="25"/>
      <c r="Y192" s="25"/>
      <c r="Z192" s="25"/>
      <c r="AA192" s="25"/>
      <c r="AB192" s="25"/>
      <c r="AC192" s="25"/>
      <c r="AD192" s="168"/>
    </row>
    <row r="193" spans="18:30" ht="69.75" customHeight="1" x14ac:dyDescent="0.25">
      <c r="R193" s="25"/>
      <c r="S193" s="25"/>
      <c r="T193" s="25"/>
      <c r="U193" s="25"/>
      <c r="V193" s="25"/>
      <c r="W193" s="25"/>
      <c r="X193" s="25"/>
      <c r="Y193" s="25"/>
      <c r="Z193" s="25"/>
      <c r="AA193" s="25"/>
      <c r="AB193" s="25"/>
      <c r="AC193" s="25"/>
      <c r="AD193" s="168"/>
    </row>
    <row r="194" spans="18:30" ht="69.75" customHeight="1" x14ac:dyDescent="0.25">
      <c r="R194" s="25"/>
      <c r="S194" s="25"/>
      <c r="T194" s="25"/>
      <c r="U194" s="25"/>
      <c r="V194" s="25"/>
      <c r="W194" s="25"/>
      <c r="X194" s="25"/>
      <c r="Y194" s="25"/>
      <c r="Z194" s="25"/>
      <c r="AA194" s="25"/>
      <c r="AB194" s="25"/>
      <c r="AC194" s="25"/>
      <c r="AD194" s="168"/>
    </row>
    <row r="195" spans="18:30" ht="69.75" customHeight="1" x14ac:dyDescent="0.25">
      <c r="R195" s="25"/>
      <c r="S195" s="25"/>
      <c r="T195" s="25"/>
      <c r="U195" s="25"/>
      <c r="V195" s="25"/>
      <c r="W195" s="25"/>
      <c r="X195" s="25"/>
      <c r="Y195" s="25"/>
      <c r="Z195" s="25"/>
      <c r="AA195" s="25"/>
      <c r="AB195" s="25"/>
      <c r="AC195" s="25"/>
      <c r="AD195" s="168"/>
    </row>
    <row r="196" spans="18:30" ht="69.75" customHeight="1" x14ac:dyDescent="0.25">
      <c r="R196" s="25"/>
      <c r="S196" s="25"/>
      <c r="T196" s="25"/>
      <c r="U196" s="25"/>
      <c r="V196" s="25"/>
      <c r="W196" s="25"/>
      <c r="X196" s="25"/>
      <c r="Y196" s="25"/>
      <c r="Z196" s="25"/>
      <c r="AA196" s="25"/>
      <c r="AB196" s="25"/>
      <c r="AC196" s="25"/>
      <c r="AD196" s="168"/>
    </row>
    <row r="197" spans="18:30" ht="69.75" customHeight="1" x14ac:dyDescent="0.25">
      <c r="R197" s="25"/>
      <c r="S197" s="25"/>
      <c r="T197" s="25"/>
      <c r="U197" s="25"/>
      <c r="V197" s="25"/>
      <c r="W197" s="25"/>
      <c r="X197" s="25"/>
      <c r="Y197" s="25"/>
      <c r="Z197" s="25"/>
      <c r="AA197" s="25"/>
      <c r="AB197" s="25"/>
      <c r="AC197" s="25"/>
      <c r="AD197" s="168"/>
    </row>
    <row r="198" spans="18:30" ht="69.75" customHeight="1" x14ac:dyDescent="0.25">
      <c r="R198" s="25"/>
      <c r="S198" s="25"/>
      <c r="T198" s="25"/>
      <c r="U198" s="25"/>
      <c r="V198" s="25"/>
      <c r="W198" s="25"/>
      <c r="X198" s="25"/>
      <c r="Y198" s="25"/>
      <c r="Z198" s="25"/>
      <c r="AA198" s="25"/>
      <c r="AB198" s="25"/>
      <c r="AC198" s="25"/>
      <c r="AD198" s="168"/>
    </row>
    <row r="199" spans="18:30" ht="69.75" customHeight="1" x14ac:dyDescent="0.25">
      <c r="R199" s="25"/>
      <c r="S199" s="25"/>
      <c r="T199" s="25"/>
      <c r="U199" s="25"/>
      <c r="V199" s="25"/>
      <c r="W199" s="25"/>
      <c r="X199" s="25"/>
      <c r="Y199" s="25"/>
      <c r="Z199" s="25"/>
      <c r="AA199" s="25"/>
      <c r="AB199" s="25"/>
      <c r="AC199" s="25"/>
      <c r="AD199" s="168"/>
    </row>
    <row r="200" spans="18:30" ht="69.75" customHeight="1" x14ac:dyDescent="0.25">
      <c r="R200" s="25"/>
      <c r="S200" s="25"/>
      <c r="T200" s="25"/>
      <c r="U200" s="25"/>
      <c r="V200" s="25"/>
      <c r="W200" s="25"/>
      <c r="X200" s="25"/>
      <c r="Y200" s="25"/>
      <c r="Z200" s="25"/>
      <c r="AA200" s="25"/>
      <c r="AB200" s="25"/>
      <c r="AC200" s="25"/>
      <c r="AD200" s="168"/>
    </row>
    <row r="201" spans="18:30" ht="69.75" customHeight="1" x14ac:dyDescent="0.25">
      <c r="R201" s="25"/>
      <c r="S201" s="25"/>
      <c r="T201" s="25"/>
      <c r="U201" s="25"/>
      <c r="V201" s="25"/>
      <c r="W201" s="25"/>
      <c r="X201" s="25"/>
      <c r="Y201" s="25"/>
      <c r="Z201" s="25"/>
      <c r="AA201" s="25"/>
      <c r="AB201" s="25"/>
      <c r="AC201" s="25"/>
      <c r="AD201" s="168"/>
    </row>
    <row r="202" spans="18:30" ht="69.75" customHeight="1" x14ac:dyDescent="0.25">
      <c r="R202" s="25"/>
      <c r="S202" s="25"/>
      <c r="T202" s="25"/>
      <c r="U202" s="25"/>
      <c r="V202" s="25"/>
      <c r="W202" s="25"/>
      <c r="X202" s="25"/>
      <c r="Y202" s="25"/>
      <c r="Z202" s="25"/>
      <c r="AA202" s="25"/>
      <c r="AB202" s="25"/>
      <c r="AC202" s="25"/>
      <c r="AD202" s="168"/>
    </row>
    <row r="203" spans="18:30" ht="69.75" customHeight="1" x14ac:dyDescent="0.25">
      <c r="R203" s="25"/>
      <c r="S203" s="25"/>
      <c r="T203" s="25"/>
      <c r="U203" s="25"/>
      <c r="V203" s="25"/>
      <c r="W203" s="25"/>
      <c r="X203" s="25"/>
      <c r="Y203" s="25"/>
      <c r="Z203" s="25"/>
      <c r="AA203" s="25"/>
      <c r="AB203" s="25"/>
      <c r="AC203" s="25"/>
      <c r="AD203" s="168"/>
    </row>
    <row r="204" spans="18:30" ht="69.75" customHeight="1" x14ac:dyDescent="0.25">
      <c r="R204" s="25"/>
      <c r="S204" s="25"/>
      <c r="T204" s="25"/>
      <c r="U204" s="25"/>
      <c r="V204" s="25"/>
      <c r="W204" s="25"/>
      <c r="X204" s="25"/>
      <c r="Y204" s="25"/>
      <c r="Z204" s="25"/>
      <c r="AA204" s="25"/>
      <c r="AB204" s="25"/>
      <c r="AC204" s="25"/>
      <c r="AD204" s="168"/>
    </row>
    <row r="205" spans="18:30" ht="69.75" customHeight="1" x14ac:dyDescent="0.25">
      <c r="R205" s="25"/>
      <c r="S205" s="25"/>
      <c r="T205" s="25"/>
      <c r="U205" s="25"/>
      <c r="V205" s="25"/>
      <c r="W205" s="25"/>
      <c r="X205" s="25"/>
      <c r="Y205" s="25"/>
      <c r="Z205" s="25"/>
      <c r="AA205" s="25"/>
      <c r="AB205" s="25"/>
      <c r="AC205" s="25"/>
      <c r="AD205" s="168"/>
    </row>
    <row r="206" spans="18:30" ht="69.75" customHeight="1" x14ac:dyDescent="0.25">
      <c r="R206" s="25"/>
      <c r="S206" s="25"/>
      <c r="T206" s="25"/>
      <c r="U206" s="25"/>
      <c r="V206" s="25"/>
      <c r="W206" s="25"/>
      <c r="X206" s="25"/>
      <c r="Y206" s="25"/>
      <c r="Z206" s="25"/>
      <c r="AA206" s="25"/>
      <c r="AB206" s="25"/>
      <c r="AC206" s="25"/>
      <c r="AD206" s="168"/>
    </row>
    <row r="207" spans="18:30" ht="69.75" customHeight="1" x14ac:dyDescent="0.25">
      <c r="R207" s="25"/>
      <c r="S207" s="25"/>
      <c r="T207" s="25"/>
      <c r="U207" s="25"/>
      <c r="V207" s="25"/>
      <c r="W207" s="25"/>
      <c r="X207" s="25"/>
      <c r="Y207" s="25"/>
      <c r="Z207" s="25"/>
      <c r="AA207" s="25"/>
      <c r="AB207" s="25"/>
      <c r="AC207" s="25"/>
      <c r="AD207" s="168"/>
    </row>
    <row r="208" spans="18:30" ht="69.75" customHeight="1" x14ac:dyDescent="0.25">
      <c r="R208" s="25"/>
      <c r="S208" s="25"/>
      <c r="T208" s="25"/>
      <c r="U208" s="25"/>
      <c r="V208" s="25"/>
      <c r="W208" s="25"/>
      <c r="X208" s="25"/>
      <c r="Y208" s="25"/>
      <c r="Z208" s="25"/>
      <c r="AA208" s="25"/>
      <c r="AB208" s="25"/>
      <c r="AC208" s="25"/>
      <c r="AD208" s="168"/>
    </row>
    <row r="209" spans="18:30" ht="69.75" customHeight="1" x14ac:dyDescent="0.25">
      <c r="R209" s="25"/>
      <c r="S209" s="25"/>
      <c r="T209" s="25"/>
      <c r="U209" s="25"/>
      <c r="V209" s="25"/>
      <c r="W209" s="25"/>
      <c r="X209" s="25"/>
      <c r="Y209" s="25"/>
      <c r="Z209" s="25"/>
      <c r="AA209" s="25"/>
      <c r="AB209" s="25"/>
      <c r="AC209" s="25"/>
      <c r="AD209" s="168"/>
    </row>
    <row r="210" spans="18:30" ht="69.75" customHeight="1" x14ac:dyDescent="0.25">
      <c r="R210" s="25"/>
      <c r="S210" s="25"/>
      <c r="T210" s="25"/>
      <c r="U210" s="25"/>
      <c r="V210" s="25"/>
      <c r="W210" s="25"/>
      <c r="X210" s="25"/>
      <c r="Y210" s="25"/>
      <c r="Z210" s="25"/>
      <c r="AA210" s="25"/>
      <c r="AB210" s="25"/>
      <c r="AC210" s="25"/>
      <c r="AD210" s="168"/>
    </row>
    <row r="211" spans="18:30" ht="69.75" customHeight="1" x14ac:dyDescent="0.25">
      <c r="R211" s="25"/>
      <c r="S211" s="25"/>
      <c r="T211" s="25"/>
      <c r="U211" s="25"/>
      <c r="V211" s="25"/>
      <c r="W211" s="25"/>
      <c r="X211" s="25"/>
      <c r="Y211" s="25"/>
      <c r="Z211" s="25"/>
      <c r="AA211" s="25"/>
      <c r="AB211" s="25"/>
      <c r="AC211" s="25"/>
      <c r="AD211" s="168"/>
    </row>
    <row r="212" spans="18:30" ht="69.75" customHeight="1" x14ac:dyDescent="0.25">
      <c r="R212" s="25"/>
      <c r="S212" s="25"/>
      <c r="T212" s="25"/>
      <c r="U212" s="25"/>
      <c r="V212" s="25"/>
      <c r="W212" s="25"/>
      <c r="X212" s="25"/>
      <c r="Y212" s="25"/>
      <c r="Z212" s="25"/>
      <c r="AA212" s="25"/>
      <c r="AB212" s="25"/>
      <c r="AC212" s="25"/>
      <c r="AD212" s="168"/>
    </row>
    <row r="213" spans="18:30" ht="69.75" customHeight="1" x14ac:dyDescent="0.25">
      <c r="R213" s="25"/>
      <c r="S213" s="25"/>
      <c r="T213" s="25"/>
      <c r="U213" s="25"/>
      <c r="V213" s="25"/>
      <c r="W213" s="25"/>
      <c r="X213" s="25"/>
      <c r="Y213" s="25"/>
      <c r="Z213" s="25"/>
      <c r="AA213" s="25"/>
      <c r="AB213" s="25"/>
      <c r="AC213" s="25"/>
      <c r="AD213" s="168"/>
    </row>
    <row r="214" spans="18:30" ht="69.75" customHeight="1" x14ac:dyDescent="0.25">
      <c r="R214" s="25"/>
      <c r="S214" s="25"/>
      <c r="T214" s="25"/>
      <c r="U214" s="25"/>
      <c r="V214" s="25"/>
      <c r="W214" s="25"/>
      <c r="X214" s="25"/>
      <c r="Y214" s="25"/>
      <c r="Z214" s="25"/>
      <c r="AA214" s="25"/>
      <c r="AB214" s="25"/>
      <c r="AC214" s="25"/>
      <c r="AD214" s="168"/>
    </row>
    <row r="215" spans="18:30" ht="69.75" customHeight="1" x14ac:dyDescent="0.25">
      <c r="R215" s="25"/>
      <c r="S215" s="25"/>
      <c r="T215" s="25"/>
      <c r="U215" s="25"/>
      <c r="V215" s="25"/>
      <c r="W215" s="25"/>
      <c r="X215" s="25"/>
      <c r="Y215" s="25"/>
      <c r="Z215" s="25"/>
      <c r="AA215" s="25"/>
      <c r="AB215" s="25"/>
      <c r="AC215" s="25"/>
      <c r="AD215" s="168"/>
    </row>
    <row r="216" spans="18:30" ht="69.75" customHeight="1" x14ac:dyDescent="0.25">
      <c r="R216" s="25"/>
      <c r="S216" s="25"/>
      <c r="T216" s="25"/>
      <c r="U216" s="25"/>
      <c r="V216" s="25"/>
      <c r="W216" s="25"/>
      <c r="X216" s="25"/>
      <c r="Y216" s="25"/>
      <c r="Z216" s="25"/>
      <c r="AA216" s="25"/>
      <c r="AB216" s="25"/>
      <c r="AC216" s="25"/>
      <c r="AD216" s="168"/>
    </row>
    <row r="217" spans="18:30" ht="69.75" customHeight="1" x14ac:dyDescent="0.25">
      <c r="R217" s="25"/>
      <c r="S217" s="25"/>
      <c r="T217" s="25"/>
      <c r="U217" s="25"/>
      <c r="V217" s="25"/>
      <c r="W217" s="25"/>
      <c r="X217" s="25"/>
      <c r="Y217" s="25"/>
      <c r="Z217" s="25"/>
      <c r="AA217" s="25"/>
      <c r="AB217" s="25"/>
      <c r="AC217" s="25"/>
      <c r="AD217" s="168"/>
    </row>
    <row r="218" spans="18:30" ht="69.75" customHeight="1" x14ac:dyDescent="0.25">
      <c r="R218" s="25"/>
      <c r="S218" s="25"/>
      <c r="T218" s="25"/>
      <c r="U218" s="25"/>
      <c r="V218" s="25"/>
      <c r="W218" s="25"/>
      <c r="X218" s="25"/>
      <c r="Y218" s="25"/>
      <c r="Z218" s="25"/>
      <c r="AA218" s="25"/>
      <c r="AB218" s="25"/>
      <c r="AC218" s="25"/>
      <c r="AD218" s="168"/>
    </row>
    <row r="219" spans="18:30" ht="69.75" customHeight="1" x14ac:dyDescent="0.25">
      <c r="R219" s="25"/>
      <c r="S219" s="25"/>
      <c r="T219" s="25"/>
      <c r="U219" s="25"/>
      <c r="V219" s="25"/>
      <c r="W219" s="25"/>
      <c r="X219" s="25"/>
      <c r="Y219" s="25"/>
      <c r="Z219" s="25"/>
      <c r="AA219" s="25"/>
      <c r="AB219" s="25"/>
      <c r="AC219" s="25"/>
      <c r="AD219" s="168"/>
    </row>
    <row r="220" spans="18:30" ht="69.75" customHeight="1" x14ac:dyDescent="0.25">
      <c r="R220" s="25"/>
      <c r="S220" s="25"/>
      <c r="T220" s="25"/>
      <c r="U220" s="25"/>
      <c r="V220" s="25"/>
      <c r="W220" s="25"/>
      <c r="X220" s="25"/>
      <c r="Y220" s="25"/>
      <c r="Z220" s="25"/>
      <c r="AA220" s="25"/>
      <c r="AB220" s="25"/>
      <c r="AC220" s="25"/>
      <c r="AD220" s="168"/>
    </row>
    <row r="221" spans="18:30" ht="69.75" customHeight="1" x14ac:dyDescent="0.25">
      <c r="R221" s="25"/>
      <c r="S221" s="25"/>
      <c r="T221" s="25"/>
      <c r="U221" s="25"/>
      <c r="V221" s="25"/>
      <c r="W221" s="25"/>
      <c r="X221" s="25"/>
      <c r="Y221" s="25"/>
      <c r="Z221" s="25"/>
      <c r="AA221" s="25"/>
      <c r="AB221" s="25"/>
      <c r="AC221" s="25"/>
      <c r="AD221" s="168"/>
    </row>
    <row r="222" spans="18:30" ht="69.75" customHeight="1" x14ac:dyDescent="0.25">
      <c r="R222" s="25"/>
      <c r="S222" s="25"/>
      <c r="T222" s="25"/>
      <c r="U222" s="25"/>
      <c r="V222" s="25"/>
      <c r="W222" s="25"/>
      <c r="X222" s="25"/>
      <c r="Y222" s="25"/>
      <c r="Z222" s="25"/>
      <c r="AA222" s="25"/>
      <c r="AB222" s="25"/>
      <c r="AC222" s="25"/>
      <c r="AD222" s="168"/>
    </row>
    <row r="223" spans="18:30" ht="69.75" customHeight="1" x14ac:dyDescent="0.25">
      <c r="R223" s="25"/>
      <c r="S223" s="25"/>
      <c r="T223" s="25"/>
      <c r="U223" s="25"/>
      <c r="V223" s="25"/>
      <c r="W223" s="25"/>
      <c r="X223" s="25"/>
      <c r="Y223" s="25"/>
      <c r="Z223" s="25"/>
      <c r="AA223" s="25"/>
      <c r="AB223" s="25"/>
      <c r="AC223" s="25"/>
      <c r="AD223" s="168"/>
    </row>
    <row r="224" spans="18:30" ht="69.75" customHeight="1" x14ac:dyDescent="0.25">
      <c r="R224" s="25"/>
      <c r="S224" s="25"/>
      <c r="T224" s="25"/>
      <c r="U224" s="25"/>
      <c r="V224" s="25"/>
      <c r="W224" s="25"/>
      <c r="X224" s="25"/>
      <c r="Y224" s="25"/>
      <c r="Z224" s="25"/>
      <c r="AA224" s="25"/>
      <c r="AB224" s="25"/>
      <c r="AC224" s="25"/>
      <c r="AD224" s="168"/>
    </row>
    <row r="225" spans="18:30" ht="69.75" customHeight="1" x14ac:dyDescent="0.25">
      <c r="R225" s="25"/>
      <c r="S225" s="25"/>
      <c r="T225" s="25"/>
      <c r="U225" s="25"/>
      <c r="V225" s="25"/>
      <c r="W225" s="25"/>
      <c r="X225" s="25"/>
      <c r="Y225" s="25"/>
      <c r="Z225" s="25"/>
      <c r="AA225" s="25"/>
      <c r="AB225" s="25"/>
      <c r="AC225" s="25"/>
      <c r="AD225" s="168"/>
    </row>
    <row r="226" spans="18:30" ht="69.75" customHeight="1" x14ac:dyDescent="0.25">
      <c r="R226" s="25"/>
      <c r="S226" s="25"/>
      <c r="T226" s="25"/>
      <c r="U226" s="25"/>
      <c r="V226" s="25"/>
      <c r="W226" s="25"/>
      <c r="X226" s="25"/>
      <c r="Y226" s="25"/>
      <c r="Z226" s="25"/>
      <c r="AA226" s="25"/>
      <c r="AB226" s="25"/>
      <c r="AC226" s="25"/>
      <c r="AD226" s="168"/>
    </row>
    <row r="227" spans="18:30" ht="69.75" customHeight="1" x14ac:dyDescent="0.25">
      <c r="R227" s="25"/>
      <c r="S227" s="25"/>
      <c r="T227" s="25"/>
      <c r="U227" s="25"/>
      <c r="V227" s="25"/>
      <c r="W227" s="25"/>
      <c r="X227" s="25"/>
      <c r="Y227" s="25"/>
      <c r="Z227" s="25"/>
      <c r="AA227" s="25"/>
      <c r="AB227" s="25"/>
      <c r="AC227" s="25"/>
      <c r="AD227" s="168"/>
    </row>
    <row r="228" spans="18:30" ht="69.75" customHeight="1" x14ac:dyDescent="0.25">
      <c r="R228" s="25"/>
      <c r="S228" s="25"/>
      <c r="T228" s="25"/>
      <c r="U228" s="25"/>
      <c r="V228" s="25"/>
      <c r="W228" s="25"/>
      <c r="X228" s="25"/>
      <c r="Y228" s="25"/>
      <c r="Z228" s="25"/>
      <c r="AA228" s="25"/>
      <c r="AB228" s="25"/>
      <c r="AC228" s="25"/>
      <c r="AD228" s="168"/>
    </row>
    <row r="229" spans="18:30" ht="69.75" customHeight="1" x14ac:dyDescent="0.25">
      <c r="R229" s="25"/>
      <c r="S229" s="25"/>
      <c r="T229" s="25"/>
      <c r="U229" s="25"/>
      <c r="V229" s="25"/>
      <c r="W229" s="25"/>
      <c r="X229" s="25"/>
      <c r="Y229" s="25"/>
      <c r="Z229" s="25"/>
      <c r="AA229" s="25"/>
      <c r="AB229" s="25"/>
      <c r="AC229" s="25"/>
      <c r="AD229" s="168"/>
    </row>
    <row r="230" spans="18:30" ht="69.75" customHeight="1" x14ac:dyDescent="0.25">
      <c r="R230" s="25"/>
      <c r="S230" s="25"/>
      <c r="T230" s="25"/>
      <c r="U230" s="25"/>
      <c r="V230" s="25"/>
      <c r="W230" s="25"/>
      <c r="X230" s="25"/>
      <c r="Y230" s="25"/>
      <c r="Z230" s="25"/>
      <c r="AA230" s="25"/>
      <c r="AB230" s="25"/>
      <c r="AC230" s="25"/>
      <c r="AD230" s="168"/>
    </row>
    <row r="231" spans="18:30" ht="69.75" customHeight="1" x14ac:dyDescent="0.25">
      <c r="R231" s="25"/>
      <c r="S231" s="25"/>
      <c r="T231" s="25"/>
      <c r="U231" s="25"/>
      <c r="V231" s="25"/>
      <c r="W231" s="25"/>
      <c r="X231" s="25"/>
      <c r="Y231" s="25"/>
      <c r="Z231" s="25"/>
      <c r="AA231" s="25"/>
      <c r="AB231" s="25"/>
      <c r="AC231" s="25"/>
      <c r="AD231" s="168"/>
    </row>
    <row r="232" spans="18:30" ht="69.75" customHeight="1" x14ac:dyDescent="0.25">
      <c r="R232" s="25"/>
      <c r="S232" s="25"/>
      <c r="T232" s="25"/>
      <c r="U232" s="25"/>
      <c r="V232" s="25"/>
      <c r="W232" s="25"/>
      <c r="X232" s="25"/>
      <c r="Y232" s="25"/>
      <c r="Z232" s="25"/>
      <c r="AA232" s="25"/>
      <c r="AB232" s="25"/>
      <c r="AC232" s="25"/>
      <c r="AD232" s="168"/>
    </row>
    <row r="233" spans="18:30" ht="69.75" customHeight="1" x14ac:dyDescent="0.25">
      <c r="R233" s="25"/>
      <c r="S233" s="25"/>
      <c r="T233" s="25"/>
      <c r="U233" s="25"/>
      <c r="V233" s="25"/>
      <c r="W233" s="25"/>
      <c r="X233" s="25"/>
      <c r="Y233" s="25"/>
      <c r="Z233" s="25"/>
      <c r="AA233" s="25"/>
      <c r="AB233" s="25"/>
      <c r="AC233" s="25"/>
      <c r="AD233" s="168"/>
    </row>
    <row r="234" spans="18:30" ht="69.75" customHeight="1" x14ac:dyDescent="0.25">
      <c r="R234" s="25"/>
      <c r="S234" s="25"/>
      <c r="T234" s="25"/>
      <c r="U234" s="25"/>
      <c r="V234" s="25"/>
      <c r="W234" s="25"/>
      <c r="X234" s="25"/>
      <c r="Y234" s="25"/>
      <c r="Z234" s="25"/>
      <c r="AA234" s="25"/>
      <c r="AB234" s="25"/>
      <c r="AC234" s="25"/>
      <c r="AD234" s="168"/>
    </row>
    <row r="235" spans="18:30" ht="69.75" customHeight="1" x14ac:dyDescent="0.25">
      <c r="R235" s="25"/>
      <c r="S235" s="25"/>
      <c r="T235" s="25"/>
      <c r="U235" s="25"/>
      <c r="V235" s="25"/>
      <c r="W235" s="25"/>
      <c r="X235" s="25"/>
      <c r="Y235" s="25"/>
      <c r="Z235" s="25"/>
      <c r="AA235" s="25"/>
      <c r="AB235" s="25"/>
      <c r="AC235" s="25"/>
      <c r="AD235" s="168"/>
    </row>
    <row r="236" spans="18:30" ht="69.75" customHeight="1" x14ac:dyDescent="0.25">
      <c r="R236" s="25"/>
      <c r="S236" s="25"/>
      <c r="T236" s="25"/>
      <c r="U236" s="25"/>
      <c r="V236" s="25"/>
      <c r="W236" s="25"/>
      <c r="X236" s="25"/>
      <c r="Y236" s="25"/>
      <c r="Z236" s="25"/>
      <c r="AA236" s="25"/>
      <c r="AB236" s="25"/>
      <c r="AC236" s="25"/>
      <c r="AD236" s="168"/>
    </row>
    <row r="237" spans="18:30" ht="69.75" customHeight="1" x14ac:dyDescent="0.25">
      <c r="R237" s="25"/>
      <c r="S237" s="25"/>
      <c r="T237" s="25"/>
      <c r="U237" s="25"/>
      <c r="V237" s="25"/>
      <c r="W237" s="25"/>
      <c r="X237" s="25"/>
      <c r="Y237" s="25"/>
      <c r="Z237" s="25"/>
      <c r="AA237" s="25"/>
      <c r="AB237" s="25"/>
      <c r="AC237" s="25"/>
      <c r="AD237" s="168"/>
    </row>
    <row r="238" spans="18:30" ht="69.75" customHeight="1" x14ac:dyDescent="0.25">
      <c r="R238" s="25"/>
      <c r="S238" s="25"/>
      <c r="T238" s="25"/>
      <c r="U238" s="25"/>
      <c r="V238" s="25"/>
      <c r="W238" s="25"/>
      <c r="X238" s="25"/>
      <c r="Y238" s="25"/>
      <c r="Z238" s="25"/>
      <c r="AA238" s="25"/>
      <c r="AB238" s="25"/>
      <c r="AC238" s="25"/>
      <c r="AD238" s="168"/>
    </row>
    <row r="239" spans="18:30" ht="69.75" customHeight="1" x14ac:dyDescent="0.25">
      <c r="R239" s="25"/>
      <c r="S239" s="25"/>
      <c r="T239" s="25"/>
      <c r="U239" s="25"/>
      <c r="V239" s="25"/>
      <c r="W239" s="25"/>
      <c r="X239" s="25"/>
      <c r="Y239" s="25"/>
      <c r="Z239" s="25"/>
      <c r="AA239" s="25"/>
      <c r="AB239" s="25"/>
      <c r="AC239" s="25"/>
      <c r="AD239" s="168"/>
    </row>
    <row r="240" spans="18:30" ht="69.75" customHeight="1" x14ac:dyDescent="0.25">
      <c r="R240" s="25"/>
      <c r="S240" s="25"/>
      <c r="T240" s="25"/>
      <c r="U240" s="25"/>
      <c r="V240" s="25"/>
      <c r="W240" s="25"/>
      <c r="X240" s="25"/>
      <c r="Y240" s="25"/>
      <c r="Z240" s="25"/>
      <c r="AA240" s="25"/>
      <c r="AB240" s="25"/>
      <c r="AC240" s="25"/>
      <c r="AD240" s="168"/>
    </row>
    <row r="241" spans="18:30" ht="69.75" customHeight="1" x14ac:dyDescent="0.25">
      <c r="R241" s="25"/>
      <c r="S241" s="25"/>
      <c r="T241" s="25"/>
      <c r="U241" s="25"/>
      <c r="V241" s="25"/>
      <c r="W241" s="25"/>
      <c r="X241" s="25"/>
      <c r="Y241" s="25"/>
      <c r="Z241" s="25"/>
      <c r="AA241" s="25"/>
      <c r="AB241" s="25"/>
      <c r="AC241" s="25"/>
      <c r="AD241" s="168"/>
    </row>
    <row r="242" spans="18:30" ht="69.75" customHeight="1" x14ac:dyDescent="0.25">
      <c r="R242" s="25"/>
      <c r="S242" s="25"/>
      <c r="T242" s="25"/>
      <c r="U242" s="25"/>
      <c r="V242" s="25"/>
      <c r="W242" s="25"/>
      <c r="X242" s="25"/>
      <c r="Y242" s="25"/>
      <c r="Z242" s="25"/>
      <c r="AA242" s="25"/>
      <c r="AB242" s="25"/>
      <c r="AC242" s="25"/>
      <c r="AD242" s="168"/>
    </row>
    <row r="243" spans="18:30" ht="69.75" customHeight="1" x14ac:dyDescent="0.25">
      <c r="R243" s="25"/>
      <c r="S243" s="25"/>
      <c r="T243" s="25"/>
      <c r="U243" s="25"/>
      <c r="V243" s="25"/>
      <c r="W243" s="25"/>
      <c r="X243" s="25"/>
      <c r="Y243" s="25"/>
      <c r="Z243" s="25"/>
      <c r="AA243" s="25"/>
      <c r="AB243" s="25"/>
      <c r="AC243" s="25"/>
      <c r="AD243" s="168"/>
    </row>
    <row r="244" spans="18:30" ht="69.75" customHeight="1" x14ac:dyDescent="0.25">
      <c r="R244" s="25"/>
      <c r="S244" s="25"/>
      <c r="T244" s="25"/>
      <c r="U244" s="25"/>
      <c r="V244" s="25"/>
      <c r="W244" s="25"/>
      <c r="X244" s="25"/>
      <c r="Y244" s="25"/>
      <c r="Z244" s="25"/>
      <c r="AA244" s="25"/>
      <c r="AB244" s="25"/>
      <c r="AC244" s="25"/>
      <c r="AD244" s="168"/>
    </row>
    <row r="245" spans="18:30" ht="69.75" customHeight="1" x14ac:dyDescent="0.25">
      <c r="R245" s="25"/>
      <c r="S245" s="25"/>
      <c r="T245" s="25"/>
      <c r="U245" s="25"/>
      <c r="V245" s="25"/>
      <c r="W245" s="25"/>
      <c r="X245" s="25"/>
      <c r="Y245" s="25"/>
      <c r="Z245" s="25"/>
      <c r="AA245" s="25"/>
      <c r="AB245" s="25"/>
      <c r="AC245" s="25"/>
      <c r="AD245" s="168"/>
    </row>
    <row r="246" spans="18:30" ht="69.75" customHeight="1" x14ac:dyDescent="0.25">
      <c r="R246" s="25"/>
      <c r="S246" s="25"/>
      <c r="T246" s="25"/>
      <c r="U246" s="25"/>
      <c r="V246" s="25"/>
      <c r="W246" s="25"/>
      <c r="X246" s="25"/>
      <c r="Y246" s="25"/>
      <c r="Z246" s="25"/>
      <c r="AA246" s="25"/>
      <c r="AB246" s="25"/>
      <c r="AC246" s="25"/>
      <c r="AD246" s="168"/>
    </row>
    <row r="247" spans="18:30" ht="69.75" customHeight="1" x14ac:dyDescent="0.25">
      <c r="R247" s="25"/>
      <c r="S247" s="25"/>
      <c r="T247" s="25"/>
      <c r="U247" s="25"/>
      <c r="V247" s="25"/>
      <c r="W247" s="25"/>
      <c r="X247" s="25"/>
      <c r="Y247" s="25"/>
      <c r="Z247" s="25"/>
      <c r="AA247" s="25"/>
      <c r="AB247" s="25"/>
      <c r="AC247" s="25"/>
      <c r="AD247" s="168"/>
    </row>
    <row r="248" spans="18:30" ht="69.75" customHeight="1" x14ac:dyDescent="0.25">
      <c r="R248" s="25"/>
      <c r="S248" s="25"/>
      <c r="T248" s="25"/>
      <c r="U248" s="25"/>
      <c r="V248" s="25"/>
      <c r="W248" s="25"/>
      <c r="X248" s="25"/>
      <c r="Y248" s="25"/>
      <c r="Z248" s="25"/>
      <c r="AA248" s="25"/>
      <c r="AB248" s="25"/>
      <c r="AC248" s="25"/>
      <c r="AD248" s="168"/>
    </row>
    <row r="249" spans="18:30" ht="69.75" customHeight="1" x14ac:dyDescent="0.25">
      <c r="R249" s="25"/>
      <c r="S249" s="25"/>
      <c r="T249" s="25"/>
      <c r="U249" s="25"/>
      <c r="V249" s="25"/>
      <c r="W249" s="25"/>
      <c r="X249" s="25"/>
      <c r="Y249" s="25"/>
      <c r="Z249" s="25"/>
      <c r="AA249" s="25"/>
      <c r="AB249" s="25"/>
      <c r="AC249" s="25"/>
      <c r="AD249" s="168"/>
    </row>
    <row r="250" spans="18:30" ht="69.75" customHeight="1" x14ac:dyDescent="0.25">
      <c r="R250" s="25"/>
      <c r="S250" s="25"/>
      <c r="T250" s="25"/>
      <c r="U250" s="25"/>
      <c r="V250" s="25"/>
      <c r="W250" s="25"/>
      <c r="X250" s="25"/>
      <c r="Y250" s="25"/>
      <c r="Z250" s="25"/>
      <c r="AA250" s="25"/>
      <c r="AB250" s="25"/>
      <c r="AC250" s="25"/>
      <c r="AD250" s="168"/>
    </row>
    <row r="251" spans="18:30" ht="69.75" customHeight="1" x14ac:dyDescent="0.25">
      <c r="R251" s="25"/>
      <c r="S251" s="25"/>
      <c r="T251" s="25"/>
      <c r="U251" s="25"/>
      <c r="V251" s="25"/>
      <c r="W251" s="25"/>
      <c r="X251" s="25"/>
      <c r="Y251" s="25"/>
      <c r="Z251" s="25"/>
      <c r="AA251" s="25"/>
      <c r="AB251" s="25"/>
      <c r="AC251" s="25"/>
      <c r="AD251" s="168"/>
    </row>
    <row r="252" spans="18:30" ht="69.75" customHeight="1" x14ac:dyDescent="0.25">
      <c r="R252" s="25"/>
      <c r="S252" s="25"/>
      <c r="T252" s="25"/>
      <c r="U252" s="25"/>
      <c r="V252" s="25"/>
      <c r="W252" s="25"/>
      <c r="X252" s="25"/>
      <c r="Y252" s="25"/>
      <c r="Z252" s="25"/>
      <c r="AA252" s="25"/>
      <c r="AB252" s="25"/>
      <c r="AC252" s="25"/>
      <c r="AD252" s="168"/>
    </row>
    <row r="253" spans="18:30" ht="69.75" customHeight="1" x14ac:dyDescent="0.25">
      <c r="R253" s="25"/>
      <c r="S253" s="25"/>
      <c r="T253" s="25"/>
      <c r="U253" s="25"/>
      <c r="V253" s="25"/>
      <c r="W253" s="25"/>
      <c r="X253" s="25"/>
      <c r="Y253" s="25"/>
      <c r="Z253" s="25"/>
      <c r="AA253" s="25"/>
      <c r="AB253" s="25"/>
      <c r="AC253" s="25"/>
      <c r="AD253" s="168"/>
    </row>
    <row r="254" spans="18:30" ht="69.75" customHeight="1" x14ac:dyDescent="0.25">
      <c r="R254" s="25"/>
      <c r="S254" s="25"/>
      <c r="T254" s="25"/>
      <c r="U254" s="25"/>
      <c r="V254" s="25"/>
      <c r="W254" s="25"/>
      <c r="X254" s="25"/>
      <c r="Y254" s="25"/>
      <c r="Z254" s="25"/>
      <c r="AA254" s="25"/>
      <c r="AB254" s="25"/>
      <c r="AC254" s="25"/>
      <c r="AD254" s="168"/>
    </row>
    <row r="255" spans="18:30" ht="69.75" customHeight="1" x14ac:dyDescent="0.25">
      <c r="R255" s="25"/>
      <c r="S255" s="25"/>
      <c r="T255" s="25"/>
      <c r="U255" s="25"/>
      <c r="V255" s="25"/>
      <c r="W255" s="25"/>
      <c r="X255" s="25"/>
      <c r="Y255" s="25"/>
      <c r="Z255" s="25"/>
      <c r="AA255" s="25"/>
      <c r="AB255" s="25"/>
      <c r="AC255" s="25"/>
      <c r="AD255" s="168"/>
    </row>
    <row r="256" spans="18:30" ht="69.75" customHeight="1" x14ac:dyDescent="0.25">
      <c r="R256" s="25"/>
      <c r="S256" s="25"/>
      <c r="T256" s="25"/>
      <c r="U256" s="25"/>
      <c r="V256" s="25"/>
      <c r="W256" s="25"/>
      <c r="X256" s="25"/>
      <c r="Y256" s="25"/>
      <c r="Z256" s="25"/>
      <c r="AA256" s="25"/>
      <c r="AB256" s="25"/>
      <c r="AC256" s="25"/>
      <c r="AD256" s="168"/>
    </row>
    <row r="257" spans="18:30" ht="69.75" customHeight="1" x14ac:dyDescent="0.25">
      <c r="R257" s="25"/>
      <c r="S257" s="25"/>
      <c r="T257" s="25"/>
      <c r="U257" s="25"/>
      <c r="V257" s="25"/>
      <c r="W257" s="25"/>
      <c r="X257" s="25"/>
      <c r="Y257" s="25"/>
      <c r="Z257" s="25"/>
      <c r="AA257" s="25"/>
      <c r="AB257" s="25"/>
      <c r="AC257" s="25"/>
      <c r="AD257" s="168"/>
    </row>
    <row r="258" spans="18:30" ht="69.75" customHeight="1" x14ac:dyDescent="0.25">
      <c r="R258" s="25"/>
      <c r="S258" s="25"/>
      <c r="T258" s="25"/>
      <c r="U258" s="25"/>
      <c r="V258" s="25"/>
      <c r="W258" s="25"/>
      <c r="X258" s="25"/>
      <c r="Y258" s="25"/>
      <c r="Z258" s="25"/>
      <c r="AA258" s="25"/>
      <c r="AB258" s="25"/>
      <c r="AC258" s="25"/>
      <c r="AD258" s="168"/>
    </row>
    <row r="259" spans="18:30" ht="69.75" customHeight="1" x14ac:dyDescent="0.25">
      <c r="R259" s="25"/>
      <c r="S259" s="25"/>
      <c r="T259" s="25"/>
      <c r="U259" s="25"/>
      <c r="V259" s="25"/>
      <c r="W259" s="25"/>
      <c r="X259" s="25"/>
      <c r="Y259" s="25"/>
      <c r="Z259" s="25"/>
      <c r="AA259" s="25"/>
      <c r="AB259" s="25"/>
      <c r="AC259" s="25"/>
      <c r="AD259" s="168"/>
    </row>
    <row r="260" spans="18:30" ht="69.75" customHeight="1" x14ac:dyDescent="0.25">
      <c r="R260" s="25"/>
      <c r="S260" s="25"/>
      <c r="T260" s="25"/>
      <c r="U260" s="25"/>
      <c r="V260" s="25"/>
      <c r="W260" s="25"/>
      <c r="X260" s="25"/>
      <c r="Y260" s="25"/>
      <c r="Z260" s="25"/>
      <c r="AA260" s="25"/>
      <c r="AB260" s="25"/>
      <c r="AC260" s="25"/>
      <c r="AD260" s="168"/>
    </row>
    <row r="261" spans="18:30" ht="69.75" customHeight="1" x14ac:dyDescent="0.25">
      <c r="R261" s="25"/>
      <c r="S261" s="25"/>
      <c r="T261" s="25"/>
      <c r="U261" s="25"/>
      <c r="V261" s="25"/>
      <c r="W261" s="25"/>
      <c r="X261" s="25"/>
      <c r="Y261" s="25"/>
      <c r="Z261" s="25"/>
      <c r="AA261" s="25"/>
      <c r="AB261" s="25"/>
      <c r="AC261" s="25"/>
      <c r="AD261" s="168"/>
    </row>
    <row r="262" spans="18:30" ht="69.75" customHeight="1" x14ac:dyDescent="0.25">
      <c r="R262" s="25"/>
      <c r="S262" s="25"/>
      <c r="T262" s="25"/>
      <c r="U262" s="25"/>
      <c r="V262" s="25"/>
      <c r="W262" s="25"/>
      <c r="X262" s="25"/>
      <c r="Y262" s="25"/>
      <c r="Z262" s="25"/>
      <c r="AA262" s="25"/>
      <c r="AB262" s="25"/>
      <c r="AC262" s="25"/>
      <c r="AD262" s="168"/>
    </row>
    <row r="263" spans="18:30" ht="69.75" customHeight="1" x14ac:dyDescent="0.25">
      <c r="R263" s="25"/>
      <c r="S263" s="25"/>
      <c r="T263" s="25"/>
      <c r="U263" s="25"/>
      <c r="V263" s="25"/>
      <c r="W263" s="25"/>
      <c r="X263" s="25"/>
      <c r="Y263" s="25"/>
      <c r="Z263" s="25"/>
      <c r="AA263" s="25"/>
      <c r="AB263" s="25"/>
      <c r="AC263" s="25"/>
      <c r="AD263" s="168"/>
    </row>
    <row r="264" spans="18:30" ht="69.75" customHeight="1" x14ac:dyDescent="0.25">
      <c r="R264" s="25"/>
      <c r="S264" s="25"/>
      <c r="T264" s="25"/>
      <c r="U264" s="25"/>
      <c r="V264" s="25"/>
      <c r="W264" s="25"/>
      <c r="X264" s="25"/>
      <c r="Y264" s="25"/>
      <c r="Z264" s="25"/>
      <c r="AA264" s="25"/>
      <c r="AB264" s="25"/>
      <c r="AC264" s="25"/>
      <c r="AD264" s="168"/>
    </row>
    <row r="265" spans="18:30" ht="69.75" customHeight="1" x14ac:dyDescent="0.25">
      <c r="R265" s="25"/>
      <c r="S265" s="25"/>
      <c r="T265" s="25"/>
      <c r="U265" s="25"/>
      <c r="V265" s="25"/>
      <c r="W265" s="25"/>
      <c r="X265" s="25"/>
      <c r="Y265" s="25"/>
      <c r="Z265" s="25"/>
      <c r="AA265" s="25"/>
      <c r="AB265" s="25"/>
      <c r="AC265" s="25"/>
      <c r="AD265" s="168"/>
    </row>
    <row r="266" spans="18:30" ht="69.75" customHeight="1" x14ac:dyDescent="0.25">
      <c r="R266" s="25"/>
      <c r="S266" s="25"/>
      <c r="T266" s="25"/>
      <c r="U266" s="25"/>
      <c r="V266" s="25"/>
      <c r="W266" s="25"/>
      <c r="X266" s="25"/>
      <c r="Y266" s="25"/>
      <c r="Z266" s="25"/>
      <c r="AA266" s="25"/>
      <c r="AB266" s="25"/>
      <c r="AC266" s="25"/>
      <c r="AD266" s="168"/>
    </row>
    <row r="267" spans="18:30" ht="69.75" customHeight="1" x14ac:dyDescent="0.25">
      <c r="R267" s="25"/>
      <c r="S267" s="25"/>
      <c r="T267" s="25"/>
      <c r="U267" s="25"/>
      <c r="V267" s="25"/>
      <c r="W267" s="25"/>
      <c r="X267" s="25"/>
      <c r="Y267" s="25"/>
      <c r="Z267" s="25"/>
      <c r="AA267" s="25"/>
      <c r="AB267" s="25"/>
      <c r="AC267" s="25"/>
      <c r="AD267" s="168"/>
    </row>
    <row r="268" spans="18:30" ht="69.75" customHeight="1" x14ac:dyDescent="0.25">
      <c r="R268" s="25"/>
      <c r="S268" s="25"/>
      <c r="T268" s="25"/>
      <c r="U268" s="25"/>
      <c r="V268" s="25"/>
      <c r="W268" s="25"/>
      <c r="X268" s="25"/>
      <c r="Y268" s="25"/>
      <c r="Z268" s="25"/>
      <c r="AA268" s="25"/>
      <c r="AB268" s="25"/>
      <c r="AC268" s="25"/>
      <c r="AD268" s="168"/>
    </row>
    <row r="269" spans="18:30" ht="69.75" customHeight="1" x14ac:dyDescent="0.25">
      <c r="R269" s="25"/>
      <c r="S269" s="25"/>
      <c r="T269" s="25"/>
      <c r="U269" s="25"/>
      <c r="V269" s="25"/>
      <c r="W269" s="25"/>
      <c r="X269" s="25"/>
      <c r="Y269" s="25"/>
      <c r="Z269" s="25"/>
      <c r="AA269" s="25"/>
      <c r="AB269" s="25"/>
      <c r="AC269" s="25"/>
      <c r="AD269" s="168"/>
    </row>
    <row r="270" spans="18:30" ht="69.75" customHeight="1" x14ac:dyDescent="0.25">
      <c r="R270" s="25"/>
      <c r="S270" s="25"/>
      <c r="T270" s="25"/>
      <c r="U270" s="25"/>
      <c r="V270" s="25"/>
      <c r="W270" s="25"/>
      <c r="X270" s="25"/>
      <c r="Y270" s="25"/>
      <c r="Z270" s="25"/>
      <c r="AA270" s="25"/>
      <c r="AB270" s="25"/>
      <c r="AC270" s="25"/>
      <c r="AD270" s="168"/>
    </row>
    <row r="271" spans="18:30" ht="69.75" customHeight="1" x14ac:dyDescent="0.25">
      <c r="R271" s="25"/>
      <c r="S271" s="25"/>
      <c r="T271" s="25"/>
      <c r="U271" s="25"/>
      <c r="V271" s="25"/>
      <c r="W271" s="25"/>
      <c r="X271" s="25"/>
      <c r="Y271" s="25"/>
      <c r="Z271" s="25"/>
      <c r="AA271" s="25"/>
      <c r="AB271" s="25"/>
      <c r="AC271" s="25"/>
      <c r="AD271" s="168"/>
    </row>
    <row r="272" spans="18:30" ht="69.75" customHeight="1" x14ac:dyDescent="0.25">
      <c r="R272" s="25"/>
      <c r="S272" s="25"/>
      <c r="T272" s="25"/>
      <c r="U272" s="25"/>
      <c r="V272" s="25"/>
      <c r="W272" s="25"/>
      <c r="X272" s="25"/>
      <c r="Y272" s="25"/>
      <c r="Z272" s="25"/>
      <c r="AA272" s="25"/>
      <c r="AB272" s="25"/>
      <c r="AC272" s="25"/>
      <c r="AD272" s="168"/>
    </row>
    <row r="273" spans="18:30" ht="69.75" customHeight="1" x14ac:dyDescent="0.25">
      <c r="R273" s="25"/>
      <c r="S273" s="25"/>
      <c r="T273" s="25"/>
      <c r="U273" s="25"/>
      <c r="V273" s="25"/>
      <c r="W273" s="25"/>
      <c r="X273" s="25"/>
      <c r="Y273" s="25"/>
      <c r="Z273" s="25"/>
      <c r="AA273" s="25"/>
      <c r="AB273" s="25"/>
      <c r="AC273" s="25"/>
      <c r="AD273" s="168"/>
    </row>
    <row r="274" spans="18:30" ht="69.75" customHeight="1" x14ac:dyDescent="0.25">
      <c r="R274" s="25"/>
      <c r="S274" s="25"/>
      <c r="T274" s="25"/>
      <c r="U274" s="25"/>
      <c r="V274" s="25"/>
      <c r="W274" s="25"/>
      <c r="X274" s="25"/>
      <c r="Y274" s="25"/>
      <c r="Z274" s="25"/>
      <c r="AA274" s="25"/>
      <c r="AB274" s="25"/>
      <c r="AC274" s="25"/>
      <c r="AD274" s="168"/>
    </row>
    <row r="275" spans="18:30" ht="69.75" customHeight="1" x14ac:dyDescent="0.25">
      <c r="R275" s="25"/>
      <c r="S275" s="25"/>
      <c r="T275" s="25"/>
      <c r="U275" s="25"/>
      <c r="V275" s="25"/>
      <c r="W275" s="25"/>
      <c r="X275" s="25"/>
      <c r="Y275" s="25"/>
      <c r="Z275" s="25"/>
      <c r="AA275" s="25"/>
      <c r="AB275" s="25"/>
      <c r="AC275" s="25"/>
      <c r="AD275" s="168"/>
    </row>
    <row r="276" spans="18:30" ht="69.75" customHeight="1" x14ac:dyDescent="0.25">
      <c r="R276" s="25"/>
      <c r="S276" s="25"/>
      <c r="T276" s="25"/>
      <c r="U276" s="25"/>
      <c r="V276" s="25"/>
      <c r="W276" s="25"/>
      <c r="X276" s="25"/>
      <c r="Y276" s="25"/>
      <c r="Z276" s="25"/>
      <c r="AA276" s="25"/>
      <c r="AB276" s="25"/>
      <c r="AC276" s="25"/>
      <c r="AD276" s="168"/>
    </row>
    <row r="277" spans="18:30" ht="69.75" customHeight="1" x14ac:dyDescent="0.25">
      <c r="R277" s="25"/>
      <c r="S277" s="25"/>
      <c r="T277" s="25"/>
      <c r="U277" s="25"/>
      <c r="V277" s="25"/>
      <c r="W277" s="25"/>
      <c r="X277" s="25"/>
      <c r="Y277" s="25"/>
      <c r="Z277" s="25"/>
      <c r="AA277" s="25"/>
      <c r="AB277" s="25"/>
      <c r="AC277" s="25"/>
      <c r="AD277" s="168"/>
    </row>
    <row r="278" spans="18:30" ht="69.75" customHeight="1" x14ac:dyDescent="0.25">
      <c r="R278" s="25"/>
      <c r="S278" s="25"/>
      <c r="T278" s="25"/>
      <c r="U278" s="25"/>
      <c r="V278" s="25"/>
      <c r="W278" s="25"/>
      <c r="X278" s="25"/>
      <c r="Y278" s="25"/>
      <c r="Z278" s="25"/>
      <c r="AA278" s="25"/>
      <c r="AB278" s="25"/>
      <c r="AC278" s="25"/>
      <c r="AD278" s="168"/>
    </row>
    <row r="279" spans="18:30" ht="69.75" customHeight="1" x14ac:dyDescent="0.25">
      <c r="R279" s="25"/>
      <c r="S279" s="25"/>
      <c r="T279" s="25"/>
      <c r="U279" s="25"/>
      <c r="V279" s="25"/>
      <c r="W279" s="25"/>
      <c r="X279" s="25"/>
      <c r="Y279" s="25"/>
      <c r="Z279" s="25"/>
      <c r="AA279" s="25"/>
      <c r="AB279" s="25"/>
      <c r="AC279" s="25"/>
      <c r="AD279" s="168"/>
    </row>
    <row r="280" spans="18:30" ht="69.75" customHeight="1" x14ac:dyDescent="0.25">
      <c r="R280" s="25"/>
      <c r="S280" s="25"/>
      <c r="T280" s="25"/>
      <c r="U280" s="25"/>
      <c r="V280" s="25"/>
      <c r="W280" s="25"/>
      <c r="X280" s="25"/>
      <c r="Y280" s="25"/>
      <c r="Z280" s="25"/>
      <c r="AA280" s="25"/>
      <c r="AB280" s="25"/>
      <c r="AC280" s="25"/>
      <c r="AD280" s="168"/>
    </row>
    <row r="281" spans="18:30" ht="69.75" customHeight="1" x14ac:dyDescent="0.25">
      <c r="R281" s="25"/>
      <c r="S281" s="25"/>
      <c r="T281" s="25"/>
      <c r="U281" s="25"/>
      <c r="V281" s="25"/>
      <c r="W281" s="25"/>
      <c r="X281" s="25"/>
      <c r="Y281" s="25"/>
      <c r="Z281" s="25"/>
      <c r="AA281" s="25"/>
      <c r="AB281" s="25"/>
      <c r="AC281" s="25"/>
      <c r="AD281" s="168"/>
    </row>
    <row r="282" spans="18:30" ht="69.75" customHeight="1" x14ac:dyDescent="0.25">
      <c r="R282" s="25"/>
      <c r="S282" s="25"/>
      <c r="T282" s="25"/>
      <c r="U282" s="25"/>
      <c r="V282" s="25"/>
      <c r="W282" s="25"/>
      <c r="X282" s="25"/>
      <c r="Y282" s="25"/>
      <c r="Z282" s="25"/>
      <c r="AA282" s="25"/>
      <c r="AB282" s="25"/>
      <c r="AC282" s="25"/>
      <c r="AD282" s="168"/>
    </row>
    <row r="283" spans="18:30" ht="69.75" customHeight="1" x14ac:dyDescent="0.25">
      <c r="R283" s="25"/>
      <c r="S283" s="25"/>
      <c r="T283" s="25"/>
      <c r="U283" s="25"/>
      <c r="V283" s="25"/>
      <c r="W283" s="25"/>
      <c r="X283" s="25"/>
      <c r="Y283" s="25"/>
      <c r="Z283" s="25"/>
      <c r="AA283" s="25"/>
      <c r="AB283" s="25"/>
      <c r="AC283" s="25"/>
      <c r="AD283" s="168"/>
    </row>
    <row r="284" spans="18:30" ht="69.75" customHeight="1" x14ac:dyDescent="0.25">
      <c r="R284" s="25"/>
      <c r="S284" s="25"/>
      <c r="T284" s="25"/>
      <c r="U284" s="25"/>
      <c r="V284" s="25"/>
      <c r="W284" s="25"/>
      <c r="X284" s="25"/>
      <c r="Y284" s="25"/>
      <c r="Z284" s="25"/>
      <c r="AA284" s="25"/>
      <c r="AB284" s="25"/>
      <c r="AC284" s="25"/>
      <c r="AD284" s="168"/>
    </row>
    <row r="285" spans="18:30" ht="69.75" customHeight="1" x14ac:dyDescent="0.25">
      <c r="R285" s="25"/>
      <c r="S285" s="25"/>
      <c r="T285" s="25"/>
      <c r="U285" s="25"/>
      <c r="V285" s="25"/>
      <c r="W285" s="25"/>
      <c r="X285" s="25"/>
      <c r="Y285" s="25"/>
      <c r="Z285" s="25"/>
      <c r="AA285" s="25"/>
      <c r="AB285" s="25"/>
      <c r="AC285" s="25"/>
      <c r="AD285" s="168"/>
    </row>
    <row r="286" spans="18:30" ht="69.75" customHeight="1" x14ac:dyDescent="0.25">
      <c r="R286" s="25"/>
      <c r="S286" s="25"/>
      <c r="T286" s="25"/>
      <c r="U286" s="25"/>
      <c r="V286" s="25"/>
      <c r="W286" s="25"/>
      <c r="X286" s="25"/>
      <c r="Y286" s="25"/>
      <c r="Z286" s="25"/>
      <c r="AA286" s="25"/>
      <c r="AB286" s="25"/>
      <c r="AC286" s="25"/>
      <c r="AD286" s="168"/>
    </row>
    <row r="287" spans="18:30" ht="69.75" customHeight="1" x14ac:dyDescent="0.25">
      <c r="R287" s="25"/>
      <c r="S287" s="25"/>
      <c r="T287" s="25"/>
      <c r="U287" s="25"/>
      <c r="V287" s="25"/>
      <c r="W287" s="25"/>
      <c r="X287" s="25"/>
      <c r="Y287" s="25"/>
      <c r="Z287" s="25"/>
      <c r="AA287" s="25"/>
      <c r="AB287" s="25"/>
      <c r="AC287" s="25"/>
      <c r="AD287" s="168"/>
    </row>
    <row r="288" spans="18:30" ht="69.75" customHeight="1" x14ac:dyDescent="0.25">
      <c r="R288" s="25"/>
      <c r="S288" s="25"/>
      <c r="T288" s="25"/>
      <c r="U288" s="25"/>
      <c r="V288" s="25"/>
      <c r="W288" s="25"/>
      <c r="X288" s="25"/>
      <c r="Y288" s="25"/>
      <c r="Z288" s="25"/>
      <c r="AA288" s="25"/>
      <c r="AB288" s="25"/>
      <c r="AC288" s="25"/>
      <c r="AD288" s="168"/>
    </row>
    <row r="289" spans="18:30" ht="69.75" customHeight="1" x14ac:dyDescent="0.25">
      <c r="R289" s="25"/>
      <c r="S289" s="25"/>
      <c r="T289" s="25"/>
      <c r="U289" s="25"/>
      <c r="V289" s="25"/>
      <c r="W289" s="25"/>
      <c r="X289" s="25"/>
      <c r="Y289" s="25"/>
      <c r="Z289" s="25"/>
      <c r="AA289" s="25"/>
      <c r="AB289" s="25"/>
      <c r="AC289" s="25"/>
      <c r="AD289" s="168"/>
    </row>
    <row r="290" spans="18:30" ht="69.75" customHeight="1" x14ac:dyDescent="0.25">
      <c r="R290" s="25"/>
      <c r="S290" s="25"/>
      <c r="T290" s="25"/>
      <c r="U290" s="25"/>
      <c r="V290" s="25"/>
      <c r="W290" s="25"/>
      <c r="X290" s="25"/>
      <c r="Y290" s="25"/>
      <c r="Z290" s="25"/>
      <c r="AA290" s="25"/>
      <c r="AB290" s="25"/>
      <c r="AC290" s="25"/>
      <c r="AD290" s="168"/>
    </row>
    <row r="291" spans="18:30" ht="69.75" customHeight="1" x14ac:dyDescent="0.25">
      <c r="R291" s="25"/>
      <c r="S291" s="25"/>
      <c r="T291" s="25"/>
      <c r="U291" s="25"/>
      <c r="V291" s="25"/>
      <c r="W291" s="25"/>
      <c r="X291" s="25"/>
      <c r="Y291" s="25"/>
      <c r="Z291" s="25"/>
      <c r="AA291" s="25"/>
      <c r="AB291" s="25"/>
      <c r="AC291" s="25"/>
      <c r="AD291" s="168"/>
    </row>
    <row r="292" spans="18:30" ht="69.75" customHeight="1" x14ac:dyDescent="0.25">
      <c r="R292" s="25"/>
      <c r="S292" s="25"/>
      <c r="T292" s="25"/>
      <c r="U292" s="25"/>
      <c r="V292" s="25"/>
      <c r="W292" s="25"/>
      <c r="X292" s="25"/>
      <c r="Y292" s="25"/>
      <c r="Z292" s="25"/>
      <c r="AA292" s="25"/>
      <c r="AB292" s="25"/>
      <c r="AC292" s="25"/>
      <c r="AD292" s="168"/>
    </row>
    <row r="293" spans="18:30" ht="69.75" customHeight="1" x14ac:dyDescent="0.25">
      <c r="R293" s="25"/>
      <c r="S293" s="25"/>
      <c r="T293" s="25"/>
      <c r="U293" s="25"/>
      <c r="V293" s="25"/>
      <c r="W293" s="25"/>
      <c r="X293" s="25"/>
      <c r="Y293" s="25"/>
      <c r="Z293" s="25"/>
      <c r="AA293" s="25"/>
      <c r="AB293" s="25"/>
      <c r="AC293" s="25"/>
      <c r="AD293" s="168"/>
    </row>
    <row r="294" spans="18:30" ht="69.75" customHeight="1" x14ac:dyDescent="0.25">
      <c r="R294" s="25"/>
      <c r="S294" s="25"/>
      <c r="T294" s="25"/>
      <c r="U294" s="25"/>
      <c r="V294" s="25"/>
      <c r="W294" s="25"/>
      <c r="X294" s="25"/>
      <c r="Y294" s="25"/>
      <c r="Z294" s="25"/>
      <c r="AA294" s="25"/>
      <c r="AB294" s="25"/>
      <c r="AC294" s="25"/>
      <c r="AD294" s="168"/>
    </row>
    <row r="295" spans="18:30" ht="69.75" customHeight="1" x14ac:dyDescent="0.25">
      <c r="R295" s="25"/>
      <c r="S295" s="25"/>
      <c r="T295" s="25"/>
      <c r="U295" s="25"/>
      <c r="V295" s="25"/>
      <c r="W295" s="25"/>
      <c r="X295" s="25"/>
      <c r="Y295" s="25"/>
      <c r="Z295" s="25"/>
      <c r="AA295" s="25"/>
      <c r="AB295" s="25"/>
      <c r="AC295" s="25"/>
      <c r="AD295" s="168"/>
    </row>
    <row r="296" spans="18:30" ht="69.75" customHeight="1" x14ac:dyDescent="0.25">
      <c r="R296" s="25"/>
      <c r="S296" s="25"/>
      <c r="T296" s="25"/>
      <c r="U296" s="25"/>
      <c r="V296" s="25"/>
      <c r="W296" s="25"/>
      <c r="X296" s="25"/>
      <c r="Y296" s="25"/>
      <c r="Z296" s="25"/>
      <c r="AA296" s="25"/>
      <c r="AB296" s="25"/>
      <c r="AC296" s="25"/>
      <c r="AD296" s="168"/>
    </row>
    <row r="297" spans="18:30" ht="69.75" customHeight="1" x14ac:dyDescent="0.25">
      <c r="R297" s="25"/>
      <c r="S297" s="25"/>
      <c r="T297" s="25"/>
      <c r="U297" s="25"/>
      <c r="V297" s="25"/>
      <c r="W297" s="25"/>
      <c r="X297" s="25"/>
      <c r="Y297" s="25"/>
      <c r="Z297" s="25"/>
      <c r="AA297" s="25"/>
      <c r="AB297" s="25"/>
      <c r="AC297" s="25"/>
      <c r="AD297" s="168"/>
    </row>
    <row r="298" spans="18:30" ht="69.75" customHeight="1" x14ac:dyDescent="0.25">
      <c r="R298" s="25"/>
      <c r="S298" s="25"/>
      <c r="T298" s="25"/>
      <c r="U298" s="25"/>
      <c r="V298" s="25"/>
      <c r="W298" s="25"/>
      <c r="X298" s="25"/>
      <c r="Y298" s="25"/>
      <c r="Z298" s="25"/>
      <c r="AA298" s="25"/>
      <c r="AB298" s="25"/>
      <c r="AC298" s="25"/>
      <c r="AD298" s="168"/>
    </row>
    <row r="299" spans="18:30" ht="69.75" customHeight="1" x14ac:dyDescent="0.25">
      <c r="R299" s="25"/>
      <c r="S299" s="25"/>
      <c r="T299" s="25"/>
      <c r="U299" s="25"/>
      <c r="V299" s="25"/>
      <c r="W299" s="25"/>
      <c r="X299" s="25"/>
      <c r="Y299" s="25"/>
      <c r="Z299" s="25"/>
      <c r="AA299" s="25"/>
      <c r="AB299" s="25"/>
      <c r="AC299" s="25"/>
      <c r="AD299" s="168"/>
    </row>
    <row r="300" spans="18:30" ht="69.75" customHeight="1" x14ac:dyDescent="0.25">
      <c r="R300" s="25"/>
      <c r="S300" s="25"/>
      <c r="T300" s="25"/>
      <c r="U300" s="25"/>
      <c r="V300" s="25"/>
      <c r="W300" s="25"/>
      <c r="X300" s="25"/>
      <c r="Y300" s="25"/>
      <c r="Z300" s="25"/>
      <c r="AA300" s="25"/>
      <c r="AB300" s="25"/>
      <c r="AC300" s="25"/>
      <c r="AD300" s="168"/>
    </row>
    <row r="301" spans="18:30" ht="69.75" customHeight="1" x14ac:dyDescent="0.25">
      <c r="R301" s="25"/>
      <c r="S301" s="25"/>
      <c r="T301" s="25"/>
      <c r="U301" s="25"/>
      <c r="V301" s="25"/>
      <c r="W301" s="25"/>
      <c r="X301" s="25"/>
      <c r="Y301" s="25"/>
      <c r="Z301" s="25"/>
      <c r="AA301" s="25"/>
      <c r="AB301" s="25"/>
      <c r="AC301" s="25"/>
      <c r="AD301" s="168"/>
    </row>
    <row r="302" spans="18:30" ht="69.75" customHeight="1" x14ac:dyDescent="0.25">
      <c r="R302" s="25"/>
      <c r="S302" s="25"/>
      <c r="T302" s="25"/>
      <c r="U302" s="25"/>
      <c r="V302" s="25"/>
      <c r="W302" s="25"/>
      <c r="X302" s="25"/>
      <c r="Y302" s="25"/>
      <c r="Z302" s="25"/>
      <c r="AA302" s="25"/>
      <c r="AB302" s="25"/>
      <c r="AC302" s="25"/>
      <c r="AD302" s="168"/>
    </row>
    <row r="303" spans="18:30" ht="69.75" customHeight="1" x14ac:dyDescent="0.25">
      <c r="R303" s="25"/>
      <c r="S303" s="25"/>
      <c r="T303" s="25"/>
      <c r="U303" s="25"/>
      <c r="V303" s="25"/>
      <c r="W303" s="25"/>
      <c r="X303" s="25"/>
      <c r="Y303" s="25"/>
      <c r="Z303" s="25"/>
      <c r="AA303" s="25"/>
      <c r="AB303" s="25"/>
      <c r="AC303" s="25"/>
      <c r="AD303" s="168"/>
    </row>
    <row r="304" spans="18:30" ht="69.75" customHeight="1" x14ac:dyDescent="0.25">
      <c r="R304" s="25"/>
      <c r="S304" s="25"/>
      <c r="T304" s="25"/>
      <c r="U304" s="25"/>
      <c r="V304" s="25"/>
      <c r="W304" s="25"/>
      <c r="X304" s="25"/>
      <c r="Y304" s="25"/>
      <c r="Z304" s="25"/>
      <c r="AA304" s="25"/>
      <c r="AB304" s="25"/>
      <c r="AC304" s="25"/>
      <c r="AD304" s="168"/>
    </row>
    <row r="305" spans="18:30" ht="69.75" customHeight="1" x14ac:dyDescent="0.25">
      <c r="R305" s="25"/>
      <c r="S305" s="25"/>
      <c r="T305" s="25"/>
      <c r="U305" s="25"/>
      <c r="V305" s="25"/>
      <c r="W305" s="25"/>
      <c r="X305" s="25"/>
      <c r="Y305" s="25"/>
      <c r="Z305" s="25"/>
      <c r="AA305" s="25"/>
      <c r="AB305" s="25"/>
      <c r="AC305" s="25"/>
      <c r="AD305" s="168"/>
    </row>
    <row r="306" spans="18:30" ht="69.75" customHeight="1" x14ac:dyDescent="0.25">
      <c r="R306" s="25"/>
      <c r="S306" s="25"/>
      <c r="T306" s="25"/>
      <c r="U306" s="25"/>
      <c r="V306" s="25"/>
      <c r="W306" s="25"/>
      <c r="X306" s="25"/>
      <c r="Y306" s="25"/>
      <c r="Z306" s="25"/>
      <c r="AA306" s="25"/>
      <c r="AB306" s="25"/>
      <c r="AC306" s="25"/>
      <c r="AD306" s="168"/>
    </row>
    <row r="307" spans="18:30" ht="69.75" customHeight="1" x14ac:dyDescent="0.25">
      <c r="R307" s="25"/>
      <c r="S307" s="25"/>
      <c r="T307" s="25"/>
      <c r="U307" s="25"/>
      <c r="V307" s="25"/>
      <c r="W307" s="25"/>
      <c r="X307" s="25"/>
      <c r="Y307" s="25"/>
      <c r="Z307" s="25"/>
      <c r="AA307" s="25"/>
      <c r="AB307" s="25"/>
      <c r="AC307" s="25"/>
      <c r="AD307" s="168"/>
    </row>
    <row r="308" spans="18:30" ht="69.75" customHeight="1" x14ac:dyDescent="0.25">
      <c r="R308" s="25"/>
      <c r="S308" s="25"/>
      <c r="T308" s="25"/>
      <c r="U308" s="25"/>
      <c r="V308" s="25"/>
      <c r="W308" s="25"/>
      <c r="X308" s="25"/>
      <c r="Y308" s="25"/>
      <c r="Z308" s="25"/>
      <c r="AA308" s="25"/>
      <c r="AB308" s="25"/>
      <c r="AC308" s="25"/>
      <c r="AD308" s="168"/>
    </row>
    <row r="309" spans="18:30" ht="69.75" customHeight="1" x14ac:dyDescent="0.25">
      <c r="R309" s="25"/>
      <c r="S309" s="25"/>
      <c r="T309" s="25"/>
      <c r="U309" s="25"/>
      <c r="V309" s="25"/>
      <c r="W309" s="25"/>
      <c r="X309" s="25"/>
      <c r="Y309" s="25"/>
      <c r="Z309" s="25"/>
      <c r="AA309" s="25"/>
      <c r="AB309" s="25"/>
      <c r="AC309" s="25"/>
      <c r="AD309" s="168"/>
    </row>
    <row r="310" spans="18:30" ht="69.75" customHeight="1" x14ac:dyDescent="0.25">
      <c r="R310" s="25"/>
      <c r="S310" s="25"/>
      <c r="T310" s="25"/>
      <c r="U310" s="25"/>
      <c r="V310" s="25"/>
      <c r="W310" s="25"/>
      <c r="X310" s="25"/>
      <c r="Y310" s="25"/>
      <c r="Z310" s="25"/>
      <c r="AA310" s="25"/>
      <c r="AB310" s="25"/>
      <c r="AC310" s="25"/>
      <c r="AD310" s="168"/>
    </row>
    <row r="311" spans="18:30" ht="69.75" customHeight="1" x14ac:dyDescent="0.25">
      <c r="R311" s="25"/>
      <c r="S311" s="25"/>
      <c r="T311" s="25"/>
      <c r="U311" s="25"/>
      <c r="V311" s="25"/>
      <c r="W311" s="25"/>
      <c r="X311" s="25"/>
      <c r="Y311" s="25"/>
      <c r="Z311" s="25"/>
      <c r="AA311" s="25"/>
      <c r="AB311" s="25"/>
      <c r="AC311" s="25"/>
      <c r="AD311" s="168"/>
    </row>
    <row r="312" spans="18:30" ht="69.75" customHeight="1" x14ac:dyDescent="0.25">
      <c r="R312" s="25"/>
      <c r="S312" s="25"/>
      <c r="T312" s="25"/>
      <c r="U312" s="25"/>
      <c r="V312" s="25"/>
      <c r="W312" s="25"/>
      <c r="X312" s="25"/>
      <c r="Y312" s="25"/>
      <c r="Z312" s="25"/>
      <c r="AA312" s="25"/>
      <c r="AB312" s="25"/>
      <c r="AC312" s="25"/>
      <c r="AD312" s="168"/>
    </row>
    <row r="313" spans="18:30" ht="69.75" customHeight="1" x14ac:dyDescent="0.25">
      <c r="R313" s="25"/>
      <c r="S313" s="25"/>
      <c r="T313" s="25"/>
      <c r="U313" s="25"/>
      <c r="V313" s="25"/>
      <c r="W313" s="25"/>
      <c r="X313" s="25"/>
      <c r="Y313" s="25"/>
      <c r="Z313" s="25"/>
      <c r="AA313" s="25"/>
      <c r="AB313" s="25"/>
      <c r="AC313" s="25"/>
      <c r="AD313" s="168"/>
    </row>
    <row r="314" spans="18:30" ht="69.75" customHeight="1" x14ac:dyDescent="0.25">
      <c r="R314" s="25"/>
      <c r="S314" s="25"/>
      <c r="T314" s="25"/>
      <c r="U314" s="25"/>
      <c r="V314" s="25"/>
      <c r="W314" s="25"/>
      <c r="X314" s="25"/>
      <c r="Y314" s="25"/>
      <c r="Z314" s="25"/>
      <c r="AA314" s="25"/>
      <c r="AB314" s="25"/>
      <c r="AC314" s="25"/>
      <c r="AD314" s="168"/>
    </row>
    <row r="315" spans="18:30" ht="69.75" customHeight="1" x14ac:dyDescent="0.25">
      <c r="R315" s="25"/>
      <c r="S315" s="25"/>
      <c r="T315" s="25"/>
      <c r="U315" s="25"/>
      <c r="V315" s="25"/>
      <c r="W315" s="25"/>
      <c r="X315" s="25"/>
      <c r="Y315" s="25"/>
      <c r="Z315" s="25"/>
      <c r="AA315" s="25"/>
      <c r="AB315" s="25"/>
      <c r="AC315" s="25"/>
      <c r="AD315" s="168"/>
    </row>
    <row r="316" spans="18:30" ht="69.75" customHeight="1" x14ac:dyDescent="0.25">
      <c r="R316" s="25"/>
      <c r="S316" s="25"/>
      <c r="T316" s="25"/>
      <c r="U316" s="25"/>
      <c r="V316" s="25"/>
      <c r="W316" s="25"/>
      <c r="X316" s="25"/>
      <c r="Y316" s="25"/>
      <c r="Z316" s="25"/>
      <c r="AA316" s="25"/>
      <c r="AB316" s="25"/>
      <c r="AC316" s="25"/>
      <c r="AD316" s="168"/>
    </row>
    <row r="317" spans="18:30" ht="69.75" customHeight="1" x14ac:dyDescent="0.25">
      <c r="R317" s="25"/>
      <c r="S317" s="25"/>
      <c r="T317" s="25"/>
      <c r="U317" s="25"/>
      <c r="V317" s="25"/>
      <c r="W317" s="25"/>
      <c r="X317" s="25"/>
      <c r="Y317" s="25"/>
      <c r="Z317" s="25"/>
      <c r="AA317" s="25"/>
      <c r="AB317" s="25"/>
      <c r="AC317" s="25"/>
      <c r="AD317" s="168"/>
    </row>
    <row r="318" spans="18:30" ht="69.75" customHeight="1" x14ac:dyDescent="0.25">
      <c r="R318" s="25"/>
      <c r="S318" s="25"/>
      <c r="T318" s="25"/>
      <c r="U318" s="25"/>
      <c r="V318" s="25"/>
      <c r="W318" s="25"/>
      <c r="X318" s="25"/>
      <c r="Y318" s="25"/>
      <c r="Z318" s="25"/>
      <c r="AA318" s="25"/>
      <c r="AB318" s="25"/>
      <c r="AC318" s="25"/>
      <c r="AD318" s="168"/>
    </row>
    <row r="319" spans="18:30" ht="69.75" customHeight="1" x14ac:dyDescent="0.25">
      <c r="R319" s="25"/>
      <c r="S319" s="25"/>
      <c r="T319" s="25"/>
      <c r="U319" s="25"/>
      <c r="V319" s="25"/>
      <c r="W319" s="25"/>
      <c r="X319" s="25"/>
      <c r="Y319" s="25"/>
      <c r="Z319" s="25"/>
      <c r="AA319" s="25"/>
      <c r="AB319" s="25"/>
      <c r="AC319" s="25"/>
      <c r="AD319" s="168"/>
    </row>
    <row r="320" spans="18:30" ht="69.75" customHeight="1" x14ac:dyDescent="0.25">
      <c r="R320" s="25"/>
      <c r="S320" s="25"/>
      <c r="T320" s="25"/>
      <c r="U320" s="25"/>
      <c r="V320" s="25"/>
      <c r="W320" s="25"/>
      <c r="X320" s="25"/>
      <c r="Y320" s="25"/>
      <c r="Z320" s="25"/>
      <c r="AA320" s="25"/>
      <c r="AB320" s="25"/>
      <c r="AC320" s="25"/>
      <c r="AD320" s="168"/>
    </row>
    <row r="321" spans="18:30" ht="69.75" customHeight="1" x14ac:dyDescent="0.25">
      <c r="R321" s="25"/>
      <c r="S321" s="25"/>
      <c r="T321" s="25"/>
      <c r="U321" s="25"/>
      <c r="V321" s="25"/>
      <c r="W321" s="25"/>
      <c r="X321" s="25"/>
      <c r="Y321" s="25"/>
      <c r="Z321" s="25"/>
      <c r="AA321" s="25"/>
      <c r="AB321" s="25"/>
      <c r="AC321" s="25"/>
      <c r="AD321" s="168"/>
    </row>
    <row r="322" spans="18:30" ht="69.75" customHeight="1" x14ac:dyDescent="0.25">
      <c r="R322" s="25"/>
      <c r="S322" s="25"/>
      <c r="T322" s="25"/>
      <c r="U322" s="25"/>
      <c r="V322" s="25"/>
      <c r="W322" s="25"/>
      <c r="X322" s="25"/>
      <c r="Y322" s="25"/>
      <c r="Z322" s="25"/>
      <c r="AA322" s="25"/>
      <c r="AB322" s="25"/>
      <c r="AC322" s="25"/>
      <c r="AD322" s="168"/>
    </row>
    <row r="323" spans="18:30" ht="69.75" customHeight="1" x14ac:dyDescent="0.25">
      <c r="R323" s="25"/>
      <c r="S323" s="25"/>
      <c r="T323" s="25"/>
      <c r="U323" s="25"/>
      <c r="V323" s="25"/>
      <c r="W323" s="25"/>
      <c r="X323" s="25"/>
      <c r="Y323" s="25"/>
      <c r="Z323" s="25"/>
      <c r="AA323" s="25"/>
      <c r="AB323" s="25"/>
      <c r="AC323" s="25"/>
      <c r="AD323" s="168"/>
    </row>
    <row r="324" spans="18:30" ht="69.75" customHeight="1" x14ac:dyDescent="0.25">
      <c r="R324" s="25"/>
      <c r="S324" s="25"/>
      <c r="T324" s="25"/>
      <c r="U324" s="25"/>
      <c r="V324" s="25"/>
      <c r="W324" s="25"/>
      <c r="X324" s="25"/>
      <c r="Y324" s="25"/>
      <c r="Z324" s="25"/>
      <c r="AA324" s="25"/>
      <c r="AB324" s="25"/>
      <c r="AC324" s="25"/>
      <c r="AD324" s="168"/>
    </row>
    <row r="325" spans="18:30" ht="69.75" customHeight="1" x14ac:dyDescent="0.25">
      <c r="R325" s="25"/>
      <c r="S325" s="25"/>
      <c r="T325" s="25"/>
      <c r="U325" s="25"/>
      <c r="V325" s="25"/>
      <c r="W325" s="25"/>
      <c r="X325" s="25"/>
      <c r="Y325" s="25"/>
      <c r="Z325" s="25"/>
      <c r="AA325" s="25"/>
      <c r="AB325" s="25"/>
      <c r="AC325" s="25"/>
      <c r="AD325" s="168"/>
    </row>
    <row r="326" spans="18:30" ht="69.75" customHeight="1" x14ac:dyDescent="0.25">
      <c r="R326" s="25"/>
      <c r="S326" s="25"/>
      <c r="T326" s="25"/>
      <c r="U326" s="25"/>
      <c r="V326" s="25"/>
      <c r="W326" s="25"/>
      <c r="X326" s="25"/>
      <c r="Y326" s="25"/>
      <c r="Z326" s="25"/>
      <c r="AA326" s="25"/>
      <c r="AB326" s="25"/>
      <c r="AC326" s="25"/>
      <c r="AD326" s="168"/>
    </row>
    <row r="327" spans="18:30" ht="69.75" customHeight="1" x14ac:dyDescent="0.25">
      <c r="R327" s="25"/>
      <c r="S327" s="25"/>
      <c r="T327" s="25"/>
      <c r="U327" s="25"/>
      <c r="V327" s="25"/>
      <c r="W327" s="25"/>
      <c r="X327" s="25"/>
      <c r="Y327" s="25"/>
      <c r="Z327" s="25"/>
      <c r="AA327" s="25"/>
      <c r="AB327" s="25"/>
      <c r="AC327" s="25"/>
      <c r="AD327" s="168"/>
    </row>
    <row r="328" spans="18:30" ht="69.75" customHeight="1" x14ac:dyDescent="0.25">
      <c r="R328" s="25"/>
      <c r="S328" s="25"/>
      <c r="T328" s="25"/>
      <c r="U328" s="25"/>
      <c r="V328" s="25"/>
      <c r="W328" s="25"/>
      <c r="X328" s="25"/>
      <c r="Y328" s="25"/>
      <c r="Z328" s="25"/>
      <c r="AA328" s="25"/>
      <c r="AB328" s="25"/>
      <c r="AC328" s="25"/>
      <c r="AD328" s="168"/>
    </row>
    <row r="329" spans="18:30" ht="69.75" customHeight="1" x14ac:dyDescent="0.25">
      <c r="R329" s="25"/>
      <c r="S329" s="25"/>
      <c r="T329" s="25"/>
      <c r="U329" s="25"/>
      <c r="V329" s="25"/>
      <c r="W329" s="25"/>
      <c r="X329" s="25"/>
      <c r="Y329" s="25"/>
      <c r="Z329" s="25"/>
      <c r="AA329" s="25"/>
      <c r="AB329" s="25"/>
      <c r="AC329" s="25"/>
      <c r="AD329" s="168"/>
    </row>
    <row r="330" spans="18:30" ht="69.75" customHeight="1" x14ac:dyDescent="0.25">
      <c r="R330" s="25"/>
      <c r="S330" s="25"/>
      <c r="T330" s="25"/>
      <c r="U330" s="25"/>
      <c r="V330" s="25"/>
      <c r="W330" s="25"/>
      <c r="X330" s="25"/>
      <c r="Y330" s="25"/>
      <c r="Z330" s="25"/>
      <c r="AA330" s="25"/>
      <c r="AB330" s="25"/>
      <c r="AC330" s="25"/>
      <c r="AD330" s="168"/>
    </row>
    <row r="331" spans="18:30" ht="69.75" customHeight="1" x14ac:dyDescent="0.25">
      <c r="R331" s="25"/>
      <c r="S331" s="25"/>
      <c r="T331" s="25"/>
      <c r="U331" s="25"/>
      <c r="V331" s="25"/>
      <c r="W331" s="25"/>
      <c r="X331" s="25"/>
      <c r="Y331" s="25"/>
      <c r="Z331" s="25"/>
      <c r="AA331" s="25"/>
      <c r="AB331" s="25"/>
      <c r="AC331" s="25"/>
      <c r="AD331" s="168"/>
    </row>
    <row r="332" spans="18:30" ht="69.75" customHeight="1" x14ac:dyDescent="0.25">
      <c r="R332" s="25"/>
      <c r="S332" s="25"/>
      <c r="T332" s="25"/>
      <c r="U332" s="25"/>
      <c r="V332" s="25"/>
      <c r="W332" s="25"/>
      <c r="X332" s="25"/>
      <c r="Y332" s="25"/>
      <c r="Z332" s="25"/>
      <c r="AA332" s="25"/>
      <c r="AB332" s="25"/>
      <c r="AC332" s="25"/>
      <c r="AD332" s="168"/>
    </row>
    <row r="333" spans="18:30" ht="69.75" customHeight="1" x14ac:dyDescent="0.25">
      <c r="R333" s="25"/>
      <c r="S333" s="25"/>
      <c r="T333" s="25"/>
      <c r="U333" s="25"/>
      <c r="V333" s="25"/>
      <c r="W333" s="25"/>
      <c r="X333" s="25"/>
      <c r="Y333" s="25"/>
      <c r="Z333" s="25"/>
      <c r="AA333" s="25"/>
      <c r="AB333" s="25"/>
      <c r="AC333" s="25"/>
      <c r="AD333" s="168"/>
    </row>
    <row r="334" spans="18:30" ht="69.75" customHeight="1" x14ac:dyDescent="0.25">
      <c r="R334" s="25"/>
      <c r="S334" s="25"/>
      <c r="T334" s="25"/>
      <c r="U334" s="25"/>
      <c r="V334" s="25"/>
      <c r="W334" s="25"/>
      <c r="X334" s="25"/>
      <c r="Y334" s="25"/>
      <c r="Z334" s="25"/>
      <c r="AA334" s="25"/>
      <c r="AB334" s="25"/>
      <c r="AC334" s="25"/>
      <c r="AD334" s="168"/>
    </row>
    <row r="335" spans="18:30" ht="69.75" customHeight="1" x14ac:dyDescent="0.25">
      <c r="R335" s="25"/>
      <c r="S335" s="25"/>
      <c r="T335" s="25"/>
      <c r="U335" s="25"/>
      <c r="V335" s="25"/>
      <c r="W335" s="25"/>
      <c r="X335" s="25"/>
      <c r="Y335" s="25"/>
      <c r="Z335" s="25"/>
      <c r="AA335" s="25"/>
      <c r="AB335" s="25"/>
      <c r="AC335" s="25"/>
      <c r="AD335" s="168"/>
    </row>
    <row r="336" spans="18:30" ht="69.75" customHeight="1" x14ac:dyDescent="0.25">
      <c r="R336" s="25"/>
      <c r="S336" s="25"/>
      <c r="T336" s="25"/>
      <c r="U336" s="25"/>
      <c r="V336" s="25"/>
      <c r="W336" s="25"/>
      <c r="X336" s="25"/>
      <c r="Y336" s="25"/>
      <c r="Z336" s="25"/>
      <c r="AA336" s="25"/>
      <c r="AB336" s="25"/>
      <c r="AC336" s="25"/>
      <c r="AD336" s="168"/>
    </row>
    <row r="337" spans="18:30" ht="69.75" customHeight="1" x14ac:dyDescent="0.25">
      <c r="R337" s="25"/>
      <c r="S337" s="25"/>
      <c r="T337" s="25"/>
      <c r="U337" s="25"/>
      <c r="V337" s="25"/>
      <c r="W337" s="25"/>
      <c r="X337" s="25"/>
      <c r="Y337" s="25"/>
      <c r="Z337" s="25"/>
      <c r="AA337" s="25"/>
      <c r="AB337" s="25"/>
      <c r="AC337" s="25"/>
      <c r="AD337" s="168"/>
    </row>
    <row r="338" spans="18:30" ht="69.75" customHeight="1" x14ac:dyDescent="0.25">
      <c r="R338" s="25"/>
      <c r="S338" s="25"/>
      <c r="T338" s="25"/>
      <c r="U338" s="25"/>
      <c r="V338" s="25"/>
      <c r="W338" s="25"/>
      <c r="X338" s="25"/>
      <c r="Y338" s="25"/>
      <c r="Z338" s="25"/>
      <c r="AA338" s="25"/>
      <c r="AB338" s="25"/>
      <c r="AC338" s="25"/>
      <c r="AD338" s="168"/>
    </row>
    <row r="339" spans="18:30" ht="69.75" customHeight="1" x14ac:dyDescent="0.25">
      <c r="R339" s="25"/>
      <c r="S339" s="25"/>
      <c r="T339" s="25"/>
      <c r="U339" s="25"/>
      <c r="V339" s="25"/>
      <c r="W339" s="25"/>
      <c r="X339" s="25"/>
      <c r="Y339" s="25"/>
      <c r="Z339" s="25"/>
      <c r="AA339" s="25"/>
      <c r="AB339" s="25"/>
      <c r="AC339" s="25"/>
      <c r="AD339" s="168"/>
    </row>
    <row r="340" spans="18:30" ht="69.75" customHeight="1" x14ac:dyDescent="0.25">
      <c r="R340" s="25"/>
      <c r="S340" s="25"/>
      <c r="T340" s="25"/>
      <c r="U340" s="25"/>
      <c r="V340" s="25"/>
      <c r="W340" s="25"/>
      <c r="X340" s="25"/>
      <c r="Y340" s="25"/>
      <c r="Z340" s="25"/>
      <c r="AA340" s="25"/>
      <c r="AB340" s="25"/>
      <c r="AC340" s="25"/>
      <c r="AD340" s="168"/>
    </row>
    <row r="341" spans="18:30" ht="69.75" customHeight="1" x14ac:dyDescent="0.25">
      <c r="R341" s="25"/>
      <c r="S341" s="25"/>
      <c r="T341" s="25"/>
      <c r="U341" s="25"/>
      <c r="V341" s="25"/>
      <c r="W341" s="25"/>
      <c r="X341" s="25"/>
      <c r="Y341" s="25"/>
      <c r="Z341" s="25"/>
      <c r="AA341" s="25"/>
      <c r="AB341" s="25"/>
      <c r="AC341" s="25"/>
      <c r="AD341" s="168"/>
    </row>
    <row r="342" spans="18:30" ht="69.75" customHeight="1" x14ac:dyDescent="0.25">
      <c r="R342" s="25"/>
      <c r="S342" s="25"/>
      <c r="T342" s="25"/>
      <c r="U342" s="25"/>
      <c r="V342" s="25"/>
      <c r="W342" s="25"/>
      <c r="X342" s="25"/>
      <c r="Y342" s="25"/>
      <c r="Z342" s="25"/>
      <c r="AA342" s="25"/>
      <c r="AB342" s="25"/>
      <c r="AC342" s="25"/>
      <c r="AD342" s="168"/>
    </row>
    <row r="343" spans="18:30" ht="69.75" customHeight="1" x14ac:dyDescent="0.25">
      <c r="R343" s="25"/>
      <c r="S343" s="25"/>
      <c r="T343" s="25"/>
      <c r="U343" s="25"/>
      <c r="V343" s="25"/>
      <c r="W343" s="25"/>
      <c r="X343" s="25"/>
      <c r="Y343" s="25"/>
      <c r="Z343" s="25"/>
      <c r="AA343" s="25"/>
      <c r="AB343" s="25"/>
      <c r="AC343" s="25"/>
      <c r="AD343" s="168"/>
    </row>
    <row r="344" spans="18:30" ht="69.75" customHeight="1" x14ac:dyDescent="0.25">
      <c r="R344" s="25"/>
      <c r="S344" s="25"/>
      <c r="T344" s="25"/>
      <c r="U344" s="25"/>
      <c r="V344" s="25"/>
      <c r="W344" s="25"/>
      <c r="X344" s="25"/>
      <c r="Y344" s="25"/>
      <c r="Z344" s="25"/>
      <c r="AA344" s="25"/>
      <c r="AB344" s="25"/>
      <c r="AC344" s="25"/>
      <c r="AD344" s="168"/>
    </row>
    <row r="345" spans="18:30" ht="69.75" customHeight="1" x14ac:dyDescent="0.25">
      <c r="R345" s="25"/>
      <c r="S345" s="25"/>
      <c r="T345" s="25"/>
      <c r="U345" s="25"/>
      <c r="V345" s="25"/>
      <c r="W345" s="25"/>
      <c r="X345" s="25"/>
      <c r="Y345" s="25"/>
      <c r="Z345" s="25"/>
      <c r="AA345" s="25"/>
      <c r="AB345" s="25"/>
      <c r="AC345" s="25"/>
      <c r="AD345" s="168"/>
    </row>
    <row r="346" spans="18:30" ht="69.75" customHeight="1" x14ac:dyDescent="0.25">
      <c r="R346" s="25"/>
      <c r="S346" s="25"/>
      <c r="T346" s="25"/>
      <c r="U346" s="25"/>
      <c r="V346" s="25"/>
      <c r="W346" s="25"/>
      <c r="X346" s="25"/>
      <c r="Y346" s="25"/>
      <c r="Z346" s="25"/>
      <c r="AA346" s="25"/>
      <c r="AB346" s="25"/>
      <c r="AC346" s="25"/>
      <c r="AD346" s="168"/>
    </row>
    <row r="347" spans="18:30" ht="69.75" customHeight="1" x14ac:dyDescent="0.25">
      <c r="R347" s="25"/>
      <c r="S347" s="25"/>
      <c r="T347" s="25"/>
      <c r="U347" s="25"/>
      <c r="V347" s="25"/>
      <c r="W347" s="25"/>
      <c r="X347" s="25"/>
      <c r="Y347" s="25"/>
      <c r="Z347" s="25"/>
      <c r="AA347" s="25"/>
      <c r="AB347" s="25"/>
      <c r="AC347" s="25"/>
      <c r="AD347" s="168"/>
    </row>
    <row r="348" spans="18:30" ht="69.75" customHeight="1" x14ac:dyDescent="0.25">
      <c r="R348" s="25"/>
      <c r="S348" s="25"/>
      <c r="T348" s="25"/>
      <c r="U348" s="25"/>
      <c r="V348" s="25"/>
      <c r="W348" s="25"/>
      <c r="X348" s="25"/>
      <c r="Y348" s="25"/>
      <c r="Z348" s="25"/>
      <c r="AA348" s="25"/>
      <c r="AB348" s="25"/>
      <c r="AC348" s="25"/>
      <c r="AD348" s="168"/>
    </row>
    <row r="349" spans="18:30" ht="69.75" customHeight="1" x14ac:dyDescent="0.25">
      <c r="R349" s="25"/>
      <c r="S349" s="25"/>
      <c r="T349" s="25"/>
      <c r="U349" s="25"/>
      <c r="V349" s="25"/>
      <c r="W349" s="25"/>
      <c r="X349" s="25"/>
      <c r="Y349" s="25"/>
      <c r="Z349" s="25"/>
      <c r="AA349" s="25"/>
      <c r="AB349" s="25"/>
      <c r="AC349" s="25"/>
      <c r="AD349" s="168"/>
    </row>
    <row r="350" spans="18:30" ht="69.75" customHeight="1" x14ac:dyDescent="0.25">
      <c r="R350" s="25"/>
      <c r="S350" s="25"/>
      <c r="T350" s="25"/>
      <c r="U350" s="25"/>
      <c r="V350" s="25"/>
      <c r="W350" s="25"/>
      <c r="X350" s="25"/>
      <c r="Y350" s="25"/>
      <c r="Z350" s="25"/>
      <c r="AA350" s="25"/>
      <c r="AB350" s="25"/>
      <c r="AC350" s="25"/>
      <c r="AD350" s="168"/>
    </row>
    <row r="351" spans="18:30" ht="69.75" customHeight="1" x14ac:dyDescent="0.25">
      <c r="R351" s="25"/>
      <c r="S351" s="25"/>
      <c r="T351" s="25"/>
      <c r="U351" s="25"/>
      <c r="V351" s="25"/>
      <c r="W351" s="25"/>
      <c r="X351" s="25"/>
      <c r="Y351" s="25"/>
      <c r="Z351" s="25"/>
      <c r="AA351" s="25"/>
      <c r="AB351" s="25"/>
      <c r="AC351" s="25"/>
      <c r="AD351" s="168"/>
    </row>
    <row r="352" spans="18:30" ht="69.75" customHeight="1" x14ac:dyDescent="0.25">
      <c r="R352" s="25"/>
      <c r="S352" s="25"/>
      <c r="T352" s="25"/>
      <c r="U352" s="25"/>
      <c r="V352" s="25"/>
      <c r="W352" s="25"/>
      <c r="X352" s="25"/>
      <c r="Y352" s="25"/>
      <c r="Z352" s="25"/>
      <c r="AA352" s="25"/>
      <c r="AB352" s="25"/>
      <c r="AC352" s="25"/>
      <c r="AD352" s="168"/>
    </row>
    <row r="353" spans="18:30" ht="69.75" customHeight="1" x14ac:dyDescent="0.25">
      <c r="R353" s="25"/>
      <c r="S353" s="25"/>
      <c r="T353" s="25"/>
      <c r="U353" s="25"/>
      <c r="V353" s="25"/>
      <c r="W353" s="25"/>
      <c r="X353" s="25"/>
      <c r="Y353" s="25"/>
      <c r="Z353" s="25"/>
      <c r="AA353" s="25"/>
      <c r="AB353" s="25"/>
      <c r="AC353" s="25"/>
      <c r="AD353" s="168"/>
    </row>
    <row r="354" spans="18:30" ht="69.75" customHeight="1" x14ac:dyDescent="0.25">
      <c r="R354" s="25"/>
      <c r="S354" s="25"/>
      <c r="T354" s="25"/>
      <c r="U354" s="25"/>
      <c r="V354" s="25"/>
      <c r="W354" s="25"/>
      <c r="X354" s="25"/>
      <c r="Y354" s="25"/>
      <c r="Z354" s="25"/>
      <c r="AA354" s="25"/>
      <c r="AB354" s="25"/>
      <c r="AC354" s="25"/>
      <c r="AD354" s="168"/>
    </row>
    <row r="355" spans="18:30" ht="69.75" customHeight="1" x14ac:dyDescent="0.25">
      <c r="R355" s="25"/>
      <c r="S355" s="25"/>
      <c r="T355" s="25"/>
      <c r="U355" s="25"/>
      <c r="V355" s="25"/>
      <c r="W355" s="25"/>
      <c r="X355" s="25"/>
      <c r="Y355" s="25"/>
      <c r="Z355" s="25"/>
      <c r="AA355" s="25"/>
      <c r="AB355" s="25"/>
      <c r="AC355" s="25"/>
      <c r="AD355" s="168"/>
    </row>
    <row r="356" spans="18:30" ht="69.75" customHeight="1" x14ac:dyDescent="0.25">
      <c r="R356" s="25"/>
      <c r="S356" s="25"/>
      <c r="T356" s="25"/>
      <c r="U356" s="25"/>
      <c r="V356" s="25"/>
      <c r="W356" s="25"/>
      <c r="X356" s="25"/>
      <c r="Y356" s="25"/>
      <c r="Z356" s="25"/>
      <c r="AA356" s="25"/>
      <c r="AB356" s="25"/>
      <c r="AC356" s="25"/>
      <c r="AD356" s="168"/>
    </row>
    <row r="357" spans="18:30" ht="69.75" customHeight="1" x14ac:dyDescent="0.25">
      <c r="R357" s="25"/>
      <c r="S357" s="25"/>
      <c r="T357" s="25"/>
      <c r="U357" s="25"/>
      <c r="V357" s="25"/>
      <c r="W357" s="25"/>
      <c r="X357" s="25"/>
      <c r="Y357" s="25"/>
      <c r="Z357" s="25"/>
      <c r="AA357" s="25"/>
      <c r="AB357" s="25"/>
      <c r="AC357" s="25"/>
      <c r="AD357" s="168"/>
    </row>
    <row r="358" spans="18:30" ht="69.75" customHeight="1" x14ac:dyDescent="0.25">
      <c r="R358" s="25"/>
      <c r="S358" s="25"/>
      <c r="T358" s="25"/>
      <c r="U358" s="25"/>
      <c r="V358" s="25"/>
      <c r="W358" s="25"/>
      <c r="X358" s="25"/>
      <c r="Y358" s="25"/>
      <c r="Z358" s="25"/>
      <c r="AA358" s="25"/>
      <c r="AB358" s="25"/>
      <c r="AC358" s="25"/>
      <c r="AD358" s="168"/>
    </row>
    <row r="359" spans="18:30" ht="69.75" customHeight="1" x14ac:dyDescent="0.25">
      <c r="R359" s="25"/>
      <c r="S359" s="25"/>
      <c r="T359" s="25"/>
      <c r="U359" s="25"/>
      <c r="V359" s="25"/>
      <c r="W359" s="25"/>
      <c r="X359" s="25"/>
      <c r="Y359" s="25"/>
      <c r="Z359" s="25"/>
      <c r="AA359" s="25"/>
      <c r="AB359" s="25"/>
      <c r="AC359" s="25"/>
      <c r="AD359" s="168"/>
    </row>
    <row r="360" spans="18:30" ht="69.75" customHeight="1" x14ac:dyDescent="0.25">
      <c r="R360" s="25"/>
      <c r="S360" s="25"/>
      <c r="T360" s="25"/>
      <c r="U360" s="25"/>
      <c r="V360" s="25"/>
      <c r="W360" s="25"/>
      <c r="X360" s="25"/>
      <c r="Y360" s="25"/>
      <c r="Z360" s="25"/>
      <c r="AA360" s="25"/>
      <c r="AB360" s="25"/>
      <c r="AC360" s="25"/>
      <c r="AD360" s="168"/>
    </row>
    <row r="361" spans="18:30" ht="69.75" customHeight="1" x14ac:dyDescent="0.25">
      <c r="R361" s="25"/>
      <c r="S361" s="25"/>
      <c r="T361" s="25"/>
      <c r="U361" s="25"/>
      <c r="V361" s="25"/>
      <c r="W361" s="25"/>
      <c r="X361" s="25"/>
      <c r="Y361" s="25"/>
      <c r="Z361" s="25"/>
      <c r="AA361" s="25"/>
      <c r="AB361" s="25"/>
      <c r="AC361" s="25"/>
      <c r="AD361" s="168"/>
    </row>
    <row r="362" spans="18:30" ht="69.75" customHeight="1" x14ac:dyDescent="0.25">
      <c r="R362" s="25"/>
      <c r="S362" s="25"/>
      <c r="T362" s="25"/>
      <c r="U362" s="25"/>
      <c r="V362" s="25"/>
      <c r="W362" s="25"/>
      <c r="X362" s="25"/>
      <c r="Y362" s="25"/>
      <c r="Z362" s="25"/>
      <c r="AA362" s="25"/>
      <c r="AB362" s="25"/>
      <c r="AC362" s="25"/>
      <c r="AD362" s="168"/>
    </row>
    <row r="363" spans="18:30" ht="69.75" customHeight="1" x14ac:dyDescent="0.25">
      <c r="R363" s="25"/>
      <c r="S363" s="25"/>
      <c r="T363" s="25"/>
      <c r="U363" s="25"/>
      <c r="V363" s="25"/>
      <c r="W363" s="25"/>
      <c r="X363" s="25"/>
      <c r="Y363" s="25"/>
      <c r="Z363" s="25"/>
      <c r="AA363" s="25"/>
      <c r="AB363" s="25"/>
      <c r="AC363" s="25"/>
      <c r="AD363" s="168"/>
    </row>
    <row r="364" spans="18:30" ht="69.75" customHeight="1" x14ac:dyDescent="0.25">
      <c r="R364" s="25"/>
      <c r="S364" s="25"/>
      <c r="T364" s="25"/>
      <c r="U364" s="25"/>
      <c r="V364" s="25"/>
      <c r="W364" s="25"/>
      <c r="X364" s="25"/>
      <c r="Y364" s="25"/>
      <c r="Z364" s="25"/>
      <c r="AA364" s="25"/>
      <c r="AB364" s="25"/>
      <c r="AC364" s="25"/>
      <c r="AD364" s="168"/>
    </row>
    <row r="365" spans="18:30" ht="69.75" customHeight="1" x14ac:dyDescent="0.25">
      <c r="R365" s="25"/>
      <c r="S365" s="25"/>
      <c r="T365" s="25"/>
      <c r="U365" s="25"/>
      <c r="V365" s="25"/>
      <c r="W365" s="25"/>
      <c r="X365" s="25"/>
      <c r="Y365" s="25"/>
      <c r="Z365" s="25"/>
      <c r="AA365" s="25"/>
      <c r="AB365" s="25"/>
      <c r="AC365" s="25"/>
      <c r="AD365" s="168"/>
    </row>
    <row r="366" spans="18:30" ht="69.75" customHeight="1" x14ac:dyDescent="0.25">
      <c r="R366" s="25"/>
      <c r="S366" s="25"/>
      <c r="T366" s="25"/>
      <c r="U366" s="25"/>
      <c r="V366" s="25"/>
      <c r="W366" s="25"/>
      <c r="X366" s="25"/>
      <c r="Y366" s="25"/>
      <c r="Z366" s="25"/>
      <c r="AA366" s="25"/>
      <c r="AB366" s="25"/>
      <c r="AC366" s="25"/>
      <c r="AD366" s="168"/>
    </row>
    <row r="367" spans="18:30" ht="69.75" customHeight="1" x14ac:dyDescent="0.25">
      <c r="R367" s="25"/>
      <c r="S367" s="25"/>
      <c r="T367" s="25"/>
      <c r="U367" s="25"/>
      <c r="V367" s="25"/>
      <c r="W367" s="25"/>
      <c r="X367" s="25"/>
      <c r="Y367" s="25"/>
      <c r="Z367" s="25"/>
      <c r="AA367" s="25"/>
      <c r="AB367" s="25"/>
      <c r="AC367" s="25"/>
      <c r="AD367" s="168"/>
    </row>
    <row r="368" spans="18:30" ht="69.75" customHeight="1" x14ac:dyDescent="0.25">
      <c r="R368" s="25"/>
      <c r="S368" s="25"/>
      <c r="T368" s="25"/>
      <c r="U368" s="25"/>
      <c r="V368" s="25"/>
      <c r="W368" s="25"/>
      <c r="X368" s="25"/>
      <c r="Y368" s="25"/>
      <c r="Z368" s="25"/>
      <c r="AA368" s="25"/>
      <c r="AB368" s="25"/>
      <c r="AC368" s="25"/>
      <c r="AD368" s="168"/>
    </row>
    <row r="369" spans="18:30" ht="69.75" customHeight="1" x14ac:dyDescent="0.25">
      <c r="R369" s="25"/>
      <c r="S369" s="25"/>
      <c r="T369" s="25"/>
      <c r="U369" s="25"/>
      <c r="V369" s="25"/>
      <c r="W369" s="25"/>
      <c r="X369" s="25"/>
      <c r="Y369" s="25"/>
      <c r="Z369" s="25"/>
      <c r="AA369" s="25"/>
      <c r="AB369" s="25"/>
      <c r="AC369" s="25"/>
      <c r="AD369" s="168"/>
    </row>
    <row r="370" spans="18:30" ht="69.75" customHeight="1" x14ac:dyDescent="0.25">
      <c r="R370" s="25"/>
      <c r="S370" s="25"/>
      <c r="T370" s="25"/>
      <c r="U370" s="25"/>
      <c r="V370" s="25"/>
      <c r="W370" s="25"/>
      <c r="X370" s="25"/>
      <c r="Y370" s="25"/>
      <c r="Z370" s="25"/>
      <c r="AA370" s="25"/>
      <c r="AB370" s="25"/>
      <c r="AC370" s="25"/>
      <c r="AD370" s="168"/>
    </row>
    <row r="371" spans="18:30" ht="69.75" customHeight="1" x14ac:dyDescent="0.25">
      <c r="R371" s="25"/>
      <c r="S371" s="25"/>
      <c r="T371" s="25"/>
      <c r="U371" s="25"/>
      <c r="V371" s="25"/>
      <c r="W371" s="25"/>
      <c r="X371" s="25"/>
      <c r="Y371" s="25"/>
      <c r="Z371" s="25"/>
      <c r="AA371" s="25"/>
      <c r="AB371" s="25"/>
      <c r="AC371" s="25"/>
      <c r="AD371" s="168"/>
    </row>
    <row r="372" spans="18:30" ht="69.75" customHeight="1" x14ac:dyDescent="0.25">
      <c r="R372" s="25"/>
      <c r="S372" s="25"/>
      <c r="T372" s="25"/>
      <c r="U372" s="25"/>
      <c r="V372" s="25"/>
      <c r="W372" s="25"/>
      <c r="X372" s="25"/>
      <c r="Y372" s="25"/>
      <c r="Z372" s="25"/>
      <c r="AA372" s="25"/>
      <c r="AB372" s="25"/>
      <c r="AC372" s="25"/>
      <c r="AD372" s="168"/>
    </row>
    <row r="373" spans="18:30" ht="69.75" customHeight="1" x14ac:dyDescent="0.25">
      <c r="R373" s="25"/>
      <c r="S373" s="25"/>
      <c r="T373" s="25"/>
      <c r="U373" s="25"/>
      <c r="V373" s="25"/>
      <c r="W373" s="25"/>
      <c r="X373" s="25"/>
      <c r="Y373" s="25"/>
      <c r="Z373" s="25"/>
      <c r="AA373" s="25"/>
      <c r="AB373" s="25"/>
      <c r="AC373" s="25"/>
      <c r="AD373" s="168"/>
    </row>
    <row r="374" spans="18:30" ht="69.75" customHeight="1" x14ac:dyDescent="0.25">
      <c r="R374" s="25"/>
      <c r="S374" s="25"/>
      <c r="T374" s="25"/>
      <c r="U374" s="25"/>
      <c r="V374" s="25"/>
      <c r="W374" s="25"/>
      <c r="X374" s="25"/>
      <c r="Y374" s="25"/>
      <c r="Z374" s="25"/>
      <c r="AA374" s="25"/>
      <c r="AB374" s="25"/>
      <c r="AC374" s="25"/>
      <c r="AD374" s="168"/>
    </row>
    <row r="375" spans="18:30" ht="69.75" customHeight="1" x14ac:dyDescent="0.25">
      <c r="R375" s="25"/>
      <c r="S375" s="25"/>
      <c r="T375" s="25"/>
      <c r="U375" s="25"/>
      <c r="V375" s="25"/>
      <c r="W375" s="25"/>
      <c r="X375" s="25"/>
      <c r="Y375" s="25"/>
      <c r="Z375" s="25"/>
      <c r="AA375" s="25"/>
      <c r="AB375" s="25"/>
      <c r="AC375" s="25"/>
      <c r="AD375" s="168"/>
    </row>
    <row r="376" spans="18:30" ht="69.75" customHeight="1" x14ac:dyDescent="0.25">
      <c r="R376" s="25"/>
      <c r="S376" s="25"/>
      <c r="T376" s="25"/>
      <c r="U376" s="25"/>
      <c r="V376" s="25"/>
      <c r="W376" s="25"/>
      <c r="X376" s="25"/>
      <c r="Y376" s="25"/>
      <c r="Z376" s="25"/>
      <c r="AA376" s="25"/>
      <c r="AB376" s="25"/>
      <c r="AC376" s="25"/>
      <c r="AD376" s="168"/>
    </row>
    <row r="377" spans="18:30" ht="69.75" customHeight="1" x14ac:dyDescent="0.25">
      <c r="R377" s="25"/>
      <c r="S377" s="25"/>
      <c r="T377" s="25"/>
      <c r="U377" s="25"/>
      <c r="V377" s="25"/>
      <c r="W377" s="25"/>
      <c r="X377" s="25"/>
      <c r="Y377" s="25"/>
      <c r="Z377" s="25"/>
      <c r="AA377" s="25"/>
      <c r="AB377" s="25"/>
      <c r="AC377" s="25"/>
      <c r="AD377" s="168"/>
    </row>
    <row r="378" spans="18:30" ht="69.75" customHeight="1" x14ac:dyDescent="0.25">
      <c r="R378" s="25"/>
      <c r="S378" s="25"/>
      <c r="T378" s="25"/>
      <c r="U378" s="25"/>
      <c r="V378" s="25"/>
      <c r="W378" s="25"/>
      <c r="X378" s="25"/>
      <c r="Y378" s="25"/>
      <c r="Z378" s="25"/>
      <c r="AA378" s="25"/>
      <c r="AB378" s="25"/>
      <c r="AC378" s="25"/>
      <c r="AD378" s="168"/>
    </row>
    <row r="379" spans="18:30" ht="69.75" customHeight="1" x14ac:dyDescent="0.25">
      <c r="R379" s="25"/>
      <c r="S379" s="25"/>
      <c r="T379" s="25"/>
      <c r="U379" s="25"/>
      <c r="V379" s="25"/>
      <c r="W379" s="25"/>
      <c r="X379" s="25"/>
      <c r="Y379" s="25"/>
      <c r="Z379" s="25"/>
      <c r="AA379" s="25"/>
      <c r="AB379" s="25"/>
      <c r="AC379" s="25"/>
      <c r="AD379" s="168"/>
    </row>
    <row r="380" spans="18:30" ht="69.75" customHeight="1" x14ac:dyDescent="0.25">
      <c r="R380" s="25"/>
      <c r="S380" s="25"/>
      <c r="T380" s="25"/>
      <c r="U380" s="25"/>
      <c r="V380" s="25"/>
      <c r="W380" s="25"/>
      <c r="X380" s="25"/>
      <c r="Y380" s="25"/>
      <c r="Z380" s="25"/>
      <c r="AA380" s="25"/>
      <c r="AB380" s="25"/>
      <c r="AC380" s="25"/>
      <c r="AD380" s="168"/>
    </row>
    <row r="381" spans="18:30" ht="69.75" customHeight="1" x14ac:dyDescent="0.25">
      <c r="R381" s="25"/>
      <c r="S381" s="25"/>
      <c r="T381" s="25"/>
      <c r="U381" s="25"/>
      <c r="V381" s="25"/>
      <c r="W381" s="25"/>
      <c r="X381" s="25"/>
      <c r="Y381" s="25"/>
      <c r="Z381" s="25"/>
      <c r="AA381" s="25"/>
      <c r="AB381" s="25"/>
      <c r="AC381" s="25"/>
      <c r="AD381" s="168"/>
    </row>
    <row r="382" spans="18:30" ht="69.75" customHeight="1" x14ac:dyDescent="0.25">
      <c r="R382" s="25"/>
      <c r="S382" s="25"/>
      <c r="T382" s="25"/>
      <c r="U382" s="25"/>
      <c r="V382" s="25"/>
      <c r="W382" s="25"/>
      <c r="X382" s="25"/>
      <c r="Y382" s="25"/>
      <c r="Z382" s="25"/>
      <c r="AA382" s="25"/>
      <c r="AB382" s="25"/>
      <c r="AC382" s="25"/>
      <c r="AD382" s="168"/>
    </row>
    <row r="383" spans="18:30" ht="69.75" customHeight="1" x14ac:dyDescent="0.25">
      <c r="R383" s="25"/>
      <c r="S383" s="25"/>
      <c r="T383" s="25"/>
      <c r="U383" s="25"/>
      <c r="V383" s="25"/>
      <c r="W383" s="25"/>
      <c r="X383" s="25"/>
      <c r="Y383" s="25"/>
      <c r="Z383" s="25"/>
      <c r="AA383" s="25"/>
      <c r="AB383" s="25"/>
      <c r="AC383" s="25"/>
      <c r="AD383" s="168"/>
    </row>
    <row r="384" spans="18:30" ht="69.75" customHeight="1" x14ac:dyDescent="0.25">
      <c r="R384" s="25"/>
      <c r="S384" s="25"/>
      <c r="T384" s="25"/>
      <c r="U384" s="25"/>
      <c r="V384" s="25"/>
      <c r="W384" s="25"/>
      <c r="X384" s="25"/>
      <c r="Y384" s="25"/>
      <c r="Z384" s="25"/>
      <c r="AA384" s="25"/>
      <c r="AB384" s="25"/>
      <c r="AC384" s="25"/>
      <c r="AD384" s="168"/>
    </row>
    <row r="385" spans="18:30" ht="69.75" customHeight="1" x14ac:dyDescent="0.25">
      <c r="R385" s="25"/>
      <c r="S385" s="25"/>
      <c r="T385" s="25"/>
      <c r="U385" s="25"/>
      <c r="V385" s="25"/>
      <c r="W385" s="25"/>
      <c r="X385" s="25"/>
      <c r="Y385" s="25"/>
      <c r="Z385" s="25"/>
      <c r="AA385" s="25"/>
      <c r="AB385" s="25"/>
      <c r="AC385" s="25"/>
      <c r="AD385" s="168"/>
    </row>
    <row r="386" spans="18:30" ht="69.75" customHeight="1" x14ac:dyDescent="0.25">
      <c r="R386" s="25"/>
      <c r="S386" s="25"/>
      <c r="T386" s="25"/>
      <c r="U386" s="25"/>
      <c r="V386" s="25"/>
      <c r="W386" s="25"/>
      <c r="X386" s="25"/>
      <c r="Y386" s="25"/>
      <c r="Z386" s="25"/>
      <c r="AA386" s="25"/>
      <c r="AB386" s="25"/>
      <c r="AC386" s="25"/>
      <c r="AD386" s="168"/>
    </row>
    <row r="387" spans="18:30" ht="69.75" customHeight="1" x14ac:dyDescent="0.25">
      <c r="R387" s="25"/>
      <c r="S387" s="25"/>
      <c r="T387" s="25"/>
      <c r="U387" s="25"/>
      <c r="V387" s="25"/>
      <c r="W387" s="25"/>
      <c r="X387" s="25"/>
      <c r="Y387" s="25"/>
      <c r="Z387" s="25"/>
      <c r="AA387" s="25"/>
      <c r="AB387" s="25"/>
      <c r="AC387" s="25"/>
      <c r="AD387" s="168"/>
    </row>
    <row r="388" spans="18:30" ht="69.75" customHeight="1" x14ac:dyDescent="0.25">
      <c r="R388" s="25"/>
      <c r="S388" s="25"/>
      <c r="T388" s="25"/>
      <c r="U388" s="25"/>
      <c r="V388" s="25"/>
      <c r="W388" s="25"/>
      <c r="X388" s="25"/>
      <c r="Y388" s="25"/>
      <c r="Z388" s="25"/>
      <c r="AA388" s="25"/>
      <c r="AB388" s="25"/>
      <c r="AC388" s="25"/>
      <c r="AD388" s="168"/>
    </row>
    <row r="389" spans="18:30" ht="69.75" customHeight="1" x14ac:dyDescent="0.25">
      <c r="R389" s="25"/>
      <c r="S389" s="25"/>
      <c r="T389" s="25"/>
      <c r="U389" s="25"/>
      <c r="V389" s="25"/>
      <c r="W389" s="25"/>
      <c r="X389" s="25"/>
      <c r="Y389" s="25"/>
      <c r="Z389" s="25"/>
      <c r="AA389" s="25"/>
      <c r="AB389" s="25"/>
      <c r="AC389" s="25"/>
      <c r="AD389" s="168"/>
    </row>
    <row r="390" spans="18:30" ht="69.75" customHeight="1" x14ac:dyDescent="0.25">
      <c r="R390" s="25"/>
      <c r="S390" s="25"/>
      <c r="T390" s="25"/>
      <c r="U390" s="25"/>
      <c r="V390" s="25"/>
      <c r="W390" s="25"/>
      <c r="X390" s="25"/>
      <c r="Y390" s="25"/>
      <c r="Z390" s="25"/>
      <c r="AA390" s="25"/>
      <c r="AB390" s="25"/>
      <c r="AC390" s="25"/>
      <c r="AD390" s="168"/>
    </row>
    <row r="391" spans="18:30" ht="69.75" customHeight="1" x14ac:dyDescent="0.25">
      <c r="R391" s="25"/>
      <c r="S391" s="25"/>
      <c r="T391" s="25"/>
      <c r="U391" s="25"/>
      <c r="V391" s="25"/>
      <c r="W391" s="25"/>
      <c r="X391" s="25"/>
      <c r="Y391" s="25"/>
      <c r="Z391" s="25"/>
      <c r="AA391" s="25"/>
      <c r="AB391" s="25"/>
      <c r="AC391" s="25"/>
      <c r="AD391" s="168"/>
    </row>
    <row r="392" spans="18:30" ht="69.75" customHeight="1" x14ac:dyDescent="0.25">
      <c r="R392" s="25"/>
      <c r="S392" s="25"/>
      <c r="T392" s="25"/>
      <c r="U392" s="25"/>
      <c r="V392" s="25"/>
      <c r="W392" s="25"/>
      <c r="X392" s="25"/>
      <c r="Y392" s="25"/>
      <c r="Z392" s="25"/>
      <c r="AA392" s="25"/>
      <c r="AB392" s="25"/>
      <c r="AC392" s="25"/>
      <c r="AD392" s="168"/>
    </row>
    <row r="393" spans="18:30" ht="69.75" customHeight="1" x14ac:dyDescent="0.25">
      <c r="R393" s="25"/>
      <c r="S393" s="25"/>
      <c r="T393" s="25"/>
      <c r="U393" s="25"/>
      <c r="V393" s="25"/>
      <c r="W393" s="25"/>
      <c r="X393" s="25"/>
      <c r="Y393" s="25"/>
      <c r="Z393" s="25"/>
      <c r="AA393" s="25"/>
      <c r="AB393" s="25"/>
      <c r="AC393" s="25"/>
      <c r="AD393" s="168"/>
    </row>
    <row r="394" spans="18:30" ht="69.75" customHeight="1" x14ac:dyDescent="0.25">
      <c r="R394" s="25"/>
      <c r="S394" s="25"/>
      <c r="T394" s="25"/>
      <c r="U394" s="25"/>
      <c r="V394" s="25"/>
      <c r="W394" s="25"/>
      <c r="X394" s="25"/>
      <c r="Y394" s="25"/>
      <c r="Z394" s="25"/>
      <c r="AA394" s="25"/>
      <c r="AB394" s="25"/>
      <c r="AC394" s="25"/>
      <c r="AD394" s="168"/>
    </row>
    <row r="395" spans="18:30" ht="69.75" customHeight="1" x14ac:dyDescent="0.25">
      <c r="R395" s="25"/>
      <c r="S395" s="25"/>
      <c r="T395" s="25"/>
      <c r="U395" s="25"/>
      <c r="V395" s="25"/>
      <c r="W395" s="25"/>
      <c r="X395" s="25"/>
      <c r="Y395" s="25"/>
      <c r="Z395" s="25"/>
      <c r="AA395" s="25"/>
      <c r="AB395" s="25"/>
      <c r="AC395" s="25"/>
      <c r="AD395" s="168"/>
    </row>
    <row r="396" spans="18:30" ht="69.75" customHeight="1" x14ac:dyDescent="0.25">
      <c r="R396" s="25"/>
      <c r="S396" s="25"/>
      <c r="T396" s="25"/>
      <c r="U396" s="25"/>
      <c r="V396" s="25"/>
      <c r="W396" s="25"/>
      <c r="X396" s="25"/>
      <c r="Y396" s="25"/>
      <c r="Z396" s="25"/>
      <c r="AA396" s="25"/>
      <c r="AB396" s="25"/>
      <c r="AC396" s="25"/>
      <c r="AD396" s="168"/>
    </row>
    <row r="397" spans="18:30" ht="69.75" customHeight="1" x14ac:dyDescent="0.25">
      <c r="R397" s="25"/>
      <c r="S397" s="25"/>
      <c r="T397" s="25"/>
      <c r="U397" s="25"/>
      <c r="V397" s="25"/>
      <c r="W397" s="25"/>
      <c r="X397" s="25"/>
      <c r="Y397" s="25"/>
      <c r="Z397" s="25"/>
      <c r="AA397" s="25"/>
      <c r="AB397" s="25"/>
      <c r="AC397" s="25"/>
      <c r="AD397" s="168"/>
    </row>
    <row r="398" spans="18:30" ht="69.75" customHeight="1" x14ac:dyDescent="0.25">
      <c r="R398" s="25"/>
      <c r="S398" s="25"/>
      <c r="T398" s="25"/>
      <c r="U398" s="25"/>
      <c r="V398" s="25"/>
      <c r="W398" s="25"/>
      <c r="X398" s="25"/>
      <c r="Y398" s="25"/>
      <c r="Z398" s="25"/>
      <c r="AA398" s="25"/>
      <c r="AB398" s="25"/>
      <c r="AC398" s="25"/>
      <c r="AD398" s="168"/>
    </row>
    <row r="399" spans="18:30" ht="69.75" customHeight="1" x14ac:dyDescent="0.25">
      <c r="R399" s="25"/>
      <c r="S399" s="25"/>
      <c r="T399" s="25"/>
      <c r="U399" s="25"/>
      <c r="V399" s="25"/>
      <c r="W399" s="25"/>
      <c r="X399" s="25"/>
      <c r="Y399" s="25"/>
      <c r="Z399" s="25"/>
      <c r="AA399" s="25"/>
      <c r="AB399" s="25"/>
      <c r="AC399" s="25"/>
      <c r="AD399" s="168"/>
    </row>
    <row r="400" spans="18:30" ht="69.75" customHeight="1" x14ac:dyDescent="0.25">
      <c r="R400" s="25"/>
      <c r="S400" s="25"/>
      <c r="T400" s="25"/>
      <c r="U400" s="25"/>
      <c r="V400" s="25"/>
      <c r="W400" s="25"/>
      <c r="X400" s="25"/>
      <c r="Y400" s="25"/>
      <c r="Z400" s="25"/>
      <c r="AA400" s="25"/>
      <c r="AB400" s="25"/>
      <c r="AC400" s="25"/>
      <c r="AD400" s="168"/>
    </row>
    <row r="401" spans="18:30" ht="69.75" customHeight="1" x14ac:dyDescent="0.25">
      <c r="R401" s="25"/>
      <c r="S401" s="25"/>
      <c r="T401" s="25"/>
      <c r="U401" s="25"/>
      <c r="V401" s="25"/>
      <c r="W401" s="25"/>
      <c r="X401" s="25"/>
      <c r="Y401" s="25"/>
      <c r="Z401" s="25"/>
      <c r="AA401" s="25"/>
      <c r="AB401" s="25"/>
      <c r="AC401" s="25"/>
      <c r="AD401" s="168"/>
    </row>
    <row r="402" spans="18:30" ht="69.75" customHeight="1" x14ac:dyDescent="0.25">
      <c r="R402" s="25"/>
      <c r="S402" s="25"/>
      <c r="T402" s="25"/>
      <c r="U402" s="25"/>
      <c r="V402" s="25"/>
      <c r="W402" s="25"/>
      <c r="X402" s="25"/>
      <c r="Y402" s="25"/>
      <c r="Z402" s="25"/>
      <c r="AA402" s="25"/>
      <c r="AB402" s="25"/>
      <c r="AC402" s="25"/>
      <c r="AD402" s="168"/>
    </row>
    <row r="403" spans="18:30" ht="69.75" customHeight="1" x14ac:dyDescent="0.25">
      <c r="R403" s="25"/>
      <c r="S403" s="25"/>
      <c r="T403" s="25"/>
      <c r="U403" s="25"/>
      <c r="V403" s="25"/>
      <c r="W403" s="25"/>
      <c r="X403" s="25"/>
      <c r="Y403" s="25"/>
      <c r="Z403" s="25"/>
      <c r="AA403" s="25"/>
      <c r="AB403" s="25"/>
      <c r="AC403" s="25"/>
      <c r="AD403" s="168"/>
    </row>
    <row r="404" spans="18:30" ht="69.75" customHeight="1" x14ac:dyDescent="0.25">
      <c r="R404" s="25"/>
      <c r="S404" s="25"/>
      <c r="T404" s="25"/>
      <c r="U404" s="25"/>
      <c r="V404" s="25"/>
      <c r="W404" s="25"/>
      <c r="X404" s="25"/>
      <c r="Y404" s="25"/>
      <c r="Z404" s="25"/>
      <c r="AA404" s="25"/>
      <c r="AB404" s="25"/>
      <c r="AC404" s="25"/>
      <c r="AD404" s="168"/>
    </row>
    <row r="405" spans="18:30" ht="69.75" customHeight="1" x14ac:dyDescent="0.25">
      <c r="R405" s="25"/>
      <c r="S405" s="25"/>
      <c r="T405" s="25"/>
      <c r="U405" s="25"/>
      <c r="V405" s="25"/>
      <c r="W405" s="25"/>
      <c r="X405" s="25"/>
      <c r="Y405" s="25"/>
      <c r="Z405" s="25"/>
      <c r="AA405" s="25"/>
      <c r="AB405" s="25"/>
      <c r="AC405" s="25"/>
      <c r="AD405" s="168"/>
    </row>
    <row r="406" spans="18:30" ht="69.75" customHeight="1" x14ac:dyDescent="0.25">
      <c r="R406" s="25"/>
      <c r="S406" s="25"/>
      <c r="T406" s="25"/>
      <c r="U406" s="25"/>
      <c r="V406" s="25"/>
      <c r="W406" s="25"/>
      <c r="X406" s="25"/>
      <c r="Y406" s="25"/>
      <c r="Z406" s="25"/>
      <c r="AA406" s="25"/>
      <c r="AB406" s="25"/>
      <c r="AC406" s="25"/>
      <c r="AD406" s="168"/>
    </row>
    <row r="407" spans="18:30" ht="69.75" customHeight="1" x14ac:dyDescent="0.25">
      <c r="R407" s="25"/>
      <c r="S407" s="25"/>
      <c r="T407" s="25"/>
      <c r="U407" s="25"/>
      <c r="V407" s="25"/>
      <c r="W407" s="25"/>
      <c r="X407" s="25"/>
      <c r="Y407" s="25"/>
      <c r="Z407" s="25"/>
      <c r="AA407" s="25"/>
      <c r="AB407" s="25"/>
      <c r="AC407" s="25"/>
      <c r="AD407" s="168"/>
    </row>
    <row r="408" spans="18:30" ht="69.75" customHeight="1" x14ac:dyDescent="0.25">
      <c r="R408" s="25"/>
      <c r="S408" s="25"/>
      <c r="T408" s="25"/>
      <c r="U408" s="25"/>
      <c r="V408" s="25"/>
      <c r="W408" s="25"/>
      <c r="X408" s="25"/>
      <c r="Y408" s="25"/>
      <c r="Z408" s="25"/>
      <c r="AA408" s="25"/>
      <c r="AB408" s="25"/>
      <c r="AC408" s="25"/>
      <c r="AD408" s="168"/>
    </row>
    <row r="409" spans="18:30" ht="69.75" customHeight="1" x14ac:dyDescent="0.25">
      <c r="R409" s="25"/>
      <c r="S409" s="25"/>
      <c r="T409" s="25"/>
      <c r="U409" s="25"/>
      <c r="V409" s="25"/>
      <c r="W409" s="25"/>
      <c r="X409" s="25"/>
      <c r="Y409" s="25"/>
      <c r="Z409" s="25"/>
      <c r="AA409" s="25"/>
      <c r="AB409" s="25"/>
      <c r="AC409" s="25"/>
      <c r="AD409" s="168"/>
    </row>
    <row r="410" spans="18:30" ht="69.75" customHeight="1" x14ac:dyDescent="0.25">
      <c r="R410" s="25"/>
      <c r="S410" s="25"/>
      <c r="T410" s="25"/>
      <c r="U410" s="25"/>
      <c r="V410" s="25"/>
      <c r="W410" s="25"/>
      <c r="X410" s="25"/>
      <c r="Y410" s="25"/>
      <c r="Z410" s="25"/>
      <c r="AA410" s="25"/>
      <c r="AB410" s="25"/>
      <c r="AC410" s="25"/>
      <c r="AD410" s="168"/>
    </row>
    <row r="411" spans="18:30" ht="69.75" customHeight="1" x14ac:dyDescent="0.25">
      <c r="R411" s="25"/>
      <c r="S411" s="25"/>
      <c r="T411" s="25"/>
      <c r="U411" s="25"/>
      <c r="V411" s="25"/>
      <c r="W411" s="25"/>
      <c r="X411" s="25"/>
      <c r="Y411" s="25"/>
      <c r="Z411" s="25"/>
      <c r="AA411" s="25"/>
      <c r="AB411" s="25"/>
      <c r="AC411" s="25"/>
      <c r="AD411" s="168"/>
    </row>
    <row r="412" spans="18:30" ht="69.75" customHeight="1" x14ac:dyDescent="0.25">
      <c r="R412" s="25"/>
      <c r="S412" s="25"/>
      <c r="T412" s="25"/>
      <c r="U412" s="25"/>
      <c r="V412" s="25"/>
      <c r="W412" s="25"/>
      <c r="X412" s="25"/>
      <c r="Y412" s="25"/>
      <c r="Z412" s="25"/>
      <c r="AA412" s="25"/>
      <c r="AB412" s="25"/>
      <c r="AC412" s="25"/>
      <c r="AD412" s="168"/>
    </row>
    <row r="413" spans="18:30" ht="69.75" customHeight="1" x14ac:dyDescent="0.25">
      <c r="R413" s="25"/>
      <c r="S413" s="25"/>
      <c r="T413" s="25"/>
      <c r="U413" s="25"/>
      <c r="V413" s="25"/>
      <c r="W413" s="25"/>
      <c r="X413" s="25"/>
      <c r="Y413" s="25"/>
      <c r="Z413" s="25"/>
      <c r="AA413" s="25"/>
      <c r="AB413" s="25"/>
      <c r="AC413" s="25"/>
      <c r="AD413" s="168"/>
    </row>
    <row r="414" spans="18:30" ht="69.75" customHeight="1" x14ac:dyDescent="0.25">
      <c r="R414" s="25"/>
      <c r="S414" s="25"/>
      <c r="T414" s="25"/>
      <c r="U414" s="25"/>
      <c r="V414" s="25"/>
      <c r="W414" s="25"/>
      <c r="X414" s="25"/>
      <c r="Y414" s="25"/>
      <c r="Z414" s="25"/>
      <c r="AA414" s="25"/>
      <c r="AB414" s="25"/>
      <c r="AC414" s="25"/>
      <c r="AD414" s="168"/>
    </row>
    <row r="415" spans="18:30" ht="69.75" customHeight="1" x14ac:dyDescent="0.25">
      <c r="R415" s="25"/>
      <c r="S415" s="25"/>
      <c r="T415" s="25"/>
      <c r="U415" s="25"/>
      <c r="V415" s="25"/>
      <c r="W415" s="25"/>
      <c r="X415" s="25"/>
      <c r="Y415" s="25"/>
      <c r="Z415" s="25"/>
      <c r="AA415" s="25"/>
      <c r="AB415" s="25"/>
      <c r="AC415" s="25"/>
      <c r="AD415" s="168"/>
    </row>
    <row r="416" spans="18:30" ht="69.75" customHeight="1" x14ac:dyDescent="0.25">
      <c r="R416" s="25"/>
      <c r="S416" s="25"/>
      <c r="T416" s="25"/>
      <c r="U416" s="25"/>
      <c r="V416" s="25"/>
      <c r="W416" s="25"/>
      <c r="X416" s="25"/>
      <c r="Y416" s="25"/>
      <c r="Z416" s="25"/>
      <c r="AA416" s="25"/>
      <c r="AB416" s="25"/>
      <c r="AC416" s="25"/>
      <c r="AD416" s="168"/>
    </row>
    <row r="417" spans="18:30" ht="69.75" customHeight="1" x14ac:dyDescent="0.25">
      <c r="R417" s="25"/>
      <c r="S417" s="25"/>
      <c r="T417" s="25"/>
      <c r="U417" s="25"/>
      <c r="V417" s="25"/>
      <c r="W417" s="25"/>
      <c r="X417" s="25"/>
      <c r="Y417" s="25"/>
      <c r="Z417" s="25"/>
      <c r="AA417" s="25"/>
      <c r="AB417" s="25"/>
      <c r="AC417" s="25"/>
      <c r="AD417" s="168"/>
    </row>
    <row r="418" spans="18:30" ht="69.75" customHeight="1" x14ac:dyDescent="0.25">
      <c r="R418" s="25"/>
      <c r="S418" s="25"/>
      <c r="T418" s="25"/>
      <c r="U418" s="25"/>
      <c r="V418" s="25"/>
      <c r="W418" s="25"/>
      <c r="X418" s="25"/>
      <c r="Y418" s="25"/>
      <c r="Z418" s="25"/>
      <c r="AA418" s="25"/>
      <c r="AB418" s="25"/>
      <c r="AC418" s="25"/>
      <c r="AD418" s="168"/>
    </row>
    <row r="419" spans="18:30" ht="69.75" customHeight="1" x14ac:dyDescent="0.25">
      <c r="R419" s="25"/>
      <c r="S419" s="25"/>
      <c r="T419" s="25"/>
      <c r="U419" s="25"/>
      <c r="V419" s="25"/>
      <c r="W419" s="25"/>
      <c r="X419" s="25"/>
      <c r="Y419" s="25"/>
      <c r="Z419" s="25"/>
      <c r="AA419" s="25"/>
      <c r="AB419" s="25"/>
      <c r="AC419" s="25"/>
      <c r="AD419" s="168"/>
    </row>
    <row r="420" spans="18:30" ht="69.75" customHeight="1" x14ac:dyDescent="0.25">
      <c r="R420" s="25"/>
      <c r="S420" s="25"/>
      <c r="T420" s="25"/>
      <c r="U420" s="25"/>
      <c r="V420" s="25"/>
      <c r="W420" s="25"/>
      <c r="X420" s="25"/>
      <c r="Y420" s="25"/>
      <c r="Z420" s="25"/>
      <c r="AA420" s="25"/>
      <c r="AB420" s="25"/>
      <c r="AC420" s="25"/>
      <c r="AD420" s="168"/>
    </row>
    <row r="421" spans="18:30" ht="69.75" customHeight="1" x14ac:dyDescent="0.25">
      <c r="R421" s="25"/>
      <c r="S421" s="25"/>
      <c r="T421" s="25"/>
      <c r="U421" s="25"/>
      <c r="V421" s="25"/>
      <c r="W421" s="25"/>
      <c r="X421" s="25"/>
      <c r="Y421" s="25"/>
      <c r="Z421" s="25"/>
      <c r="AA421" s="25"/>
      <c r="AB421" s="25"/>
      <c r="AC421" s="25"/>
      <c r="AD421" s="168"/>
    </row>
    <row r="422" spans="18:30" ht="69.75" customHeight="1" x14ac:dyDescent="0.25">
      <c r="R422" s="25"/>
      <c r="S422" s="25"/>
      <c r="T422" s="25"/>
      <c r="U422" s="25"/>
      <c r="V422" s="25"/>
      <c r="W422" s="25"/>
      <c r="X422" s="25"/>
      <c r="Y422" s="25"/>
      <c r="Z422" s="25"/>
      <c r="AA422" s="25"/>
      <c r="AB422" s="25"/>
      <c r="AC422" s="25"/>
      <c r="AD422" s="168"/>
    </row>
    <row r="423" spans="18:30" ht="69.75" customHeight="1" x14ac:dyDescent="0.25">
      <c r="R423" s="25"/>
      <c r="S423" s="25"/>
      <c r="T423" s="25"/>
      <c r="U423" s="25"/>
      <c r="V423" s="25"/>
      <c r="W423" s="25"/>
      <c r="X423" s="25"/>
      <c r="Y423" s="25"/>
      <c r="Z423" s="25"/>
      <c r="AA423" s="25"/>
      <c r="AB423" s="25"/>
      <c r="AC423" s="25"/>
      <c r="AD423" s="168"/>
    </row>
    <row r="424" spans="18:30" ht="69.75" customHeight="1" x14ac:dyDescent="0.25">
      <c r="R424" s="25"/>
      <c r="S424" s="25"/>
      <c r="T424" s="25"/>
      <c r="U424" s="25"/>
      <c r="V424" s="25"/>
      <c r="W424" s="25"/>
      <c r="X424" s="25"/>
      <c r="Y424" s="25"/>
      <c r="Z424" s="25"/>
      <c r="AA424" s="25"/>
      <c r="AB424" s="25"/>
      <c r="AC424" s="25"/>
      <c r="AD424" s="168"/>
    </row>
    <row r="425" spans="18:30" ht="69.75" customHeight="1" x14ac:dyDescent="0.25">
      <c r="R425" s="25"/>
      <c r="S425" s="25"/>
      <c r="T425" s="25"/>
      <c r="U425" s="25"/>
      <c r="V425" s="25"/>
      <c r="W425" s="25"/>
      <c r="X425" s="25"/>
      <c r="Y425" s="25"/>
      <c r="Z425" s="25"/>
      <c r="AA425" s="25"/>
      <c r="AB425" s="25"/>
      <c r="AC425" s="25"/>
      <c r="AD425" s="168"/>
    </row>
    <row r="426" spans="18:30" ht="69.75" customHeight="1" x14ac:dyDescent="0.25">
      <c r="R426" s="25"/>
      <c r="S426" s="25"/>
      <c r="T426" s="25"/>
      <c r="U426" s="25"/>
      <c r="V426" s="25"/>
      <c r="W426" s="25"/>
      <c r="X426" s="25"/>
      <c r="Y426" s="25"/>
      <c r="Z426" s="25"/>
      <c r="AA426" s="25"/>
      <c r="AB426" s="25"/>
      <c r="AC426" s="25"/>
      <c r="AD426" s="168"/>
    </row>
    <row r="427" spans="18:30" ht="69.75" customHeight="1" x14ac:dyDescent="0.25">
      <c r="R427" s="25"/>
      <c r="S427" s="25"/>
      <c r="T427" s="25"/>
      <c r="U427" s="25"/>
      <c r="V427" s="25"/>
      <c r="W427" s="25"/>
      <c r="X427" s="25"/>
      <c r="Y427" s="25"/>
      <c r="Z427" s="25"/>
      <c r="AA427" s="25"/>
      <c r="AB427" s="25"/>
      <c r="AC427" s="25"/>
      <c r="AD427" s="168"/>
    </row>
    <row r="428" spans="18:30" ht="69.75" customHeight="1" x14ac:dyDescent="0.25">
      <c r="R428" s="25"/>
      <c r="S428" s="25"/>
      <c r="T428" s="25"/>
      <c r="U428" s="25"/>
      <c r="V428" s="25"/>
      <c r="W428" s="25"/>
      <c r="X428" s="25"/>
      <c r="Y428" s="25"/>
      <c r="Z428" s="25"/>
      <c r="AA428" s="25"/>
      <c r="AB428" s="25"/>
      <c r="AC428" s="25"/>
      <c r="AD428" s="168"/>
    </row>
    <row r="429" spans="18:30" ht="69.75" customHeight="1" x14ac:dyDescent="0.25">
      <c r="R429" s="25"/>
      <c r="S429" s="25"/>
      <c r="T429" s="25"/>
      <c r="U429" s="25"/>
      <c r="V429" s="25"/>
      <c r="W429" s="25"/>
      <c r="X429" s="25"/>
      <c r="Y429" s="25"/>
      <c r="Z429" s="25"/>
      <c r="AA429" s="25"/>
      <c r="AB429" s="25"/>
      <c r="AC429" s="25"/>
      <c r="AD429" s="168"/>
    </row>
    <row r="430" spans="18:30" ht="69.75" customHeight="1" x14ac:dyDescent="0.25">
      <c r="R430" s="25"/>
      <c r="S430" s="25"/>
      <c r="T430" s="25"/>
      <c r="U430" s="25"/>
      <c r="V430" s="25"/>
      <c r="W430" s="25"/>
      <c r="X430" s="25"/>
      <c r="Y430" s="25"/>
      <c r="Z430" s="25"/>
      <c r="AA430" s="25"/>
      <c r="AB430" s="25"/>
      <c r="AC430" s="25"/>
      <c r="AD430" s="168"/>
    </row>
    <row r="431" spans="18:30" ht="69.75" customHeight="1" x14ac:dyDescent="0.25">
      <c r="R431" s="25"/>
      <c r="S431" s="25"/>
      <c r="T431" s="25"/>
      <c r="U431" s="25"/>
      <c r="V431" s="25"/>
      <c r="W431" s="25"/>
      <c r="X431" s="25"/>
      <c r="Y431" s="25"/>
      <c r="Z431" s="25"/>
      <c r="AA431" s="25"/>
      <c r="AB431" s="25"/>
      <c r="AC431" s="25"/>
      <c r="AD431" s="168"/>
    </row>
    <row r="432" spans="18:30" ht="69.75" customHeight="1" x14ac:dyDescent="0.25">
      <c r="R432" s="25"/>
      <c r="S432" s="25"/>
      <c r="T432" s="25"/>
      <c r="U432" s="25"/>
      <c r="V432" s="25"/>
      <c r="W432" s="25"/>
      <c r="X432" s="25"/>
      <c r="Y432" s="25"/>
      <c r="Z432" s="25"/>
      <c r="AA432" s="25"/>
      <c r="AB432" s="25"/>
      <c r="AC432" s="25"/>
      <c r="AD432" s="168"/>
    </row>
    <row r="433" spans="18:30" ht="69.75" customHeight="1" x14ac:dyDescent="0.25">
      <c r="R433" s="25"/>
      <c r="S433" s="25"/>
      <c r="T433" s="25"/>
      <c r="U433" s="25"/>
      <c r="V433" s="25"/>
      <c r="W433" s="25"/>
      <c r="X433" s="25"/>
      <c r="Y433" s="25"/>
      <c r="Z433" s="25"/>
      <c r="AA433" s="25"/>
      <c r="AB433" s="25"/>
      <c r="AC433" s="25"/>
      <c r="AD433" s="168"/>
    </row>
    <row r="434" spans="18:30" ht="69.75" customHeight="1" x14ac:dyDescent="0.25">
      <c r="R434" s="25"/>
      <c r="S434" s="25"/>
      <c r="T434" s="25"/>
      <c r="U434" s="25"/>
      <c r="V434" s="25"/>
      <c r="W434" s="25"/>
      <c r="X434" s="25"/>
      <c r="Y434" s="25"/>
      <c r="Z434" s="25"/>
      <c r="AA434" s="25"/>
      <c r="AB434" s="25"/>
      <c r="AC434" s="25"/>
      <c r="AD434" s="168"/>
    </row>
    <row r="435" spans="18:30" ht="69.75" customHeight="1" x14ac:dyDescent="0.25">
      <c r="R435" s="25"/>
      <c r="S435" s="25"/>
      <c r="T435" s="25"/>
      <c r="U435" s="25"/>
      <c r="V435" s="25"/>
      <c r="W435" s="25"/>
      <c r="X435" s="25"/>
      <c r="Y435" s="25"/>
      <c r="Z435" s="25"/>
      <c r="AA435" s="25"/>
      <c r="AB435" s="25"/>
      <c r="AC435" s="25"/>
      <c r="AD435" s="168"/>
    </row>
    <row r="436" spans="18:30" ht="69.75" customHeight="1" x14ac:dyDescent="0.25">
      <c r="R436" s="25"/>
      <c r="S436" s="25"/>
      <c r="T436" s="25"/>
      <c r="U436" s="25"/>
      <c r="V436" s="25"/>
      <c r="W436" s="25"/>
      <c r="X436" s="25"/>
      <c r="Y436" s="25"/>
      <c r="Z436" s="25"/>
      <c r="AA436" s="25"/>
      <c r="AB436" s="25"/>
      <c r="AC436" s="25"/>
      <c r="AD436" s="168"/>
    </row>
    <row r="437" spans="18:30" ht="69.75" customHeight="1" x14ac:dyDescent="0.25">
      <c r="R437" s="25"/>
      <c r="S437" s="25"/>
      <c r="T437" s="25"/>
      <c r="U437" s="25"/>
      <c r="V437" s="25"/>
      <c r="W437" s="25"/>
      <c r="X437" s="25"/>
      <c r="Y437" s="25"/>
      <c r="Z437" s="25"/>
      <c r="AA437" s="25"/>
      <c r="AB437" s="25"/>
      <c r="AC437" s="25"/>
      <c r="AD437" s="168"/>
    </row>
    <row r="438" spans="18:30" ht="69.75" customHeight="1" x14ac:dyDescent="0.25">
      <c r="R438" s="25"/>
      <c r="S438" s="25"/>
      <c r="T438" s="25"/>
      <c r="U438" s="25"/>
      <c r="V438" s="25"/>
      <c r="W438" s="25"/>
      <c r="X438" s="25"/>
      <c r="Y438" s="25"/>
      <c r="Z438" s="25"/>
      <c r="AA438" s="25"/>
      <c r="AB438" s="25"/>
      <c r="AC438" s="25"/>
      <c r="AD438" s="168"/>
    </row>
    <row r="439" spans="18:30" ht="69.75" customHeight="1" x14ac:dyDescent="0.25">
      <c r="R439" s="25"/>
      <c r="S439" s="25"/>
      <c r="T439" s="25"/>
      <c r="U439" s="25"/>
      <c r="V439" s="25"/>
      <c r="W439" s="25"/>
      <c r="X439" s="25"/>
      <c r="Y439" s="25"/>
      <c r="Z439" s="25"/>
      <c r="AA439" s="25"/>
      <c r="AB439" s="25"/>
      <c r="AC439" s="25"/>
      <c r="AD439" s="168"/>
    </row>
    <row r="440" spans="18:30" ht="69.75" customHeight="1" x14ac:dyDescent="0.25">
      <c r="R440" s="25"/>
      <c r="S440" s="25"/>
      <c r="T440" s="25"/>
      <c r="U440" s="25"/>
      <c r="V440" s="25"/>
      <c r="W440" s="25"/>
      <c r="X440" s="25"/>
      <c r="Y440" s="25"/>
      <c r="Z440" s="25"/>
      <c r="AA440" s="25"/>
      <c r="AB440" s="25"/>
      <c r="AC440" s="25"/>
      <c r="AD440" s="168"/>
    </row>
    <row r="441" spans="18:30" ht="69.75" customHeight="1" x14ac:dyDescent="0.25">
      <c r="R441" s="25"/>
      <c r="S441" s="25"/>
      <c r="T441" s="25"/>
      <c r="U441" s="25"/>
      <c r="V441" s="25"/>
      <c r="W441" s="25"/>
      <c r="X441" s="25"/>
      <c r="Y441" s="25"/>
      <c r="Z441" s="25"/>
      <c r="AA441" s="25"/>
      <c r="AB441" s="25"/>
      <c r="AC441" s="25"/>
      <c r="AD441" s="168"/>
    </row>
    <row r="442" spans="18:30" ht="69.75" customHeight="1" x14ac:dyDescent="0.25">
      <c r="R442" s="25"/>
      <c r="S442" s="25"/>
      <c r="T442" s="25"/>
      <c r="U442" s="25"/>
      <c r="V442" s="25"/>
      <c r="W442" s="25"/>
      <c r="X442" s="25"/>
      <c r="Y442" s="25"/>
      <c r="Z442" s="25"/>
      <c r="AA442" s="25"/>
      <c r="AB442" s="25"/>
      <c r="AC442" s="25"/>
      <c r="AD442" s="168"/>
    </row>
    <row r="443" spans="18:30" ht="69.75" customHeight="1" x14ac:dyDescent="0.25">
      <c r="R443" s="25"/>
      <c r="S443" s="25"/>
      <c r="T443" s="25"/>
      <c r="U443" s="25"/>
      <c r="V443" s="25"/>
      <c r="W443" s="25"/>
      <c r="X443" s="25"/>
      <c r="Y443" s="25"/>
      <c r="Z443" s="25"/>
      <c r="AA443" s="25"/>
      <c r="AB443" s="25"/>
      <c r="AC443" s="25"/>
      <c r="AD443" s="168"/>
    </row>
    <row r="444" spans="18:30" ht="69.75" customHeight="1" x14ac:dyDescent="0.25">
      <c r="R444" s="25"/>
      <c r="S444" s="25"/>
      <c r="T444" s="25"/>
      <c r="U444" s="25"/>
      <c r="V444" s="25"/>
      <c r="W444" s="25"/>
      <c r="X444" s="25"/>
      <c r="Y444" s="25"/>
      <c r="Z444" s="25"/>
      <c r="AA444" s="25"/>
      <c r="AB444" s="25"/>
      <c r="AC444" s="25"/>
      <c r="AD444" s="168"/>
    </row>
    <row r="445" spans="18:30" ht="69.75" customHeight="1" x14ac:dyDescent="0.25">
      <c r="R445" s="25"/>
      <c r="S445" s="25"/>
      <c r="T445" s="25"/>
      <c r="U445" s="25"/>
      <c r="V445" s="25"/>
      <c r="W445" s="25"/>
      <c r="X445" s="25"/>
      <c r="Y445" s="25"/>
      <c r="Z445" s="25"/>
      <c r="AA445" s="25"/>
      <c r="AB445" s="25"/>
      <c r="AC445" s="25"/>
      <c r="AD445" s="168"/>
    </row>
    <row r="446" spans="18:30" ht="69.75" customHeight="1" x14ac:dyDescent="0.25">
      <c r="R446" s="25"/>
      <c r="S446" s="25"/>
      <c r="T446" s="25"/>
      <c r="U446" s="25"/>
      <c r="V446" s="25"/>
      <c r="W446" s="25"/>
      <c r="X446" s="25"/>
      <c r="Y446" s="25"/>
      <c r="Z446" s="25"/>
      <c r="AA446" s="25"/>
      <c r="AB446" s="25"/>
      <c r="AC446" s="25"/>
      <c r="AD446" s="168"/>
    </row>
    <row r="447" spans="18:30" ht="69.75" customHeight="1" x14ac:dyDescent="0.25">
      <c r="R447" s="25"/>
      <c r="S447" s="25"/>
      <c r="T447" s="25"/>
      <c r="U447" s="25"/>
      <c r="V447" s="25"/>
      <c r="W447" s="25"/>
      <c r="X447" s="25"/>
      <c r="Y447" s="25"/>
      <c r="Z447" s="25"/>
      <c r="AA447" s="25"/>
      <c r="AB447" s="25"/>
      <c r="AC447" s="25"/>
      <c r="AD447" s="168"/>
    </row>
    <row r="448" spans="18:30" ht="69.75" customHeight="1" x14ac:dyDescent="0.25">
      <c r="R448" s="25"/>
      <c r="S448" s="25"/>
      <c r="T448" s="25"/>
      <c r="U448" s="25"/>
      <c r="V448" s="25"/>
      <c r="W448" s="25"/>
      <c r="X448" s="25"/>
      <c r="Y448" s="25"/>
      <c r="Z448" s="25"/>
      <c r="AA448" s="25"/>
      <c r="AB448" s="25"/>
      <c r="AC448" s="25"/>
      <c r="AD448" s="168"/>
    </row>
    <row r="449" spans="18:30" ht="69.75" customHeight="1" x14ac:dyDescent="0.25">
      <c r="R449" s="25"/>
      <c r="S449" s="25"/>
      <c r="T449" s="25"/>
      <c r="U449" s="25"/>
      <c r="V449" s="25"/>
      <c r="W449" s="25"/>
      <c r="X449" s="25"/>
      <c r="Y449" s="25"/>
      <c r="Z449" s="25"/>
      <c r="AA449" s="25"/>
      <c r="AB449" s="25"/>
      <c r="AC449" s="25"/>
      <c r="AD449" s="168"/>
    </row>
    <row r="450" spans="18:30" ht="69.75" customHeight="1" x14ac:dyDescent="0.25">
      <c r="R450" s="25"/>
      <c r="S450" s="25"/>
      <c r="T450" s="25"/>
      <c r="U450" s="25"/>
      <c r="V450" s="25"/>
      <c r="W450" s="25"/>
      <c r="X450" s="25"/>
      <c r="Y450" s="25"/>
      <c r="Z450" s="25"/>
      <c r="AA450" s="25"/>
      <c r="AB450" s="25"/>
      <c r="AC450" s="25"/>
      <c r="AD450" s="168"/>
    </row>
    <row r="451" spans="18:30" ht="69.75" customHeight="1" x14ac:dyDescent="0.25">
      <c r="R451" s="25"/>
      <c r="S451" s="25"/>
      <c r="T451" s="25"/>
      <c r="U451" s="25"/>
      <c r="V451" s="25"/>
      <c r="W451" s="25"/>
      <c r="X451" s="25"/>
      <c r="Y451" s="25"/>
      <c r="Z451" s="25"/>
      <c r="AA451" s="25"/>
      <c r="AB451" s="25"/>
      <c r="AC451" s="25"/>
      <c r="AD451" s="168"/>
    </row>
    <row r="452" spans="18:30" ht="69.75" customHeight="1" x14ac:dyDescent="0.25">
      <c r="R452" s="25"/>
      <c r="S452" s="25"/>
      <c r="T452" s="25"/>
      <c r="U452" s="25"/>
      <c r="V452" s="25"/>
      <c r="W452" s="25"/>
      <c r="X452" s="25"/>
      <c r="Y452" s="25"/>
      <c r="Z452" s="25"/>
      <c r="AA452" s="25"/>
      <c r="AB452" s="25"/>
      <c r="AC452" s="25"/>
      <c r="AD452" s="168"/>
    </row>
    <row r="453" spans="18:30" ht="69.75" customHeight="1" x14ac:dyDescent="0.25">
      <c r="R453" s="25"/>
      <c r="S453" s="25"/>
      <c r="T453" s="25"/>
      <c r="U453" s="25"/>
      <c r="V453" s="25"/>
      <c r="W453" s="25"/>
      <c r="X453" s="25"/>
      <c r="Y453" s="25"/>
      <c r="Z453" s="25"/>
      <c r="AA453" s="25"/>
      <c r="AB453" s="25"/>
      <c r="AC453" s="25"/>
      <c r="AD453" s="168"/>
    </row>
    <row r="454" spans="18:30" ht="69.75" customHeight="1" x14ac:dyDescent="0.25">
      <c r="R454" s="25"/>
      <c r="S454" s="25"/>
      <c r="T454" s="25"/>
      <c r="U454" s="25"/>
      <c r="V454" s="25"/>
      <c r="W454" s="25"/>
      <c r="X454" s="25"/>
      <c r="Y454" s="25"/>
      <c r="Z454" s="25"/>
      <c r="AA454" s="25"/>
      <c r="AB454" s="25"/>
      <c r="AC454" s="25"/>
      <c r="AD454" s="168"/>
    </row>
    <row r="455" spans="18:30" ht="69.75" customHeight="1" x14ac:dyDescent="0.25">
      <c r="R455" s="25"/>
      <c r="S455" s="25"/>
      <c r="T455" s="25"/>
      <c r="U455" s="25"/>
      <c r="V455" s="25"/>
      <c r="W455" s="25"/>
      <c r="X455" s="25"/>
      <c r="Y455" s="25"/>
      <c r="Z455" s="25"/>
      <c r="AA455" s="25"/>
      <c r="AB455" s="25"/>
      <c r="AC455" s="25"/>
      <c r="AD455" s="168"/>
    </row>
    <row r="456" spans="18:30" ht="69.75" customHeight="1" x14ac:dyDescent="0.25">
      <c r="R456" s="25"/>
      <c r="S456" s="25"/>
      <c r="T456" s="25"/>
      <c r="U456" s="25"/>
      <c r="V456" s="25"/>
      <c r="W456" s="25"/>
      <c r="X456" s="25"/>
      <c r="Y456" s="25"/>
      <c r="Z456" s="25"/>
      <c r="AA456" s="25"/>
      <c r="AB456" s="25"/>
      <c r="AC456" s="25"/>
      <c r="AD456" s="168"/>
    </row>
    <row r="457" spans="18:30" ht="69.75" customHeight="1" x14ac:dyDescent="0.25">
      <c r="R457" s="25"/>
      <c r="S457" s="25"/>
      <c r="T457" s="25"/>
      <c r="U457" s="25"/>
      <c r="V457" s="25"/>
      <c r="W457" s="25"/>
      <c r="X457" s="25"/>
      <c r="Y457" s="25"/>
      <c r="Z457" s="25"/>
      <c r="AA457" s="25"/>
      <c r="AB457" s="25"/>
      <c r="AC457" s="25"/>
      <c r="AD457" s="168"/>
    </row>
    <row r="458" spans="18:30" ht="69.75" customHeight="1" x14ac:dyDescent="0.25">
      <c r="R458" s="25"/>
      <c r="S458" s="25"/>
      <c r="T458" s="25"/>
      <c r="U458" s="25"/>
      <c r="V458" s="25"/>
      <c r="W458" s="25"/>
      <c r="X458" s="25"/>
      <c r="Y458" s="25"/>
      <c r="Z458" s="25"/>
      <c r="AA458" s="25"/>
      <c r="AB458" s="25"/>
      <c r="AC458" s="25"/>
      <c r="AD458" s="168"/>
    </row>
    <row r="459" spans="18:30" ht="69.75" customHeight="1" x14ac:dyDescent="0.25">
      <c r="R459" s="25"/>
      <c r="S459" s="25"/>
      <c r="T459" s="25"/>
      <c r="U459" s="25"/>
      <c r="V459" s="25"/>
      <c r="W459" s="25"/>
      <c r="X459" s="25"/>
      <c r="Y459" s="25"/>
      <c r="Z459" s="25"/>
      <c r="AA459" s="25"/>
      <c r="AB459" s="25"/>
      <c r="AC459" s="25"/>
      <c r="AD459" s="168"/>
    </row>
    <row r="460" spans="18:30" ht="69.75" customHeight="1" x14ac:dyDescent="0.25">
      <c r="R460" s="25"/>
      <c r="S460" s="25"/>
      <c r="T460" s="25"/>
      <c r="U460" s="25"/>
      <c r="V460" s="25"/>
      <c r="W460" s="25"/>
      <c r="X460" s="25"/>
      <c r="Y460" s="25"/>
      <c r="Z460" s="25"/>
      <c r="AA460" s="25"/>
      <c r="AB460" s="25"/>
      <c r="AC460" s="25"/>
      <c r="AD460" s="168"/>
    </row>
    <row r="461" spans="18:30" ht="69.75" customHeight="1" x14ac:dyDescent="0.25">
      <c r="R461" s="25"/>
      <c r="S461" s="25"/>
      <c r="T461" s="25"/>
      <c r="U461" s="25"/>
      <c r="V461" s="25"/>
      <c r="W461" s="25"/>
      <c r="X461" s="25"/>
      <c r="Y461" s="25"/>
      <c r="Z461" s="25"/>
      <c r="AA461" s="25"/>
      <c r="AB461" s="25"/>
      <c r="AC461" s="25"/>
      <c r="AD461" s="168"/>
    </row>
    <row r="462" spans="18:30" ht="69.75" customHeight="1" x14ac:dyDescent="0.25">
      <c r="R462" s="25"/>
      <c r="S462" s="25"/>
      <c r="T462" s="25"/>
      <c r="U462" s="25"/>
      <c r="V462" s="25"/>
      <c r="W462" s="25"/>
      <c r="X462" s="25"/>
      <c r="Y462" s="25"/>
      <c r="Z462" s="25"/>
      <c r="AA462" s="25"/>
      <c r="AB462" s="25"/>
      <c r="AC462" s="25"/>
      <c r="AD462" s="168"/>
    </row>
    <row r="463" spans="18:30" ht="69.75" customHeight="1" x14ac:dyDescent="0.25">
      <c r="R463" s="25"/>
      <c r="S463" s="25"/>
      <c r="T463" s="25"/>
      <c r="U463" s="25"/>
      <c r="V463" s="25"/>
      <c r="W463" s="25"/>
      <c r="X463" s="25"/>
      <c r="Y463" s="25"/>
      <c r="Z463" s="25"/>
      <c r="AA463" s="25"/>
      <c r="AB463" s="25"/>
      <c r="AC463" s="25"/>
      <c r="AD463" s="168"/>
    </row>
    <row r="464" spans="18:30" ht="69.75" customHeight="1" x14ac:dyDescent="0.25">
      <c r="R464" s="25"/>
      <c r="S464" s="25"/>
      <c r="T464" s="25"/>
      <c r="U464" s="25"/>
      <c r="V464" s="25"/>
      <c r="W464" s="25"/>
      <c r="X464" s="25"/>
      <c r="Y464" s="25"/>
      <c r="Z464" s="25"/>
      <c r="AA464" s="25"/>
      <c r="AB464" s="25"/>
      <c r="AC464" s="25"/>
      <c r="AD464" s="168"/>
    </row>
    <row r="465" spans="18:30" ht="69.75" customHeight="1" x14ac:dyDescent="0.25">
      <c r="R465" s="25"/>
      <c r="S465" s="25"/>
      <c r="T465" s="25"/>
      <c r="U465" s="25"/>
      <c r="V465" s="25"/>
      <c r="W465" s="25"/>
      <c r="X465" s="25"/>
      <c r="Y465" s="25"/>
      <c r="Z465" s="25"/>
      <c r="AA465" s="25"/>
      <c r="AB465" s="25"/>
      <c r="AC465" s="25"/>
      <c r="AD465" s="168"/>
    </row>
    <row r="466" spans="18:30" ht="69.75" customHeight="1" x14ac:dyDescent="0.25">
      <c r="R466" s="25"/>
      <c r="S466" s="25"/>
      <c r="T466" s="25"/>
      <c r="U466" s="25"/>
      <c r="V466" s="25"/>
      <c r="W466" s="25"/>
      <c r="X466" s="25"/>
      <c r="Y466" s="25"/>
      <c r="Z466" s="25"/>
      <c r="AA466" s="25"/>
      <c r="AB466" s="25"/>
      <c r="AC466" s="25"/>
      <c r="AD466" s="168"/>
    </row>
    <row r="467" spans="18:30" ht="69.75" customHeight="1" x14ac:dyDescent="0.25">
      <c r="R467" s="25"/>
      <c r="S467" s="25"/>
      <c r="T467" s="25"/>
      <c r="U467" s="25"/>
      <c r="V467" s="25"/>
      <c r="W467" s="25"/>
      <c r="X467" s="25"/>
      <c r="Y467" s="25"/>
      <c r="Z467" s="25"/>
      <c r="AA467" s="25"/>
      <c r="AB467" s="25"/>
      <c r="AC467" s="25"/>
      <c r="AD467" s="168"/>
    </row>
    <row r="468" spans="18:30" ht="69.75" customHeight="1" x14ac:dyDescent="0.25">
      <c r="R468" s="25"/>
      <c r="S468" s="25"/>
      <c r="T468" s="25"/>
      <c r="U468" s="25"/>
      <c r="V468" s="25"/>
      <c r="W468" s="25"/>
      <c r="X468" s="25"/>
      <c r="Y468" s="25"/>
      <c r="Z468" s="25"/>
      <c r="AA468" s="25"/>
      <c r="AB468" s="25"/>
      <c r="AC468" s="25"/>
      <c r="AD468" s="168"/>
    </row>
    <row r="469" spans="18:30" ht="69.75" customHeight="1" x14ac:dyDescent="0.25">
      <c r="R469" s="25"/>
      <c r="S469" s="25"/>
      <c r="T469" s="25"/>
      <c r="U469" s="25"/>
      <c r="V469" s="25"/>
      <c r="W469" s="25"/>
      <c r="X469" s="25"/>
      <c r="Y469" s="25"/>
      <c r="Z469" s="25"/>
      <c r="AA469" s="25"/>
      <c r="AB469" s="25"/>
      <c r="AC469" s="25"/>
      <c r="AD469" s="168"/>
    </row>
    <row r="470" spans="18:30" ht="69.75" customHeight="1" x14ac:dyDescent="0.25">
      <c r="R470" s="25"/>
      <c r="S470" s="25"/>
      <c r="T470" s="25"/>
      <c r="U470" s="25"/>
      <c r="V470" s="25"/>
      <c r="W470" s="25"/>
      <c r="X470" s="25"/>
      <c r="Y470" s="25"/>
      <c r="Z470" s="25"/>
      <c r="AA470" s="25"/>
      <c r="AB470" s="25"/>
      <c r="AC470" s="25"/>
      <c r="AD470" s="168"/>
    </row>
    <row r="471" spans="18:30" ht="69.75" customHeight="1" x14ac:dyDescent="0.25">
      <c r="R471" s="25"/>
      <c r="S471" s="25"/>
      <c r="T471" s="25"/>
      <c r="U471" s="25"/>
      <c r="V471" s="25"/>
      <c r="W471" s="25"/>
      <c r="X471" s="25"/>
      <c r="Y471" s="25"/>
      <c r="Z471" s="25"/>
      <c r="AA471" s="25"/>
      <c r="AB471" s="25"/>
      <c r="AC471" s="25"/>
      <c r="AD471" s="168"/>
    </row>
    <row r="472" spans="18:30" ht="69.75" customHeight="1" x14ac:dyDescent="0.25">
      <c r="R472" s="25"/>
      <c r="S472" s="25"/>
      <c r="T472" s="25"/>
      <c r="U472" s="25"/>
      <c r="V472" s="25"/>
      <c r="W472" s="25"/>
      <c r="X472" s="25"/>
      <c r="Y472" s="25"/>
      <c r="Z472" s="25"/>
      <c r="AA472" s="25"/>
      <c r="AB472" s="25"/>
      <c r="AC472" s="25"/>
      <c r="AD472" s="168"/>
    </row>
    <row r="473" spans="18:30" ht="69.75" customHeight="1" x14ac:dyDescent="0.25">
      <c r="R473" s="25"/>
      <c r="S473" s="25"/>
      <c r="T473" s="25"/>
      <c r="U473" s="25"/>
      <c r="V473" s="25"/>
      <c r="W473" s="25"/>
      <c r="X473" s="25"/>
      <c r="Y473" s="25"/>
      <c r="Z473" s="25"/>
      <c r="AA473" s="25"/>
      <c r="AB473" s="25"/>
      <c r="AC473" s="25"/>
      <c r="AD473" s="168"/>
    </row>
    <row r="474" spans="18:30" ht="69.75" customHeight="1" x14ac:dyDescent="0.25">
      <c r="R474" s="25"/>
      <c r="S474" s="25"/>
      <c r="T474" s="25"/>
      <c r="U474" s="25"/>
      <c r="V474" s="25"/>
      <c r="W474" s="25"/>
      <c r="X474" s="25"/>
      <c r="Y474" s="25"/>
      <c r="Z474" s="25"/>
      <c r="AA474" s="25"/>
      <c r="AB474" s="25"/>
      <c r="AC474" s="25"/>
      <c r="AD474" s="168"/>
    </row>
    <row r="475" spans="18:30" ht="69.75" customHeight="1" x14ac:dyDescent="0.25">
      <c r="R475" s="25"/>
      <c r="S475" s="25"/>
      <c r="T475" s="25"/>
      <c r="U475" s="25"/>
      <c r="V475" s="25"/>
      <c r="W475" s="25"/>
      <c r="X475" s="25"/>
      <c r="Y475" s="25"/>
      <c r="Z475" s="25"/>
      <c r="AA475" s="25"/>
      <c r="AB475" s="25"/>
      <c r="AC475" s="25"/>
      <c r="AD475" s="168"/>
    </row>
    <row r="476" spans="18:30" ht="69.75" customHeight="1" x14ac:dyDescent="0.25">
      <c r="R476" s="25"/>
      <c r="S476" s="25"/>
      <c r="T476" s="25"/>
      <c r="U476" s="25"/>
      <c r="V476" s="25"/>
      <c r="W476" s="25"/>
      <c r="X476" s="25"/>
      <c r="Y476" s="25"/>
      <c r="Z476" s="25"/>
      <c r="AA476" s="25"/>
      <c r="AB476" s="25"/>
      <c r="AC476" s="25"/>
      <c r="AD476" s="168"/>
    </row>
    <row r="477" spans="18:30" ht="69.75" customHeight="1" x14ac:dyDescent="0.25">
      <c r="R477" s="25"/>
      <c r="S477" s="25"/>
      <c r="T477" s="25"/>
      <c r="U477" s="25"/>
      <c r="V477" s="25"/>
      <c r="W477" s="25"/>
      <c r="X477" s="25"/>
      <c r="Y477" s="25"/>
      <c r="Z477" s="25"/>
      <c r="AA477" s="25"/>
      <c r="AB477" s="25"/>
      <c r="AC477" s="25"/>
      <c r="AD477" s="168"/>
    </row>
    <row r="478" spans="18:30" ht="69.75" customHeight="1" x14ac:dyDescent="0.25">
      <c r="R478" s="25"/>
      <c r="S478" s="25"/>
      <c r="T478" s="25"/>
      <c r="U478" s="25"/>
      <c r="V478" s="25"/>
      <c r="W478" s="25"/>
      <c r="X478" s="25"/>
      <c r="Y478" s="25"/>
      <c r="Z478" s="25"/>
      <c r="AA478" s="25"/>
      <c r="AB478" s="25"/>
      <c r="AC478" s="25"/>
      <c r="AD478" s="168"/>
    </row>
    <row r="479" spans="18:30" ht="69.75" customHeight="1" x14ac:dyDescent="0.25">
      <c r="R479" s="25"/>
      <c r="S479" s="25"/>
      <c r="T479" s="25"/>
      <c r="U479" s="25"/>
      <c r="V479" s="25"/>
      <c r="W479" s="25"/>
      <c r="X479" s="25"/>
      <c r="Y479" s="25"/>
      <c r="Z479" s="25"/>
      <c r="AA479" s="25"/>
      <c r="AB479" s="25"/>
      <c r="AC479" s="25"/>
      <c r="AD479" s="168"/>
    </row>
    <row r="480" spans="18:30" ht="69.75" customHeight="1" x14ac:dyDescent="0.25">
      <c r="R480" s="25"/>
      <c r="S480" s="25"/>
      <c r="T480" s="25"/>
      <c r="U480" s="25"/>
      <c r="V480" s="25"/>
      <c r="W480" s="25"/>
      <c r="X480" s="25"/>
      <c r="Y480" s="25"/>
      <c r="Z480" s="25"/>
      <c r="AA480" s="25"/>
      <c r="AB480" s="25"/>
      <c r="AC480" s="25"/>
      <c r="AD480" s="168"/>
    </row>
    <row r="481" spans="18:30" ht="69.75" customHeight="1" x14ac:dyDescent="0.25">
      <c r="R481" s="25"/>
      <c r="S481" s="25"/>
      <c r="T481" s="25"/>
      <c r="U481" s="25"/>
      <c r="V481" s="25"/>
      <c r="W481" s="25"/>
      <c r="X481" s="25"/>
      <c r="Y481" s="25"/>
      <c r="Z481" s="25"/>
      <c r="AA481" s="25"/>
      <c r="AB481" s="25"/>
      <c r="AC481" s="25"/>
      <c r="AD481" s="168"/>
    </row>
    <row r="482" spans="18:30" ht="69.75" customHeight="1" x14ac:dyDescent="0.25">
      <c r="R482" s="25"/>
      <c r="S482" s="25"/>
      <c r="T482" s="25"/>
      <c r="U482" s="25"/>
      <c r="V482" s="25"/>
      <c r="W482" s="25"/>
      <c r="X482" s="25"/>
      <c r="Y482" s="25"/>
      <c r="Z482" s="25"/>
      <c r="AA482" s="25"/>
      <c r="AB482" s="25"/>
      <c r="AC482" s="25"/>
      <c r="AD482" s="168"/>
    </row>
    <row r="483" spans="18:30" ht="69.75" customHeight="1" x14ac:dyDescent="0.25">
      <c r="R483" s="25"/>
      <c r="S483" s="25"/>
      <c r="T483" s="25"/>
      <c r="U483" s="25"/>
      <c r="V483" s="25"/>
      <c r="W483" s="25"/>
      <c r="X483" s="25"/>
      <c r="Y483" s="25"/>
      <c r="Z483" s="25"/>
      <c r="AA483" s="25"/>
      <c r="AB483" s="25"/>
      <c r="AC483" s="25"/>
      <c r="AD483" s="168"/>
    </row>
    <row r="484" spans="18:30" ht="69.75" customHeight="1" x14ac:dyDescent="0.25">
      <c r="R484" s="25"/>
      <c r="S484" s="25"/>
      <c r="T484" s="25"/>
      <c r="U484" s="25"/>
      <c r="V484" s="25"/>
      <c r="W484" s="25"/>
      <c r="X484" s="25"/>
      <c r="Y484" s="25"/>
      <c r="Z484" s="25"/>
      <c r="AA484" s="25"/>
      <c r="AB484" s="25"/>
      <c r="AC484" s="25"/>
      <c r="AD484" s="168"/>
    </row>
    <row r="485" spans="18:30" ht="69.75" customHeight="1" x14ac:dyDescent="0.25">
      <c r="R485" s="25"/>
      <c r="S485" s="25"/>
      <c r="T485" s="25"/>
      <c r="U485" s="25"/>
      <c r="V485" s="25"/>
      <c r="W485" s="25"/>
      <c r="X485" s="25"/>
      <c r="Y485" s="25"/>
      <c r="Z485" s="25"/>
      <c r="AA485" s="25"/>
      <c r="AB485" s="25"/>
      <c r="AC485" s="25"/>
      <c r="AD485" s="168"/>
    </row>
    <row r="486" spans="18:30" ht="69.75" customHeight="1" x14ac:dyDescent="0.25">
      <c r="R486" s="25"/>
      <c r="S486" s="25"/>
      <c r="T486" s="25"/>
      <c r="U486" s="25"/>
      <c r="V486" s="25"/>
      <c r="W486" s="25"/>
      <c r="X486" s="25"/>
      <c r="Y486" s="25"/>
      <c r="Z486" s="25"/>
      <c r="AA486" s="25"/>
      <c r="AB486" s="25"/>
      <c r="AC486" s="25"/>
      <c r="AD486" s="168"/>
    </row>
    <row r="487" spans="18:30" ht="69.75" customHeight="1" x14ac:dyDescent="0.25">
      <c r="R487" s="25"/>
      <c r="S487" s="25"/>
      <c r="T487" s="25"/>
      <c r="U487" s="25"/>
      <c r="V487" s="25"/>
      <c r="W487" s="25"/>
      <c r="X487" s="25"/>
      <c r="Y487" s="25"/>
      <c r="Z487" s="25"/>
      <c r="AA487" s="25"/>
      <c r="AB487" s="25"/>
      <c r="AC487" s="25"/>
      <c r="AD487" s="168"/>
    </row>
    <row r="488" spans="18:30" ht="69.75" customHeight="1" x14ac:dyDescent="0.25">
      <c r="R488" s="25"/>
      <c r="S488" s="25"/>
      <c r="T488" s="25"/>
      <c r="U488" s="25"/>
      <c r="V488" s="25"/>
      <c r="W488" s="25"/>
      <c r="X488" s="25"/>
      <c r="Y488" s="25"/>
      <c r="Z488" s="25"/>
      <c r="AA488" s="25"/>
      <c r="AB488" s="25"/>
      <c r="AC488" s="25"/>
      <c r="AD488" s="168"/>
    </row>
    <row r="489" spans="18:30" ht="69.75" customHeight="1" x14ac:dyDescent="0.25">
      <c r="R489" s="25"/>
      <c r="S489" s="25"/>
      <c r="T489" s="25"/>
      <c r="U489" s="25"/>
      <c r="V489" s="25"/>
      <c r="W489" s="25"/>
      <c r="X489" s="25"/>
      <c r="Y489" s="25"/>
      <c r="Z489" s="25"/>
      <c r="AA489" s="25"/>
      <c r="AB489" s="25"/>
      <c r="AC489" s="25"/>
      <c r="AD489" s="168"/>
    </row>
    <row r="490" spans="18:30" ht="69.75" customHeight="1" x14ac:dyDescent="0.25">
      <c r="R490" s="25"/>
      <c r="S490" s="25"/>
      <c r="T490" s="25"/>
      <c r="U490" s="25"/>
      <c r="V490" s="25"/>
      <c r="W490" s="25"/>
      <c r="X490" s="25"/>
      <c r="Y490" s="25"/>
      <c r="Z490" s="25"/>
      <c r="AA490" s="25"/>
      <c r="AB490" s="25"/>
      <c r="AC490" s="25"/>
      <c r="AD490" s="168"/>
    </row>
    <row r="491" spans="18:30" ht="69.75" customHeight="1" x14ac:dyDescent="0.25">
      <c r="R491" s="25"/>
      <c r="S491" s="25"/>
      <c r="T491" s="25"/>
      <c r="U491" s="25"/>
      <c r="V491" s="25"/>
      <c r="W491" s="25"/>
      <c r="X491" s="25"/>
      <c r="Y491" s="25"/>
      <c r="Z491" s="25"/>
      <c r="AA491" s="25"/>
      <c r="AB491" s="25"/>
      <c r="AC491" s="25"/>
      <c r="AD491" s="168"/>
    </row>
    <row r="492" spans="18:30" ht="69.75" customHeight="1" x14ac:dyDescent="0.25">
      <c r="R492" s="25"/>
      <c r="S492" s="25"/>
      <c r="T492" s="25"/>
      <c r="U492" s="25"/>
      <c r="V492" s="25"/>
      <c r="W492" s="25"/>
      <c r="X492" s="25"/>
      <c r="Y492" s="25"/>
      <c r="Z492" s="25"/>
      <c r="AA492" s="25"/>
      <c r="AB492" s="25"/>
      <c r="AC492" s="25"/>
      <c r="AD492" s="168"/>
    </row>
    <row r="493" spans="18:30" ht="69.75" customHeight="1" x14ac:dyDescent="0.25">
      <c r="R493" s="25"/>
      <c r="S493" s="25"/>
      <c r="T493" s="25"/>
      <c r="U493" s="25"/>
      <c r="V493" s="25"/>
      <c r="W493" s="25"/>
      <c r="X493" s="25"/>
      <c r="Y493" s="25"/>
      <c r="Z493" s="25"/>
      <c r="AA493" s="25"/>
      <c r="AB493" s="25"/>
      <c r="AC493" s="25"/>
      <c r="AD493" s="168"/>
    </row>
    <row r="494" spans="18:30" ht="69.75" customHeight="1" x14ac:dyDescent="0.25">
      <c r="R494" s="25"/>
      <c r="S494" s="25"/>
      <c r="T494" s="25"/>
      <c r="U494" s="25"/>
      <c r="V494" s="25"/>
      <c r="W494" s="25"/>
      <c r="X494" s="25"/>
      <c r="Y494" s="25"/>
      <c r="Z494" s="25"/>
      <c r="AA494" s="25"/>
      <c r="AB494" s="25"/>
      <c r="AC494" s="25"/>
      <c r="AD494" s="168"/>
    </row>
    <row r="495" spans="18:30" ht="69.75" customHeight="1" x14ac:dyDescent="0.25">
      <c r="R495" s="25"/>
      <c r="S495" s="25"/>
      <c r="T495" s="25"/>
      <c r="U495" s="25"/>
      <c r="V495" s="25"/>
      <c r="W495" s="25"/>
      <c r="X495" s="25"/>
      <c r="Y495" s="25"/>
      <c r="Z495" s="25"/>
      <c r="AA495" s="25"/>
      <c r="AB495" s="25"/>
      <c r="AC495" s="25"/>
      <c r="AD495" s="168"/>
    </row>
    <row r="496" spans="18:30" ht="69.75" customHeight="1" x14ac:dyDescent="0.25">
      <c r="R496" s="25"/>
      <c r="S496" s="25"/>
      <c r="T496" s="25"/>
      <c r="U496" s="25"/>
      <c r="V496" s="25"/>
      <c r="W496" s="25"/>
      <c r="X496" s="25"/>
      <c r="Y496" s="25"/>
      <c r="Z496" s="25"/>
      <c r="AA496" s="25"/>
      <c r="AB496" s="25"/>
      <c r="AC496" s="25"/>
      <c r="AD496" s="168"/>
    </row>
    <row r="497" spans="18:30" ht="69.75" customHeight="1" x14ac:dyDescent="0.25">
      <c r="R497" s="25"/>
      <c r="S497" s="25"/>
      <c r="T497" s="25"/>
      <c r="U497" s="25"/>
      <c r="V497" s="25"/>
      <c r="W497" s="25"/>
      <c r="X497" s="25"/>
      <c r="Y497" s="25"/>
      <c r="Z497" s="25"/>
      <c r="AA497" s="25"/>
      <c r="AB497" s="25"/>
      <c r="AC497" s="25"/>
      <c r="AD497" s="168"/>
    </row>
    <row r="498" spans="18:30" ht="69.75" customHeight="1" x14ac:dyDescent="0.25">
      <c r="R498" s="25"/>
      <c r="S498" s="25"/>
      <c r="T498" s="25"/>
      <c r="U498" s="25"/>
      <c r="V498" s="25"/>
      <c r="W498" s="25"/>
      <c r="X498" s="25"/>
      <c r="Y498" s="25"/>
      <c r="Z498" s="25"/>
      <c r="AA498" s="25"/>
      <c r="AB498" s="25"/>
      <c r="AC498" s="25"/>
      <c r="AD498" s="168"/>
    </row>
    <row r="499" spans="18:30" ht="69.75" customHeight="1" x14ac:dyDescent="0.25">
      <c r="R499" s="25"/>
      <c r="S499" s="25"/>
      <c r="T499" s="25"/>
      <c r="U499" s="25"/>
      <c r="V499" s="25"/>
      <c r="W499" s="25"/>
      <c r="X499" s="25"/>
      <c r="Y499" s="25"/>
      <c r="Z499" s="25"/>
      <c r="AA499" s="25"/>
      <c r="AB499" s="25"/>
      <c r="AC499" s="25"/>
      <c r="AD499" s="168"/>
    </row>
    <row r="500" spans="18:30" ht="69.75" customHeight="1" x14ac:dyDescent="0.25">
      <c r="R500" s="25"/>
      <c r="S500" s="25"/>
      <c r="T500" s="25"/>
      <c r="U500" s="25"/>
      <c r="V500" s="25"/>
      <c r="W500" s="25"/>
      <c r="X500" s="25"/>
      <c r="Y500" s="25"/>
      <c r="Z500" s="25"/>
      <c r="AA500" s="25"/>
      <c r="AB500" s="25"/>
      <c r="AC500" s="25"/>
      <c r="AD500" s="168"/>
    </row>
    <row r="501" spans="18:30" ht="69.75" customHeight="1" x14ac:dyDescent="0.25">
      <c r="R501" s="25"/>
      <c r="S501" s="25"/>
      <c r="T501" s="25"/>
      <c r="U501" s="25"/>
      <c r="V501" s="25"/>
      <c r="W501" s="25"/>
      <c r="X501" s="25"/>
      <c r="Y501" s="25"/>
      <c r="Z501" s="25"/>
      <c r="AA501" s="25"/>
      <c r="AB501" s="25"/>
      <c r="AC501" s="25"/>
      <c r="AD501" s="168"/>
    </row>
    <row r="502" spans="18:30" ht="69.75" customHeight="1" x14ac:dyDescent="0.25">
      <c r="R502" s="25"/>
      <c r="S502" s="25"/>
      <c r="T502" s="25"/>
      <c r="U502" s="25"/>
      <c r="V502" s="25"/>
      <c r="W502" s="25"/>
      <c r="X502" s="25"/>
      <c r="Y502" s="25"/>
      <c r="Z502" s="25"/>
      <c r="AA502" s="25"/>
      <c r="AB502" s="25"/>
      <c r="AC502" s="25"/>
      <c r="AD502" s="168"/>
    </row>
    <row r="503" spans="18:30" ht="69.75" customHeight="1" x14ac:dyDescent="0.25">
      <c r="R503" s="25"/>
      <c r="S503" s="25"/>
      <c r="T503" s="25"/>
      <c r="U503" s="25"/>
      <c r="V503" s="25"/>
      <c r="W503" s="25"/>
      <c r="X503" s="25"/>
      <c r="Y503" s="25"/>
      <c r="Z503" s="25"/>
      <c r="AA503" s="25"/>
      <c r="AB503" s="25"/>
      <c r="AC503" s="25"/>
      <c r="AD503" s="168"/>
    </row>
    <row r="504" spans="18:30" ht="69.75" customHeight="1" x14ac:dyDescent="0.25">
      <c r="R504" s="25"/>
      <c r="S504" s="25"/>
      <c r="T504" s="25"/>
      <c r="U504" s="25"/>
      <c r="V504" s="25"/>
      <c r="W504" s="25"/>
      <c r="X504" s="25"/>
      <c r="Y504" s="25"/>
      <c r="Z504" s="25"/>
      <c r="AA504" s="25"/>
      <c r="AB504" s="25"/>
      <c r="AC504" s="25"/>
      <c r="AD504" s="168"/>
    </row>
    <row r="505" spans="18:30" ht="69.75" customHeight="1" x14ac:dyDescent="0.25">
      <c r="R505" s="25"/>
      <c r="S505" s="25"/>
      <c r="T505" s="25"/>
      <c r="U505" s="25"/>
      <c r="V505" s="25"/>
      <c r="W505" s="25"/>
      <c r="X505" s="25"/>
      <c r="Y505" s="25"/>
      <c r="Z505" s="25"/>
      <c r="AA505" s="25"/>
      <c r="AB505" s="25"/>
      <c r="AC505" s="25"/>
      <c r="AD505" s="168"/>
    </row>
    <row r="506" spans="18:30" ht="69.75" customHeight="1" x14ac:dyDescent="0.25">
      <c r="R506" s="25"/>
      <c r="S506" s="25"/>
      <c r="T506" s="25"/>
      <c r="U506" s="25"/>
      <c r="V506" s="25"/>
      <c r="W506" s="25"/>
      <c r="X506" s="25"/>
      <c r="Y506" s="25"/>
      <c r="Z506" s="25"/>
      <c r="AA506" s="25"/>
      <c r="AB506" s="25"/>
      <c r="AC506" s="25"/>
      <c r="AD506" s="168"/>
    </row>
    <row r="507" spans="18:30" ht="69.75" customHeight="1" x14ac:dyDescent="0.25">
      <c r="R507" s="25"/>
      <c r="S507" s="25"/>
      <c r="T507" s="25"/>
      <c r="U507" s="25"/>
      <c r="V507" s="25"/>
      <c r="W507" s="25"/>
      <c r="X507" s="25"/>
      <c r="Y507" s="25"/>
      <c r="Z507" s="25"/>
      <c r="AA507" s="25"/>
      <c r="AB507" s="25"/>
      <c r="AC507" s="25"/>
      <c r="AD507" s="168"/>
    </row>
    <row r="508" spans="18:30" ht="69.75" customHeight="1" x14ac:dyDescent="0.25">
      <c r="R508" s="25"/>
      <c r="S508" s="25"/>
      <c r="T508" s="25"/>
      <c r="U508" s="25"/>
      <c r="V508" s="25"/>
      <c r="W508" s="25"/>
      <c r="X508" s="25"/>
      <c r="Y508" s="25"/>
      <c r="Z508" s="25"/>
      <c r="AA508" s="25"/>
      <c r="AB508" s="25"/>
      <c r="AC508" s="25"/>
      <c r="AD508" s="168"/>
    </row>
    <row r="509" spans="18:30" ht="69.75" customHeight="1" x14ac:dyDescent="0.25">
      <c r="R509" s="25"/>
      <c r="S509" s="25"/>
      <c r="T509" s="25"/>
      <c r="U509" s="25"/>
      <c r="V509" s="25"/>
      <c r="W509" s="25"/>
      <c r="X509" s="25"/>
      <c r="Y509" s="25"/>
      <c r="Z509" s="25"/>
      <c r="AA509" s="25"/>
      <c r="AB509" s="25"/>
      <c r="AC509" s="25"/>
      <c r="AD509" s="168"/>
    </row>
    <row r="510" spans="18:30" ht="69.75" customHeight="1" x14ac:dyDescent="0.25">
      <c r="R510" s="25"/>
      <c r="S510" s="25"/>
      <c r="T510" s="25"/>
      <c r="U510" s="25"/>
      <c r="V510" s="25"/>
      <c r="W510" s="25"/>
      <c r="X510" s="25"/>
      <c r="Y510" s="25"/>
      <c r="Z510" s="25"/>
      <c r="AA510" s="25"/>
      <c r="AB510" s="25"/>
      <c r="AC510" s="25"/>
      <c r="AD510" s="168"/>
    </row>
    <row r="511" spans="18:30" ht="69.75" customHeight="1" x14ac:dyDescent="0.25">
      <c r="R511" s="25"/>
      <c r="S511" s="25"/>
      <c r="T511" s="25"/>
      <c r="U511" s="25"/>
      <c r="V511" s="25"/>
      <c r="W511" s="25"/>
      <c r="X511" s="25"/>
      <c r="Y511" s="25"/>
      <c r="Z511" s="25"/>
      <c r="AA511" s="25"/>
      <c r="AB511" s="25"/>
      <c r="AC511" s="25"/>
      <c r="AD511" s="168"/>
    </row>
    <row r="512" spans="18:30" ht="69.75" customHeight="1" x14ac:dyDescent="0.25">
      <c r="R512" s="25"/>
      <c r="S512" s="25"/>
      <c r="T512" s="25"/>
      <c r="U512" s="25"/>
      <c r="V512" s="25"/>
      <c r="W512" s="25"/>
      <c r="X512" s="25"/>
      <c r="Y512" s="25"/>
      <c r="Z512" s="25"/>
      <c r="AA512" s="25"/>
      <c r="AB512" s="25"/>
      <c r="AC512" s="25"/>
      <c r="AD512" s="168"/>
    </row>
    <row r="513" spans="18:30" ht="69.75" customHeight="1" x14ac:dyDescent="0.25">
      <c r="R513" s="25"/>
      <c r="S513" s="25"/>
      <c r="T513" s="25"/>
      <c r="U513" s="25"/>
      <c r="V513" s="25"/>
      <c r="W513" s="25"/>
      <c r="X513" s="25"/>
      <c r="Y513" s="25"/>
      <c r="Z513" s="25"/>
      <c r="AA513" s="25"/>
      <c r="AB513" s="25"/>
      <c r="AC513" s="25"/>
      <c r="AD513" s="168"/>
    </row>
    <row r="514" spans="18:30" ht="69.75" customHeight="1" x14ac:dyDescent="0.25">
      <c r="R514" s="25"/>
      <c r="S514" s="25"/>
      <c r="T514" s="25"/>
      <c r="U514" s="25"/>
      <c r="V514" s="25"/>
      <c r="W514" s="25"/>
      <c r="X514" s="25"/>
      <c r="Y514" s="25"/>
      <c r="Z514" s="25"/>
      <c r="AA514" s="25"/>
      <c r="AB514" s="25"/>
      <c r="AC514" s="25"/>
      <c r="AD514" s="168"/>
    </row>
    <row r="515" spans="18:30" ht="69.75" customHeight="1" x14ac:dyDescent="0.25">
      <c r="R515" s="25"/>
      <c r="S515" s="25"/>
      <c r="T515" s="25"/>
      <c r="U515" s="25"/>
      <c r="V515" s="25"/>
      <c r="W515" s="25"/>
      <c r="X515" s="25"/>
      <c r="Y515" s="25"/>
      <c r="Z515" s="25"/>
      <c r="AA515" s="25"/>
      <c r="AB515" s="25"/>
      <c r="AC515" s="25"/>
      <c r="AD515" s="168"/>
    </row>
    <row r="516" spans="18:30" ht="69.75" customHeight="1" x14ac:dyDescent="0.25">
      <c r="R516" s="25"/>
      <c r="S516" s="25"/>
      <c r="T516" s="25"/>
      <c r="U516" s="25"/>
      <c r="V516" s="25"/>
      <c r="W516" s="25"/>
      <c r="X516" s="25"/>
      <c r="Y516" s="25"/>
      <c r="Z516" s="25"/>
      <c r="AA516" s="25"/>
      <c r="AB516" s="25"/>
      <c r="AC516" s="25"/>
      <c r="AD516" s="168"/>
    </row>
    <row r="517" spans="18:30" ht="69.75" customHeight="1" x14ac:dyDescent="0.25">
      <c r="R517" s="25"/>
      <c r="S517" s="25"/>
      <c r="T517" s="25"/>
      <c r="U517" s="25"/>
      <c r="V517" s="25"/>
      <c r="W517" s="25"/>
      <c r="X517" s="25"/>
      <c r="Y517" s="25"/>
      <c r="Z517" s="25"/>
      <c r="AA517" s="25"/>
      <c r="AB517" s="25"/>
      <c r="AC517" s="25"/>
      <c r="AD517" s="168"/>
    </row>
    <row r="518" spans="18:30" ht="69.75" customHeight="1" x14ac:dyDescent="0.25">
      <c r="R518" s="25"/>
      <c r="S518" s="25"/>
      <c r="T518" s="25"/>
      <c r="U518" s="25"/>
      <c r="V518" s="25"/>
      <c r="W518" s="25"/>
      <c r="X518" s="25"/>
      <c r="Y518" s="25"/>
      <c r="Z518" s="25"/>
      <c r="AA518" s="25"/>
      <c r="AB518" s="25"/>
      <c r="AC518" s="25"/>
      <c r="AD518" s="168"/>
    </row>
    <row r="519" spans="18:30" ht="69.75" customHeight="1" x14ac:dyDescent="0.25">
      <c r="R519" s="25"/>
      <c r="S519" s="25"/>
      <c r="T519" s="25"/>
      <c r="U519" s="25"/>
      <c r="V519" s="25"/>
      <c r="W519" s="25"/>
      <c r="X519" s="25"/>
      <c r="Y519" s="25"/>
      <c r="Z519" s="25"/>
      <c r="AA519" s="25"/>
      <c r="AB519" s="25"/>
      <c r="AC519" s="25"/>
      <c r="AD519" s="168"/>
    </row>
    <row r="520" spans="18:30" ht="69.75" customHeight="1" x14ac:dyDescent="0.25">
      <c r="R520" s="25"/>
      <c r="S520" s="25"/>
      <c r="T520" s="25"/>
      <c r="U520" s="25"/>
      <c r="V520" s="25"/>
      <c r="W520" s="25"/>
      <c r="X520" s="25"/>
      <c r="Y520" s="25"/>
      <c r="Z520" s="25"/>
      <c r="AA520" s="25"/>
      <c r="AB520" s="25"/>
      <c r="AC520" s="25"/>
      <c r="AD520" s="168"/>
    </row>
    <row r="521" spans="18:30" ht="69.75" customHeight="1" x14ac:dyDescent="0.25">
      <c r="R521" s="25"/>
      <c r="S521" s="25"/>
      <c r="T521" s="25"/>
      <c r="U521" s="25"/>
      <c r="V521" s="25"/>
      <c r="W521" s="25"/>
      <c r="X521" s="25"/>
      <c r="Y521" s="25"/>
      <c r="Z521" s="25"/>
      <c r="AA521" s="25"/>
      <c r="AB521" s="25"/>
      <c r="AC521" s="25"/>
      <c r="AD521" s="168"/>
    </row>
    <row r="522" spans="18:30" ht="69.75" customHeight="1" x14ac:dyDescent="0.25">
      <c r="R522" s="25"/>
      <c r="S522" s="25"/>
      <c r="T522" s="25"/>
      <c r="U522" s="25"/>
      <c r="V522" s="25"/>
      <c r="W522" s="25"/>
      <c r="X522" s="25"/>
      <c r="Y522" s="25"/>
      <c r="Z522" s="25"/>
      <c r="AA522" s="25"/>
      <c r="AB522" s="25"/>
      <c r="AC522" s="25"/>
      <c r="AD522" s="168"/>
    </row>
    <row r="523" spans="18:30" ht="69.75" customHeight="1" x14ac:dyDescent="0.25">
      <c r="R523" s="25"/>
      <c r="S523" s="25"/>
      <c r="T523" s="25"/>
      <c r="U523" s="25"/>
      <c r="V523" s="25"/>
      <c r="W523" s="25"/>
      <c r="X523" s="25"/>
      <c r="Y523" s="25"/>
      <c r="Z523" s="25"/>
      <c r="AA523" s="25"/>
      <c r="AB523" s="25"/>
      <c r="AC523" s="25"/>
      <c r="AD523" s="168"/>
    </row>
    <row r="524" spans="18:30" ht="69.75" customHeight="1" x14ac:dyDescent="0.25">
      <c r="R524" s="25"/>
      <c r="S524" s="25"/>
      <c r="T524" s="25"/>
      <c r="U524" s="25"/>
      <c r="V524" s="25"/>
      <c r="W524" s="25"/>
      <c r="X524" s="25"/>
      <c r="Y524" s="25"/>
      <c r="Z524" s="25"/>
      <c r="AA524" s="25"/>
      <c r="AB524" s="25"/>
      <c r="AC524" s="25"/>
      <c r="AD524" s="168"/>
    </row>
    <row r="525" spans="18:30" ht="69.75" customHeight="1" x14ac:dyDescent="0.25">
      <c r="R525" s="25"/>
      <c r="S525" s="25"/>
      <c r="T525" s="25"/>
      <c r="U525" s="25"/>
      <c r="V525" s="25"/>
      <c r="W525" s="25"/>
      <c r="X525" s="25"/>
      <c r="Y525" s="25"/>
      <c r="Z525" s="25"/>
      <c r="AA525" s="25"/>
      <c r="AB525" s="25"/>
      <c r="AC525" s="25"/>
      <c r="AD525" s="168"/>
    </row>
    <row r="526" spans="18:30" ht="69.75" customHeight="1" x14ac:dyDescent="0.25">
      <c r="R526" s="25"/>
      <c r="S526" s="25"/>
      <c r="T526" s="25"/>
      <c r="U526" s="25"/>
      <c r="V526" s="25"/>
      <c r="W526" s="25"/>
      <c r="X526" s="25"/>
      <c r="Y526" s="25"/>
      <c r="Z526" s="25"/>
      <c r="AA526" s="25"/>
      <c r="AB526" s="25"/>
      <c r="AC526" s="25"/>
      <c r="AD526" s="168"/>
    </row>
    <row r="527" spans="18:30" ht="69.75" customHeight="1" x14ac:dyDescent="0.25">
      <c r="R527" s="25"/>
      <c r="S527" s="25"/>
      <c r="T527" s="25"/>
      <c r="U527" s="25"/>
      <c r="V527" s="25"/>
      <c r="W527" s="25"/>
      <c r="X527" s="25"/>
      <c r="Y527" s="25"/>
      <c r="Z527" s="25"/>
      <c r="AA527" s="25"/>
      <c r="AB527" s="25"/>
      <c r="AC527" s="25"/>
      <c r="AD527" s="168"/>
    </row>
    <row r="528" spans="18:30" ht="69.75" customHeight="1" x14ac:dyDescent="0.25">
      <c r="R528" s="25"/>
      <c r="S528" s="25"/>
      <c r="T528" s="25"/>
      <c r="U528" s="25"/>
      <c r="V528" s="25"/>
      <c r="W528" s="25"/>
      <c r="X528" s="25"/>
      <c r="Y528" s="25"/>
      <c r="Z528" s="25"/>
      <c r="AA528" s="25"/>
      <c r="AB528" s="25"/>
      <c r="AC528" s="25"/>
      <c r="AD528" s="168"/>
    </row>
    <row r="529" spans="18:30" ht="69.75" customHeight="1" x14ac:dyDescent="0.25">
      <c r="R529" s="25"/>
      <c r="S529" s="25"/>
      <c r="T529" s="25"/>
      <c r="U529" s="25"/>
      <c r="V529" s="25"/>
      <c r="W529" s="25"/>
      <c r="X529" s="25"/>
      <c r="Y529" s="25"/>
      <c r="Z529" s="25"/>
      <c r="AA529" s="25"/>
      <c r="AB529" s="25"/>
      <c r="AC529" s="25"/>
      <c r="AD529" s="168"/>
    </row>
    <row r="530" spans="18:30" ht="69.75" customHeight="1" x14ac:dyDescent="0.25">
      <c r="R530" s="25"/>
      <c r="S530" s="25"/>
      <c r="T530" s="25"/>
      <c r="U530" s="25"/>
      <c r="V530" s="25"/>
      <c r="W530" s="25"/>
      <c r="X530" s="25"/>
      <c r="Y530" s="25"/>
      <c r="Z530" s="25"/>
      <c r="AA530" s="25"/>
      <c r="AB530" s="25"/>
      <c r="AC530" s="25"/>
      <c r="AD530" s="168"/>
    </row>
    <row r="531" spans="18:30" ht="69.75" customHeight="1" x14ac:dyDescent="0.25">
      <c r="R531" s="25"/>
      <c r="S531" s="25"/>
      <c r="T531" s="25"/>
      <c r="U531" s="25"/>
      <c r="V531" s="25"/>
      <c r="W531" s="25"/>
      <c r="X531" s="25"/>
      <c r="Y531" s="25"/>
      <c r="Z531" s="25"/>
      <c r="AA531" s="25"/>
      <c r="AB531" s="25"/>
      <c r="AC531" s="25"/>
      <c r="AD531" s="168"/>
    </row>
    <row r="532" spans="18:30" ht="69.75" customHeight="1" x14ac:dyDescent="0.25">
      <c r="R532" s="25"/>
      <c r="S532" s="25"/>
      <c r="T532" s="25"/>
      <c r="U532" s="25"/>
      <c r="V532" s="25"/>
      <c r="W532" s="25"/>
      <c r="X532" s="25"/>
      <c r="Y532" s="25"/>
      <c r="Z532" s="25"/>
      <c r="AA532" s="25"/>
      <c r="AB532" s="25"/>
      <c r="AC532" s="25"/>
      <c r="AD532" s="168"/>
    </row>
    <row r="533" spans="18:30" ht="69.75" customHeight="1" x14ac:dyDescent="0.25">
      <c r="R533" s="25"/>
      <c r="S533" s="25"/>
      <c r="T533" s="25"/>
      <c r="U533" s="25"/>
      <c r="V533" s="25"/>
      <c r="W533" s="25"/>
      <c r="X533" s="25"/>
      <c r="Y533" s="25"/>
      <c r="Z533" s="25"/>
      <c r="AA533" s="25"/>
      <c r="AB533" s="25"/>
      <c r="AC533" s="25"/>
      <c r="AD533" s="168"/>
    </row>
    <row r="534" spans="18:30" ht="69.75" customHeight="1" x14ac:dyDescent="0.25">
      <c r="R534" s="25"/>
      <c r="S534" s="25"/>
      <c r="T534" s="25"/>
      <c r="U534" s="25"/>
      <c r="V534" s="25"/>
      <c r="W534" s="25"/>
      <c r="X534" s="25"/>
      <c r="Y534" s="25"/>
      <c r="Z534" s="25"/>
      <c r="AA534" s="25"/>
      <c r="AB534" s="25"/>
      <c r="AC534" s="25"/>
      <c r="AD534" s="168"/>
    </row>
    <row r="535" spans="18:30" ht="69.75" customHeight="1" x14ac:dyDescent="0.25">
      <c r="R535" s="25"/>
      <c r="S535" s="25"/>
      <c r="T535" s="25"/>
      <c r="U535" s="25"/>
      <c r="V535" s="25"/>
      <c r="W535" s="25"/>
      <c r="X535" s="25"/>
      <c r="Y535" s="25"/>
      <c r="Z535" s="25"/>
      <c r="AA535" s="25"/>
      <c r="AB535" s="25"/>
      <c r="AC535" s="25"/>
      <c r="AD535" s="168"/>
    </row>
    <row r="536" spans="18:30" ht="69.75" customHeight="1" x14ac:dyDescent="0.25">
      <c r="R536" s="25"/>
      <c r="S536" s="25"/>
      <c r="T536" s="25"/>
      <c r="U536" s="25"/>
      <c r="V536" s="25"/>
      <c r="W536" s="25"/>
      <c r="X536" s="25"/>
      <c r="Y536" s="25"/>
      <c r="Z536" s="25"/>
      <c r="AA536" s="25"/>
      <c r="AB536" s="25"/>
      <c r="AC536" s="25"/>
      <c r="AD536" s="168"/>
    </row>
    <row r="537" spans="18:30" ht="69.75" customHeight="1" x14ac:dyDescent="0.25">
      <c r="R537" s="25"/>
      <c r="S537" s="25"/>
      <c r="T537" s="25"/>
      <c r="U537" s="25"/>
      <c r="V537" s="25"/>
      <c r="W537" s="25"/>
      <c r="X537" s="25"/>
      <c r="Y537" s="25"/>
      <c r="Z537" s="25"/>
      <c r="AA537" s="25"/>
      <c r="AB537" s="25"/>
      <c r="AC537" s="25"/>
      <c r="AD537" s="168"/>
    </row>
    <row r="538" spans="18:30" ht="69.75" customHeight="1" x14ac:dyDescent="0.25">
      <c r="R538" s="25"/>
      <c r="S538" s="25"/>
      <c r="T538" s="25"/>
      <c r="U538" s="25"/>
      <c r="V538" s="25"/>
      <c r="W538" s="25"/>
      <c r="X538" s="25"/>
      <c r="Y538" s="25"/>
      <c r="Z538" s="25"/>
      <c r="AA538" s="25"/>
      <c r="AB538" s="25"/>
      <c r="AC538" s="25"/>
      <c r="AD538" s="168"/>
    </row>
    <row r="539" spans="18:30" ht="69.75" customHeight="1" x14ac:dyDescent="0.25">
      <c r="R539" s="25"/>
      <c r="S539" s="25"/>
      <c r="T539" s="25"/>
      <c r="U539" s="25"/>
      <c r="V539" s="25"/>
      <c r="W539" s="25"/>
      <c r="X539" s="25"/>
      <c r="Y539" s="25"/>
      <c r="Z539" s="25"/>
      <c r="AA539" s="25"/>
      <c r="AB539" s="25"/>
      <c r="AC539" s="25"/>
      <c r="AD539" s="168"/>
    </row>
    <row r="540" spans="18:30" ht="69.75" customHeight="1" x14ac:dyDescent="0.25">
      <c r="R540" s="25"/>
      <c r="S540" s="25"/>
      <c r="T540" s="25"/>
      <c r="U540" s="25"/>
      <c r="V540" s="25"/>
      <c r="W540" s="25"/>
      <c r="X540" s="25"/>
      <c r="Y540" s="25"/>
      <c r="Z540" s="25"/>
      <c r="AA540" s="25"/>
      <c r="AB540" s="25"/>
      <c r="AC540" s="25"/>
      <c r="AD540" s="168"/>
    </row>
    <row r="541" spans="18:30" ht="69.75" customHeight="1" x14ac:dyDescent="0.25">
      <c r="R541" s="25"/>
      <c r="S541" s="25"/>
      <c r="T541" s="25"/>
      <c r="U541" s="25"/>
      <c r="V541" s="25"/>
      <c r="W541" s="25"/>
      <c r="X541" s="25"/>
      <c r="Y541" s="25"/>
      <c r="Z541" s="25"/>
      <c r="AA541" s="25"/>
      <c r="AB541" s="25"/>
      <c r="AC541" s="25"/>
      <c r="AD541" s="168"/>
    </row>
    <row r="542" spans="18:30" ht="69.75" customHeight="1" x14ac:dyDescent="0.25">
      <c r="R542" s="25"/>
      <c r="S542" s="25"/>
      <c r="T542" s="25"/>
      <c r="U542" s="25"/>
      <c r="V542" s="25"/>
      <c r="W542" s="25"/>
      <c r="X542" s="25"/>
      <c r="Y542" s="25"/>
      <c r="Z542" s="25"/>
      <c r="AA542" s="25"/>
      <c r="AB542" s="25"/>
      <c r="AC542" s="25"/>
      <c r="AD542" s="168"/>
    </row>
    <row r="543" spans="18:30" ht="69.75" customHeight="1" x14ac:dyDescent="0.25">
      <c r="R543" s="25"/>
      <c r="S543" s="25"/>
      <c r="T543" s="25"/>
      <c r="U543" s="25"/>
      <c r="V543" s="25"/>
      <c r="W543" s="25"/>
      <c r="X543" s="25"/>
      <c r="Y543" s="25"/>
      <c r="Z543" s="25"/>
      <c r="AA543" s="25"/>
      <c r="AB543" s="25"/>
      <c r="AC543" s="25"/>
      <c r="AD543" s="168"/>
    </row>
    <row r="544" spans="18:30" ht="69.75" customHeight="1" x14ac:dyDescent="0.25">
      <c r="R544" s="25"/>
      <c r="S544" s="25"/>
      <c r="T544" s="25"/>
      <c r="U544" s="25"/>
      <c r="V544" s="25"/>
      <c r="W544" s="25"/>
      <c r="X544" s="25"/>
      <c r="Y544" s="25"/>
      <c r="Z544" s="25"/>
      <c r="AA544" s="25"/>
      <c r="AB544" s="25"/>
      <c r="AC544" s="25"/>
      <c r="AD544" s="168"/>
    </row>
    <row r="545" spans="18:30" ht="69.75" customHeight="1" x14ac:dyDescent="0.25">
      <c r="R545" s="25"/>
      <c r="S545" s="25"/>
      <c r="T545" s="25"/>
      <c r="U545" s="25"/>
      <c r="V545" s="25"/>
      <c r="W545" s="25"/>
      <c r="X545" s="25"/>
      <c r="Y545" s="25"/>
      <c r="Z545" s="25"/>
      <c r="AA545" s="25"/>
      <c r="AB545" s="25"/>
      <c r="AC545" s="25"/>
      <c r="AD545" s="168"/>
    </row>
    <row r="546" spans="18:30" ht="69.75" customHeight="1" x14ac:dyDescent="0.25">
      <c r="R546" s="25"/>
      <c r="S546" s="25"/>
      <c r="T546" s="25"/>
      <c r="U546" s="25"/>
      <c r="V546" s="25"/>
      <c r="W546" s="25"/>
      <c r="X546" s="25"/>
      <c r="Y546" s="25"/>
      <c r="Z546" s="25"/>
      <c r="AA546" s="25"/>
      <c r="AB546" s="25"/>
      <c r="AC546" s="25"/>
      <c r="AD546" s="168"/>
    </row>
    <row r="547" spans="18:30" ht="69.75" customHeight="1" x14ac:dyDescent="0.25">
      <c r="R547" s="25"/>
      <c r="S547" s="25"/>
      <c r="T547" s="25"/>
      <c r="U547" s="25"/>
      <c r="V547" s="25"/>
      <c r="W547" s="25"/>
      <c r="X547" s="25"/>
      <c r="Y547" s="25"/>
      <c r="Z547" s="25"/>
      <c r="AA547" s="25"/>
      <c r="AB547" s="25"/>
      <c r="AC547" s="25"/>
      <c r="AD547" s="168"/>
    </row>
    <row r="548" spans="18:30" ht="69.75" customHeight="1" x14ac:dyDescent="0.25">
      <c r="R548" s="25"/>
      <c r="S548" s="25"/>
      <c r="T548" s="25"/>
      <c r="U548" s="25"/>
      <c r="V548" s="25"/>
      <c r="W548" s="25"/>
      <c r="X548" s="25"/>
      <c r="Y548" s="25"/>
      <c r="Z548" s="25"/>
      <c r="AA548" s="25"/>
      <c r="AB548" s="25"/>
      <c r="AC548" s="25"/>
      <c r="AD548" s="168"/>
    </row>
    <row r="549" spans="18:30" ht="69.75" customHeight="1" x14ac:dyDescent="0.25">
      <c r="R549" s="25"/>
      <c r="S549" s="25"/>
      <c r="T549" s="25"/>
      <c r="U549" s="25"/>
      <c r="V549" s="25"/>
      <c r="W549" s="25"/>
      <c r="X549" s="25"/>
      <c r="Y549" s="25"/>
      <c r="Z549" s="25"/>
      <c r="AA549" s="25"/>
      <c r="AB549" s="25"/>
      <c r="AC549" s="25"/>
      <c r="AD549" s="168"/>
    </row>
    <row r="550" spans="18:30" ht="69.75" customHeight="1" x14ac:dyDescent="0.25">
      <c r="R550" s="25"/>
      <c r="S550" s="25"/>
      <c r="T550" s="25"/>
      <c r="U550" s="25"/>
      <c r="V550" s="25"/>
      <c r="W550" s="25"/>
      <c r="X550" s="25"/>
      <c r="Y550" s="25"/>
      <c r="Z550" s="25"/>
      <c r="AA550" s="25"/>
      <c r="AB550" s="25"/>
      <c r="AC550" s="25"/>
      <c r="AD550" s="168"/>
    </row>
    <row r="551" spans="18:30" ht="69.75" customHeight="1" x14ac:dyDescent="0.25">
      <c r="R551" s="25"/>
      <c r="S551" s="25"/>
      <c r="T551" s="25"/>
      <c r="U551" s="25"/>
      <c r="V551" s="25"/>
      <c r="W551" s="25"/>
      <c r="X551" s="25"/>
      <c r="Y551" s="25"/>
      <c r="Z551" s="25"/>
      <c r="AA551" s="25"/>
      <c r="AB551" s="25"/>
      <c r="AC551" s="25"/>
      <c r="AD551" s="168"/>
    </row>
    <row r="552" spans="18:30" ht="69.75" customHeight="1" x14ac:dyDescent="0.25">
      <c r="R552" s="25"/>
      <c r="S552" s="25"/>
      <c r="T552" s="25"/>
      <c r="U552" s="25"/>
      <c r="V552" s="25"/>
      <c r="W552" s="25"/>
      <c r="X552" s="25"/>
      <c r="Y552" s="25"/>
      <c r="Z552" s="25"/>
      <c r="AA552" s="25"/>
      <c r="AB552" s="25"/>
      <c r="AC552" s="25"/>
      <c r="AD552" s="168"/>
    </row>
    <row r="553" spans="18:30" ht="69.75" customHeight="1" x14ac:dyDescent="0.25">
      <c r="R553" s="25"/>
      <c r="S553" s="25"/>
      <c r="T553" s="25"/>
      <c r="U553" s="25"/>
      <c r="V553" s="25"/>
      <c r="W553" s="25"/>
      <c r="X553" s="25"/>
      <c r="Y553" s="25"/>
      <c r="Z553" s="25"/>
      <c r="AA553" s="25"/>
      <c r="AB553" s="25"/>
      <c r="AC553" s="25"/>
      <c r="AD553" s="168"/>
    </row>
    <row r="554" spans="18:30" ht="69.75" customHeight="1" x14ac:dyDescent="0.25">
      <c r="R554" s="25"/>
      <c r="S554" s="25"/>
      <c r="T554" s="25"/>
      <c r="U554" s="25"/>
      <c r="V554" s="25"/>
      <c r="W554" s="25"/>
      <c r="X554" s="25"/>
      <c r="Y554" s="25"/>
      <c r="Z554" s="25"/>
      <c r="AA554" s="25"/>
      <c r="AB554" s="25"/>
      <c r="AC554" s="25"/>
      <c r="AD554" s="168"/>
    </row>
    <row r="555" spans="18:30" ht="69.75" customHeight="1" x14ac:dyDescent="0.25">
      <c r="R555" s="25"/>
      <c r="S555" s="25"/>
      <c r="T555" s="25"/>
      <c r="U555" s="25"/>
      <c r="V555" s="25"/>
      <c r="W555" s="25"/>
      <c r="X555" s="25"/>
      <c r="Y555" s="25"/>
      <c r="Z555" s="25"/>
      <c r="AA555" s="25"/>
      <c r="AB555" s="25"/>
      <c r="AC555" s="25"/>
      <c r="AD555" s="168"/>
    </row>
    <row r="556" spans="18:30" ht="69.75" customHeight="1" x14ac:dyDescent="0.25">
      <c r="R556" s="25"/>
      <c r="S556" s="25"/>
      <c r="T556" s="25"/>
      <c r="U556" s="25"/>
      <c r="V556" s="25"/>
      <c r="W556" s="25"/>
      <c r="X556" s="25"/>
      <c r="Y556" s="25"/>
      <c r="Z556" s="25"/>
      <c r="AA556" s="25"/>
      <c r="AB556" s="25"/>
      <c r="AC556" s="25"/>
      <c r="AD556" s="168"/>
    </row>
    <row r="557" spans="18:30" ht="69.75" customHeight="1" x14ac:dyDescent="0.25">
      <c r="R557" s="25"/>
      <c r="S557" s="25"/>
      <c r="T557" s="25"/>
      <c r="U557" s="25"/>
      <c r="V557" s="25"/>
      <c r="W557" s="25"/>
      <c r="X557" s="25"/>
      <c r="Y557" s="25"/>
      <c r="Z557" s="25"/>
      <c r="AA557" s="25"/>
      <c r="AB557" s="25"/>
      <c r="AC557" s="25"/>
      <c r="AD557" s="168"/>
    </row>
    <row r="558" spans="18:30" ht="69.75" customHeight="1" x14ac:dyDescent="0.25">
      <c r="R558" s="25"/>
      <c r="S558" s="25"/>
      <c r="T558" s="25"/>
      <c r="U558" s="25"/>
      <c r="V558" s="25"/>
      <c r="W558" s="25"/>
      <c r="X558" s="25"/>
      <c r="Y558" s="25"/>
      <c r="Z558" s="25"/>
      <c r="AA558" s="25"/>
      <c r="AB558" s="25"/>
      <c r="AC558" s="25"/>
      <c r="AD558" s="168"/>
    </row>
    <row r="559" spans="18:30" ht="69.75" customHeight="1" x14ac:dyDescent="0.25">
      <c r="R559" s="25"/>
      <c r="S559" s="25"/>
      <c r="T559" s="25"/>
      <c r="U559" s="25"/>
      <c r="V559" s="25"/>
      <c r="W559" s="25"/>
      <c r="X559" s="25"/>
      <c r="Y559" s="25"/>
      <c r="Z559" s="25"/>
      <c r="AA559" s="25"/>
      <c r="AB559" s="25"/>
      <c r="AC559" s="25"/>
      <c r="AD559" s="168"/>
    </row>
    <row r="560" spans="18:30" ht="69.75" customHeight="1" x14ac:dyDescent="0.25">
      <c r="R560" s="25"/>
      <c r="S560" s="25"/>
      <c r="T560" s="25"/>
      <c r="U560" s="25"/>
      <c r="V560" s="25"/>
      <c r="W560" s="25"/>
      <c r="X560" s="25"/>
      <c r="Y560" s="25"/>
      <c r="Z560" s="25"/>
      <c r="AA560" s="25"/>
      <c r="AB560" s="25"/>
      <c r="AC560" s="25"/>
      <c r="AD560" s="168"/>
    </row>
    <row r="561" spans="18:30" ht="69.75" customHeight="1" x14ac:dyDescent="0.25">
      <c r="R561" s="25"/>
      <c r="S561" s="25"/>
      <c r="T561" s="25"/>
      <c r="U561" s="25"/>
      <c r="V561" s="25"/>
      <c r="W561" s="25"/>
      <c r="X561" s="25"/>
      <c r="Y561" s="25"/>
      <c r="Z561" s="25"/>
      <c r="AA561" s="25"/>
      <c r="AB561" s="25"/>
      <c r="AC561" s="25"/>
      <c r="AD561" s="168"/>
    </row>
    <row r="562" spans="18:30" ht="69.75" customHeight="1" x14ac:dyDescent="0.25">
      <c r="R562" s="25"/>
      <c r="S562" s="25"/>
      <c r="T562" s="25"/>
      <c r="U562" s="25"/>
      <c r="V562" s="25"/>
      <c r="W562" s="25"/>
      <c r="X562" s="25"/>
      <c r="Y562" s="25"/>
      <c r="Z562" s="25"/>
      <c r="AA562" s="25"/>
      <c r="AB562" s="25"/>
      <c r="AC562" s="25"/>
      <c r="AD562" s="168"/>
    </row>
    <row r="563" spans="18:30" ht="69.75" customHeight="1" x14ac:dyDescent="0.25">
      <c r="R563" s="25"/>
      <c r="S563" s="25"/>
      <c r="T563" s="25"/>
      <c r="U563" s="25"/>
      <c r="V563" s="25"/>
      <c r="W563" s="25"/>
      <c r="X563" s="25"/>
      <c r="Y563" s="25"/>
      <c r="Z563" s="25"/>
      <c r="AA563" s="25"/>
      <c r="AB563" s="25"/>
      <c r="AC563" s="25"/>
      <c r="AD563" s="168"/>
    </row>
    <row r="564" spans="18:30" ht="69.75" customHeight="1" x14ac:dyDescent="0.25">
      <c r="R564" s="25"/>
      <c r="S564" s="25"/>
      <c r="T564" s="25"/>
      <c r="U564" s="25"/>
      <c r="V564" s="25"/>
      <c r="W564" s="25"/>
      <c r="X564" s="25"/>
      <c r="Y564" s="25"/>
      <c r="Z564" s="25"/>
      <c r="AA564" s="25"/>
      <c r="AB564" s="25"/>
      <c r="AC564" s="25"/>
      <c r="AD564" s="168"/>
    </row>
    <row r="565" spans="18:30" ht="69.75" customHeight="1" x14ac:dyDescent="0.25">
      <c r="R565" s="25"/>
      <c r="S565" s="25"/>
      <c r="T565" s="25"/>
      <c r="U565" s="25"/>
      <c r="V565" s="25"/>
      <c r="W565" s="25"/>
      <c r="X565" s="25"/>
      <c r="Y565" s="25"/>
      <c r="Z565" s="25"/>
      <c r="AA565" s="25"/>
      <c r="AB565" s="25"/>
      <c r="AC565" s="25"/>
      <c r="AD565" s="168"/>
    </row>
    <row r="566" spans="18:30" ht="69.75" customHeight="1" x14ac:dyDescent="0.25">
      <c r="R566" s="25"/>
      <c r="S566" s="25"/>
      <c r="T566" s="25"/>
      <c r="U566" s="25"/>
      <c r="V566" s="25"/>
      <c r="W566" s="25"/>
      <c r="X566" s="25"/>
      <c r="Y566" s="25"/>
      <c r="Z566" s="25"/>
      <c r="AA566" s="25"/>
      <c r="AB566" s="25"/>
      <c r="AC566" s="25"/>
      <c r="AD566" s="168"/>
    </row>
    <row r="567" spans="18:30" ht="69.75" customHeight="1" x14ac:dyDescent="0.25">
      <c r="R567" s="25"/>
      <c r="S567" s="25"/>
      <c r="T567" s="25"/>
      <c r="U567" s="25"/>
      <c r="V567" s="25"/>
      <c r="W567" s="25"/>
      <c r="X567" s="25"/>
      <c r="Y567" s="25"/>
      <c r="Z567" s="25"/>
      <c r="AA567" s="25"/>
      <c r="AB567" s="25"/>
      <c r="AC567" s="25"/>
      <c r="AD567" s="168"/>
    </row>
    <row r="568" spans="18:30" ht="69.75" customHeight="1" x14ac:dyDescent="0.25">
      <c r="R568" s="25"/>
      <c r="S568" s="25"/>
      <c r="T568" s="25"/>
      <c r="U568" s="25"/>
      <c r="V568" s="25"/>
      <c r="W568" s="25"/>
      <c r="X568" s="25"/>
      <c r="Y568" s="25"/>
      <c r="Z568" s="25"/>
      <c r="AA568" s="25"/>
      <c r="AB568" s="25"/>
      <c r="AC568" s="25"/>
      <c r="AD568" s="168"/>
    </row>
    <row r="569" spans="18:30" ht="69.75" customHeight="1" x14ac:dyDescent="0.25">
      <c r="R569" s="25"/>
      <c r="S569" s="25"/>
      <c r="T569" s="25"/>
      <c r="U569" s="25"/>
      <c r="V569" s="25"/>
      <c r="W569" s="25"/>
      <c r="X569" s="25"/>
      <c r="Y569" s="25"/>
      <c r="Z569" s="25"/>
      <c r="AA569" s="25"/>
      <c r="AB569" s="25"/>
      <c r="AC569" s="25"/>
      <c r="AD569" s="168"/>
    </row>
    <row r="570" spans="18:30" ht="69.75" customHeight="1" x14ac:dyDescent="0.25">
      <c r="R570" s="25"/>
      <c r="S570" s="25"/>
      <c r="T570" s="25"/>
      <c r="U570" s="25"/>
      <c r="V570" s="25"/>
      <c r="W570" s="25"/>
      <c r="X570" s="25"/>
      <c r="Y570" s="25"/>
      <c r="Z570" s="25"/>
      <c r="AA570" s="25"/>
      <c r="AB570" s="25"/>
      <c r="AC570" s="25"/>
      <c r="AD570" s="168"/>
    </row>
    <row r="571" spans="18:30" ht="69.75" customHeight="1" x14ac:dyDescent="0.25">
      <c r="R571" s="25"/>
      <c r="S571" s="25"/>
      <c r="T571" s="25"/>
      <c r="U571" s="25"/>
      <c r="V571" s="25"/>
      <c r="W571" s="25"/>
      <c r="X571" s="25"/>
      <c r="Y571" s="25"/>
      <c r="Z571" s="25"/>
      <c r="AA571" s="25"/>
      <c r="AB571" s="25"/>
      <c r="AC571" s="25"/>
      <c r="AD571" s="168"/>
    </row>
    <row r="572" spans="18:30" ht="69.75" customHeight="1" x14ac:dyDescent="0.25">
      <c r="R572" s="25"/>
      <c r="S572" s="25"/>
      <c r="T572" s="25"/>
      <c r="U572" s="25"/>
      <c r="V572" s="25"/>
      <c r="W572" s="25"/>
      <c r="X572" s="25"/>
      <c r="Y572" s="25"/>
      <c r="Z572" s="25"/>
      <c r="AA572" s="25"/>
      <c r="AB572" s="25"/>
      <c r="AC572" s="25"/>
      <c r="AD572" s="168"/>
    </row>
    <row r="573" spans="18:30" ht="69.75" customHeight="1" x14ac:dyDescent="0.25">
      <c r="R573" s="25"/>
      <c r="S573" s="25"/>
      <c r="T573" s="25"/>
      <c r="U573" s="25"/>
      <c r="V573" s="25"/>
      <c r="W573" s="25"/>
      <c r="X573" s="25"/>
      <c r="Y573" s="25"/>
      <c r="Z573" s="25"/>
      <c r="AA573" s="25"/>
      <c r="AB573" s="25"/>
      <c r="AC573" s="25"/>
      <c r="AD573" s="168"/>
    </row>
    <row r="574" spans="18:30" ht="69.75" customHeight="1" x14ac:dyDescent="0.25">
      <c r="R574" s="25"/>
      <c r="S574" s="25"/>
      <c r="T574" s="25"/>
      <c r="U574" s="25"/>
      <c r="V574" s="25"/>
      <c r="W574" s="25"/>
      <c r="X574" s="25"/>
      <c r="Y574" s="25"/>
      <c r="Z574" s="25"/>
      <c r="AA574" s="25"/>
      <c r="AB574" s="25"/>
      <c r="AC574" s="25"/>
      <c r="AD574" s="168"/>
    </row>
    <row r="575" spans="18:30" ht="69.75" customHeight="1" x14ac:dyDescent="0.25">
      <c r="R575" s="25"/>
      <c r="S575" s="25"/>
      <c r="T575" s="25"/>
      <c r="U575" s="25"/>
      <c r="V575" s="25"/>
      <c r="W575" s="25"/>
      <c r="X575" s="25"/>
      <c r="Y575" s="25"/>
      <c r="Z575" s="25"/>
      <c r="AA575" s="25"/>
      <c r="AB575" s="25"/>
      <c r="AC575" s="25"/>
      <c r="AD575" s="168"/>
    </row>
    <row r="576" spans="18:30" ht="69.75" customHeight="1" x14ac:dyDescent="0.25">
      <c r="R576" s="25"/>
      <c r="S576" s="25"/>
      <c r="T576" s="25"/>
      <c r="U576" s="25"/>
      <c r="V576" s="25"/>
      <c r="W576" s="25"/>
      <c r="X576" s="25"/>
      <c r="Y576" s="25"/>
      <c r="Z576" s="25"/>
      <c r="AA576" s="25"/>
      <c r="AB576" s="25"/>
      <c r="AC576" s="25"/>
      <c r="AD576" s="168"/>
    </row>
    <row r="577" spans="18:30" ht="69.75" customHeight="1" x14ac:dyDescent="0.25">
      <c r="R577" s="25"/>
      <c r="S577" s="25"/>
      <c r="T577" s="25"/>
      <c r="U577" s="25"/>
      <c r="V577" s="25"/>
      <c r="W577" s="25"/>
      <c r="X577" s="25"/>
      <c r="Y577" s="25"/>
      <c r="Z577" s="25"/>
      <c r="AA577" s="25"/>
      <c r="AB577" s="25"/>
      <c r="AC577" s="25"/>
      <c r="AD577" s="168"/>
    </row>
    <row r="578" spans="18:30" ht="69.75" customHeight="1" x14ac:dyDescent="0.25">
      <c r="R578" s="25"/>
      <c r="S578" s="25"/>
      <c r="T578" s="25"/>
      <c r="U578" s="25"/>
      <c r="V578" s="25"/>
      <c r="W578" s="25"/>
      <c r="X578" s="25"/>
      <c r="Y578" s="25"/>
      <c r="Z578" s="25"/>
      <c r="AA578" s="25"/>
      <c r="AB578" s="25"/>
      <c r="AC578" s="25"/>
      <c r="AD578" s="168"/>
    </row>
    <row r="579" spans="18:30" ht="69.75" customHeight="1" x14ac:dyDescent="0.25">
      <c r="R579" s="25"/>
      <c r="S579" s="25"/>
      <c r="T579" s="25"/>
      <c r="U579" s="25"/>
      <c r="V579" s="25"/>
      <c r="W579" s="25"/>
      <c r="X579" s="25"/>
      <c r="Y579" s="25"/>
      <c r="Z579" s="25"/>
      <c r="AA579" s="25"/>
      <c r="AB579" s="25"/>
      <c r="AC579" s="25"/>
      <c r="AD579" s="168"/>
    </row>
    <row r="580" spans="18:30" ht="69.75" customHeight="1" x14ac:dyDescent="0.25">
      <c r="R580" s="25"/>
      <c r="S580" s="25"/>
      <c r="T580" s="25"/>
      <c r="U580" s="25"/>
      <c r="V580" s="25"/>
      <c r="W580" s="25"/>
      <c r="X580" s="25"/>
      <c r="Y580" s="25"/>
      <c r="Z580" s="25"/>
      <c r="AA580" s="25"/>
      <c r="AB580" s="25"/>
      <c r="AC580" s="25"/>
      <c r="AD580" s="168"/>
    </row>
    <row r="581" spans="18:30" ht="69.75" customHeight="1" x14ac:dyDescent="0.25">
      <c r="R581" s="25"/>
      <c r="S581" s="25"/>
      <c r="T581" s="25"/>
      <c r="U581" s="25"/>
      <c r="V581" s="25"/>
      <c r="W581" s="25"/>
      <c r="X581" s="25"/>
      <c r="Y581" s="25"/>
      <c r="Z581" s="25"/>
      <c r="AA581" s="25"/>
      <c r="AB581" s="25"/>
      <c r="AC581" s="25"/>
      <c r="AD581" s="168"/>
    </row>
    <row r="582" spans="18:30" ht="69.75" customHeight="1" x14ac:dyDescent="0.25">
      <c r="R582" s="25"/>
      <c r="S582" s="25"/>
      <c r="T582" s="25"/>
      <c r="U582" s="25"/>
      <c r="V582" s="25"/>
      <c r="W582" s="25"/>
      <c r="X582" s="25"/>
      <c r="Y582" s="25"/>
      <c r="Z582" s="25"/>
      <c r="AA582" s="25"/>
      <c r="AB582" s="25"/>
      <c r="AC582" s="25"/>
      <c r="AD582" s="168"/>
    </row>
    <row r="583" spans="18:30" ht="69.75" customHeight="1" x14ac:dyDescent="0.25">
      <c r="R583" s="25"/>
      <c r="S583" s="25"/>
      <c r="T583" s="25"/>
      <c r="U583" s="25"/>
      <c r="V583" s="25"/>
      <c r="W583" s="25"/>
      <c r="X583" s="25"/>
      <c r="Y583" s="25"/>
      <c r="Z583" s="25"/>
      <c r="AA583" s="25"/>
      <c r="AB583" s="25"/>
      <c r="AC583" s="25"/>
      <c r="AD583" s="168"/>
    </row>
    <row r="584" spans="18:30" ht="69.75" customHeight="1" x14ac:dyDescent="0.25">
      <c r="R584" s="25"/>
      <c r="S584" s="25"/>
      <c r="T584" s="25"/>
      <c r="U584" s="25"/>
      <c r="V584" s="25"/>
      <c r="W584" s="25"/>
      <c r="X584" s="25"/>
      <c r="Y584" s="25"/>
      <c r="Z584" s="25"/>
      <c r="AA584" s="25"/>
      <c r="AB584" s="25"/>
      <c r="AC584" s="25"/>
      <c r="AD584" s="168"/>
    </row>
    <row r="585" spans="18:30" ht="69.75" customHeight="1" x14ac:dyDescent="0.25">
      <c r="R585" s="25"/>
      <c r="S585" s="25"/>
      <c r="T585" s="25"/>
      <c r="U585" s="25"/>
      <c r="V585" s="25"/>
      <c r="W585" s="25"/>
      <c r="X585" s="25"/>
      <c r="Y585" s="25"/>
      <c r="Z585" s="25"/>
      <c r="AA585" s="25"/>
      <c r="AB585" s="25"/>
      <c r="AC585" s="25"/>
      <c r="AD585" s="168"/>
    </row>
    <row r="586" spans="18:30" ht="69.75" customHeight="1" x14ac:dyDescent="0.25">
      <c r="R586" s="25"/>
      <c r="S586" s="25"/>
      <c r="T586" s="25"/>
      <c r="U586" s="25"/>
      <c r="V586" s="25"/>
      <c r="W586" s="25"/>
      <c r="X586" s="25"/>
      <c r="Y586" s="25"/>
      <c r="Z586" s="25"/>
      <c r="AA586" s="25"/>
      <c r="AB586" s="25"/>
      <c r="AC586" s="25"/>
      <c r="AD586" s="168"/>
    </row>
    <row r="587" spans="18:30" ht="69.75" customHeight="1" x14ac:dyDescent="0.25">
      <c r="R587" s="25"/>
      <c r="S587" s="25"/>
      <c r="T587" s="25"/>
      <c r="U587" s="25"/>
      <c r="V587" s="25"/>
      <c r="W587" s="25"/>
      <c r="X587" s="25"/>
      <c r="Y587" s="25"/>
      <c r="Z587" s="25"/>
      <c r="AA587" s="25"/>
      <c r="AB587" s="25"/>
      <c r="AC587" s="25"/>
      <c r="AD587" s="168"/>
    </row>
    <row r="588" spans="18:30" ht="69.75" customHeight="1" x14ac:dyDescent="0.25">
      <c r="R588" s="25"/>
      <c r="S588" s="25"/>
      <c r="T588" s="25"/>
      <c r="U588" s="25"/>
      <c r="V588" s="25"/>
      <c r="W588" s="25"/>
      <c r="X588" s="25"/>
      <c r="Y588" s="25"/>
      <c r="Z588" s="25"/>
      <c r="AA588" s="25"/>
      <c r="AB588" s="25"/>
      <c r="AC588" s="25"/>
      <c r="AD588" s="168"/>
    </row>
    <row r="589" spans="18:30" ht="69.75" customHeight="1" x14ac:dyDescent="0.25">
      <c r="R589" s="25"/>
      <c r="S589" s="25"/>
      <c r="T589" s="25"/>
      <c r="U589" s="25"/>
      <c r="V589" s="25"/>
      <c r="W589" s="25"/>
      <c r="X589" s="25"/>
      <c r="Y589" s="25"/>
      <c r="Z589" s="25"/>
      <c r="AA589" s="25"/>
      <c r="AB589" s="25"/>
      <c r="AC589" s="25"/>
      <c r="AD589" s="168"/>
    </row>
    <row r="590" spans="18:30" ht="69.75" customHeight="1" x14ac:dyDescent="0.25">
      <c r="R590" s="25"/>
      <c r="S590" s="25"/>
      <c r="T590" s="25"/>
      <c r="U590" s="25"/>
      <c r="V590" s="25"/>
      <c r="W590" s="25"/>
      <c r="X590" s="25"/>
      <c r="Y590" s="25"/>
      <c r="Z590" s="25"/>
      <c r="AA590" s="25"/>
      <c r="AB590" s="25"/>
      <c r="AC590" s="25"/>
      <c r="AD590" s="168"/>
    </row>
    <row r="591" spans="18:30" ht="69.75" customHeight="1" x14ac:dyDescent="0.25">
      <c r="R591" s="25"/>
      <c r="S591" s="25"/>
      <c r="T591" s="25"/>
      <c r="U591" s="25"/>
      <c r="V591" s="25"/>
      <c r="W591" s="25"/>
      <c r="X591" s="25"/>
      <c r="Y591" s="25"/>
      <c r="Z591" s="25"/>
      <c r="AA591" s="25"/>
      <c r="AB591" s="25"/>
      <c r="AC591" s="25"/>
      <c r="AD591" s="168"/>
    </row>
    <row r="592" spans="18:30" ht="69.75" customHeight="1" x14ac:dyDescent="0.25">
      <c r="R592" s="25"/>
      <c r="S592" s="25"/>
      <c r="T592" s="25"/>
      <c r="U592" s="25"/>
      <c r="V592" s="25"/>
      <c r="W592" s="25"/>
      <c r="X592" s="25"/>
      <c r="Y592" s="25"/>
      <c r="Z592" s="25"/>
      <c r="AA592" s="25"/>
      <c r="AB592" s="25"/>
      <c r="AC592" s="25"/>
      <c r="AD592" s="168"/>
    </row>
    <row r="593" spans="18:30" ht="69.75" customHeight="1" x14ac:dyDescent="0.25">
      <c r="R593" s="25"/>
      <c r="S593" s="25"/>
      <c r="T593" s="25"/>
      <c r="U593" s="25"/>
      <c r="V593" s="25"/>
      <c r="W593" s="25"/>
      <c r="X593" s="25"/>
      <c r="Y593" s="25"/>
      <c r="Z593" s="25"/>
      <c r="AA593" s="25"/>
      <c r="AB593" s="25"/>
      <c r="AC593" s="25"/>
      <c r="AD593" s="168"/>
    </row>
    <row r="594" spans="18:30" ht="69.75" customHeight="1" x14ac:dyDescent="0.25">
      <c r="R594" s="25"/>
      <c r="S594" s="25"/>
      <c r="T594" s="25"/>
      <c r="U594" s="25"/>
      <c r="V594" s="25"/>
      <c r="W594" s="25"/>
      <c r="X594" s="25"/>
      <c r="Y594" s="25"/>
      <c r="Z594" s="25"/>
      <c r="AA594" s="25"/>
      <c r="AB594" s="25"/>
      <c r="AC594" s="25"/>
      <c r="AD594" s="168"/>
    </row>
    <row r="595" spans="18:30" ht="69.75" customHeight="1" x14ac:dyDescent="0.25">
      <c r="R595" s="25"/>
      <c r="S595" s="25"/>
      <c r="T595" s="25"/>
      <c r="U595" s="25"/>
      <c r="V595" s="25"/>
      <c r="W595" s="25"/>
      <c r="X595" s="25"/>
      <c r="Y595" s="25"/>
      <c r="Z595" s="25"/>
      <c r="AA595" s="25"/>
      <c r="AB595" s="25"/>
      <c r="AC595" s="25"/>
      <c r="AD595" s="168"/>
    </row>
    <row r="596" spans="18:30" ht="69.75" customHeight="1" x14ac:dyDescent="0.25">
      <c r="R596" s="25"/>
      <c r="S596" s="25"/>
      <c r="T596" s="25"/>
      <c r="U596" s="25"/>
      <c r="V596" s="25"/>
      <c r="W596" s="25"/>
      <c r="X596" s="25"/>
      <c r="Y596" s="25"/>
      <c r="Z596" s="25"/>
      <c r="AA596" s="25"/>
      <c r="AB596" s="25"/>
      <c r="AC596" s="25"/>
      <c r="AD596" s="168"/>
    </row>
    <row r="597" spans="18:30" ht="69.75" customHeight="1" x14ac:dyDescent="0.25">
      <c r="R597" s="25"/>
      <c r="S597" s="25"/>
      <c r="T597" s="25"/>
      <c r="U597" s="25"/>
      <c r="V597" s="25"/>
      <c r="W597" s="25"/>
      <c r="X597" s="25"/>
      <c r="Y597" s="25"/>
      <c r="Z597" s="25"/>
      <c r="AA597" s="25"/>
      <c r="AB597" s="25"/>
      <c r="AC597" s="25"/>
      <c r="AD597" s="168"/>
    </row>
    <row r="598" spans="18:30" ht="69.75" customHeight="1" x14ac:dyDescent="0.25">
      <c r="R598" s="25"/>
      <c r="S598" s="25"/>
      <c r="T598" s="25"/>
      <c r="U598" s="25"/>
      <c r="V598" s="25"/>
      <c r="W598" s="25"/>
      <c r="X598" s="25"/>
      <c r="Y598" s="25"/>
      <c r="Z598" s="25"/>
      <c r="AA598" s="25"/>
      <c r="AB598" s="25"/>
      <c r="AC598" s="25"/>
      <c r="AD598" s="168"/>
    </row>
    <row r="599" spans="18:30" ht="69.75" customHeight="1" x14ac:dyDescent="0.25">
      <c r="R599" s="25"/>
      <c r="S599" s="25"/>
      <c r="T599" s="25"/>
      <c r="U599" s="25"/>
      <c r="V599" s="25"/>
      <c r="W599" s="25"/>
      <c r="X599" s="25"/>
      <c r="Y599" s="25"/>
      <c r="Z599" s="25"/>
      <c r="AA599" s="25"/>
      <c r="AB599" s="25"/>
      <c r="AC599" s="25"/>
      <c r="AD599" s="168"/>
    </row>
    <row r="600" spans="18:30" ht="69.75" customHeight="1" x14ac:dyDescent="0.25">
      <c r="R600" s="25"/>
      <c r="S600" s="25"/>
      <c r="T600" s="25"/>
      <c r="U600" s="25"/>
      <c r="V600" s="25"/>
      <c r="W600" s="25"/>
      <c r="X600" s="25"/>
      <c r="Y600" s="25"/>
      <c r="Z600" s="25"/>
      <c r="AA600" s="25"/>
      <c r="AB600" s="25"/>
      <c r="AC600" s="25"/>
      <c r="AD600" s="168"/>
    </row>
    <row r="601" spans="18:30" ht="69.75" customHeight="1" x14ac:dyDescent="0.25">
      <c r="R601" s="25"/>
      <c r="S601" s="25"/>
      <c r="T601" s="25"/>
      <c r="U601" s="25"/>
      <c r="V601" s="25"/>
      <c r="W601" s="25"/>
      <c r="X601" s="25"/>
      <c r="Y601" s="25"/>
      <c r="Z601" s="25"/>
      <c r="AA601" s="25"/>
      <c r="AB601" s="25"/>
      <c r="AC601" s="25"/>
      <c r="AD601" s="168"/>
    </row>
    <row r="602" spans="18:30" ht="69.75" customHeight="1" x14ac:dyDescent="0.25">
      <c r="R602" s="25"/>
      <c r="S602" s="25"/>
      <c r="T602" s="25"/>
      <c r="U602" s="25"/>
      <c r="V602" s="25"/>
      <c r="W602" s="25"/>
      <c r="X602" s="25"/>
      <c r="Y602" s="25"/>
      <c r="Z602" s="25"/>
      <c r="AA602" s="25"/>
      <c r="AB602" s="25"/>
      <c r="AC602" s="25"/>
      <c r="AD602" s="168"/>
    </row>
    <row r="603" spans="18:30" ht="69.75" customHeight="1" x14ac:dyDescent="0.25">
      <c r="R603" s="25"/>
      <c r="S603" s="25"/>
      <c r="T603" s="25"/>
      <c r="U603" s="25"/>
      <c r="V603" s="25"/>
      <c r="W603" s="25"/>
      <c r="X603" s="25"/>
      <c r="Y603" s="25"/>
      <c r="Z603" s="25"/>
      <c r="AA603" s="25"/>
      <c r="AB603" s="25"/>
      <c r="AC603" s="25"/>
      <c r="AD603" s="168"/>
    </row>
    <row r="604" spans="18:30" ht="69.75" customHeight="1" x14ac:dyDescent="0.25">
      <c r="R604" s="25"/>
      <c r="S604" s="25"/>
      <c r="T604" s="25"/>
      <c r="U604" s="25"/>
      <c r="V604" s="25"/>
      <c r="W604" s="25"/>
      <c r="X604" s="25"/>
      <c r="Y604" s="25"/>
      <c r="Z604" s="25"/>
      <c r="AA604" s="25"/>
      <c r="AB604" s="25"/>
      <c r="AC604" s="25"/>
      <c r="AD604" s="168"/>
    </row>
    <row r="605" spans="18:30" ht="69.75" customHeight="1" x14ac:dyDescent="0.25">
      <c r="R605" s="25"/>
      <c r="S605" s="25"/>
      <c r="T605" s="25"/>
      <c r="U605" s="25"/>
      <c r="V605" s="25"/>
      <c r="W605" s="25"/>
      <c r="X605" s="25"/>
      <c r="Y605" s="25"/>
      <c r="Z605" s="25"/>
      <c r="AA605" s="25"/>
      <c r="AB605" s="25"/>
      <c r="AC605" s="25"/>
      <c r="AD605" s="168"/>
    </row>
    <row r="606" spans="18:30" ht="69.75" customHeight="1" x14ac:dyDescent="0.25">
      <c r="R606" s="25"/>
      <c r="S606" s="25"/>
      <c r="T606" s="25"/>
      <c r="U606" s="25"/>
      <c r="V606" s="25"/>
      <c r="W606" s="25"/>
      <c r="X606" s="25"/>
      <c r="Y606" s="25"/>
      <c r="Z606" s="25"/>
      <c r="AA606" s="25"/>
      <c r="AB606" s="25"/>
      <c r="AC606" s="25"/>
      <c r="AD606" s="168"/>
    </row>
    <row r="607" spans="18:30" ht="69.75" customHeight="1" x14ac:dyDescent="0.25">
      <c r="R607" s="25"/>
      <c r="S607" s="25"/>
      <c r="T607" s="25"/>
      <c r="U607" s="25"/>
      <c r="V607" s="25"/>
      <c r="W607" s="25"/>
      <c r="X607" s="25"/>
      <c r="Y607" s="25"/>
      <c r="Z607" s="25"/>
      <c r="AA607" s="25"/>
      <c r="AB607" s="25"/>
      <c r="AC607" s="25"/>
      <c r="AD607" s="168"/>
    </row>
    <row r="608" spans="18:30" ht="69.75" customHeight="1" x14ac:dyDescent="0.25">
      <c r="R608" s="25"/>
      <c r="S608" s="25"/>
      <c r="T608" s="25"/>
      <c r="U608" s="25"/>
      <c r="V608" s="25"/>
      <c r="W608" s="25"/>
      <c r="X608" s="25"/>
      <c r="Y608" s="25"/>
      <c r="Z608" s="25"/>
      <c r="AA608" s="25"/>
      <c r="AB608" s="25"/>
      <c r="AC608" s="25"/>
      <c r="AD608" s="168"/>
    </row>
    <row r="609" spans="18:30" ht="69.75" customHeight="1" x14ac:dyDescent="0.25">
      <c r="R609" s="25"/>
      <c r="S609" s="25"/>
      <c r="T609" s="25"/>
      <c r="U609" s="25"/>
      <c r="V609" s="25"/>
      <c r="W609" s="25"/>
      <c r="X609" s="25"/>
      <c r="Y609" s="25"/>
      <c r="Z609" s="25"/>
      <c r="AA609" s="25"/>
      <c r="AB609" s="25"/>
      <c r="AC609" s="25"/>
      <c r="AD609" s="168"/>
    </row>
    <row r="610" spans="18:30" ht="69.75" customHeight="1" x14ac:dyDescent="0.25">
      <c r="R610" s="25"/>
      <c r="S610" s="25"/>
      <c r="T610" s="25"/>
      <c r="U610" s="25"/>
      <c r="V610" s="25"/>
      <c r="W610" s="25"/>
      <c r="X610" s="25"/>
      <c r="Y610" s="25"/>
      <c r="Z610" s="25"/>
      <c r="AA610" s="25"/>
      <c r="AB610" s="25"/>
      <c r="AC610" s="25"/>
      <c r="AD610" s="168"/>
    </row>
    <row r="611" spans="18:30" ht="69.75" customHeight="1" x14ac:dyDescent="0.25">
      <c r="R611" s="25"/>
      <c r="S611" s="25"/>
      <c r="T611" s="25"/>
      <c r="U611" s="25"/>
      <c r="V611" s="25"/>
      <c r="W611" s="25"/>
      <c r="X611" s="25"/>
      <c r="Y611" s="25"/>
      <c r="Z611" s="25"/>
      <c r="AA611" s="25"/>
      <c r="AB611" s="25"/>
      <c r="AC611" s="25"/>
      <c r="AD611" s="168"/>
    </row>
    <row r="612" spans="18:30" ht="69.75" customHeight="1" x14ac:dyDescent="0.25">
      <c r="R612" s="25"/>
      <c r="S612" s="25"/>
      <c r="T612" s="25"/>
      <c r="U612" s="25"/>
      <c r="V612" s="25"/>
      <c r="W612" s="25"/>
      <c r="X612" s="25"/>
      <c r="Y612" s="25"/>
      <c r="Z612" s="25"/>
      <c r="AA612" s="25"/>
      <c r="AB612" s="25"/>
      <c r="AC612" s="25"/>
      <c r="AD612" s="168"/>
    </row>
    <row r="613" spans="18:30" ht="69.75" customHeight="1" x14ac:dyDescent="0.25">
      <c r="R613" s="25"/>
      <c r="S613" s="25"/>
      <c r="T613" s="25"/>
      <c r="U613" s="25"/>
      <c r="V613" s="25"/>
      <c r="W613" s="25"/>
      <c r="X613" s="25"/>
      <c r="Y613" s="25"/>
      <c r="Z613" s="25"/>
      <c r="AA613" s="25"/>
      <c r="AB613" s="25"/>
      <c r="AC613" s="25"/>
      <c r="AD613" s="168"/>
    </row>
    <row r="614" spans="18:30" ht="69.75" customHeight="1" x14ac:dyDescent="0.25">
      <c r="R614" s="25"/>
      <c r="S614" s="25"/>
      <c r="T614" s="25"/>
      <c r="U614" s="25"/>
      <c r="V614" s="25"/>
      <c r="W614" s="25"/>
      <c r="X614" s="25"/>
      <c r="Y614" s="25"/>
      <c r="Z614" s="25"/>
      <c r="AA614" s="25"/>
      <c r="AB614" s="25"/>
      <c r="AC614" s="25"/>
      <c r="AD614" s="168"/>
    </row>
    <row r="615" spans="18:30" ht="69.75" customHeight="1" x14ac:dyDescent="0.25">
      <c r="R615" s="25"/>
      <c r="S615" s="25"/>
      <c r="T615" s="25"/>
      <c r="U615" s="25"/>
      <c r="V615" s="25"/>
      <c r="W615" s="25"/>
      <c r="X615" s="25"/>
      <c r="Y615" s="25"/>
      <c r="Z615" s="25"/>
      <c r="AA615" s="25"/>
      <c r="AB615" s="25"/>
      <c r="AC615" s="25"/>
      <c r="AD615" s="168"/>
    </row>
    <row r="616" spans="18:30" ht="69.75" customHeight="1" x14ac:dyDescent="0.25">
      <c r="R616" s="25"/>
      <c r="S616" s="25"/>
      <c r="T616" s="25"/>
      <c r="U616" s="25"/>
      <c r="V616" s="25"/>
      <c r="W616" s="25"/>
      <c r="X616" s="25"/>
      <c r="Y616" s="25"/>
      <c r="Z616" s="25"/>
      <c r="AA616" s="25"/>
      <c r="AB616" s="25"/>
      <c r="AC616" s="25"/>
      <c r="AD616" s="168"/>
    </row>
    <row r="617" spans="18:30" ht="69.75" customHeight="1" x14ac:dyDescent="0.25">
      <c r="R617" s="25"/>
      <c r="S617" s="25"/>
      <c r="T617" s="25"/>
      <c r="U617" s="25"/>
      <c r="V617" s="25"/>
      <c r="W617" s="25"/>
      <c r="X617" s="25"/>
      <c r="Y617" s="25"/>
      <c r="Z617" s="25"/>
      <c r="AA617" s="25"/>
      <c r="AB617" s="25"/>
      <c r="AC617" s="25"/>
      <c r="AD617" s="168"/>
    </row>
    <row r="618" spans="18:30" ht="69.75" customHeight="1" x14ac:dyDescent="0.25">
      <c r="R618" s="25"/>
      <c r="S618" s="25"/>
      <c r="T618" s="25"/>
      <c r="U618" s="25"/>
      <c r="V618" s="25"/>
      <c r="W618" s="25"/>
      <c r="X618" s="25"/>
      <c r="Y618" s="25"/>
      <c r="Z618" s="25"/>
      <c r="AA618" s="25"/>
      <c r="AB618" s="25"/>
      <c r="AC618" s="25"/>
      <c r="AD618" s="168"/>
    </row>
    <row r="619" spans="18:30" ht="69.75" customHeight="1" x14ac:dyDescent="0.25">
      <c r="R619" s="25"/>
      <c r="S619" s="25"/>
      <c r="T619" s="25"/>
      <c r="U619" s="25"/>
      <c r="V619" s="25"/>
      <c r="W619" s="25"/>
      <c r="X619" s="25"/>
      <c r="Y619" s="25"/>
      <c r="Z619" s="25"/>
      <c r="AA619" s="25"/>
      <c r="AB619" s="25"/>
      <c r="AC619" s="25"/>
      <c r="AD619" s="168"/>
    </row>
    <row r="620" spans="18:30" ht="69.75" customHeight="1" x14ac:dyDescent="0.25">
      <c r="R620" s="25"/>
      <c r="S620" s="25"/>
      <c r="T620" s="25"/>
      <c r="U620" s="25"/>
      <c r="V620" s="25"/>
      <c r="W620" s="25"/>
      <c r="X620" s="25"/>
      <c r="Y620" s="25"/>
      <c r="Z620" s="25"/>
      <c r="AA620" s="25"/>
      <c r="AB620" s="25"/>
      <c r="AC620" s="25"/>
      <c r="AD620" s="168"/>
    </row>
    <row r="621" spans="18:30" ht="69.75" customHeight="1" x14ac:dyDescent="0.25">
      <c r="R621" s="25"/>
      <c r="S621" s="25"/>
      <c r="T621" s="25"/>
      <c r="U621" s="25"/>
      <c r="V621" s="25"/>
      <c r="W621" s="25"/>
      <c r="X621" s="25"/>
      <c r="Y621" s="25"/>
      <c r="Z621" s="25"/>
      <c r="AA621" s="25"/>
      <c r="AB621" s="25"/>
      <c r="AC621" s="25"/>
      <c r="AD621" s="168"/>
    </row>
    <row r="622" spans="18:30" ht="69.75" customHeight="1" x14ac:dyDescent="0.25">
      <c r="R622" s="25"/>
      <c r="S622" s="25"/>
      <c r="T622" s="25"/>
      <c r="U622" s="25"/>
      <c r="V622" s="25"/>
      <c r="W622" s="25"/>
      <c r="X622" s="25"/>
      <c r="Y622" s="25"/>
      <c r="Z622" s="25"/>
      <c r="AA622" s="25"/>
      <c r="AB622" s="25"/>
      <c r="AC622" s="25"/>
      <c r="AD622" s="168"/>
    </row>
    <row r="623" spans="18:30" ht="69.75" customHeight="1" x14ac:dyDescent="0.25">
      <c r="R623" s="25"/>
      <c r="S623" s="25"/>
      <c r="T623" s="25"/>
      <c r="U623" s="25"/>
      <c r="V623" s="25"/>
      <c r="W623" s="25"/>
      <c r="X623" s="25"/>
      <c r="Y623" s="25"/>
      <c r="Z623" s="25"/>
      <c r="AA623" s="25"/>
      <c r="AB623" s="25"/>
      <c r="AC623" s="25"/>
      <c r="AD623" s="168"/>
    </row>
    <row r="624" spans="18:30" ht="69.75" customHeight="1" x14ac:dyDescent="0.25">
      <c r="R624" s="25"/>
      <c r="S624" s="25"/>
      <c r="T624" s="25"/>
      <c r="U624" s="25"/>
      <c r="V624" s="25"/>
      <c r="W624" s="25"/>
      <c r="X624" s="25"/>
      <c r="Y624" s="25"/>
      <c r="Z624" s="25"/>
      <c r="AA624" s="25"/>
      <c r="AB624" s="25"/>
      <c r="AC624" s="25"/>
      <c r="AD624" s="168"/>
    </row>
    <row r="625" spans="18:30" ht="69.75" customHeight="1" x14ac:dyDescent="0.25">
      <c r="R625" s="25"/>
      <c r="S625" s="25"/>
      <c r="T625" s="25"/>
      <c r="U625" s="25"/>
      <c r="V625" s="25"/>
      <c r="W625" s="25"/>
      <c r="X625" s="25"/>
      <c r="Y625" s="25"/>
      <c r="Z625" s="25"/>
      <c r="AA625" s="25"/>
      <c r="AB625" s="25"/>
      <c r="AC625" s="25"/>
      <c r="AD625" s="168"/>
    </row>
    <row r="626" spans="18:30" ht="69.75" customHeight="1" x14ac:dyDescent="0.25">
      <c r="R626" s="25"/>
      <c r="S626" s="25"/>
      <c r="T626" s="25"/>
      <c r="U626" s="25"/>
      <c r="V626" s="25"/>
      <c r="W626" s="25"/>
      <c r="X626" s="25"/>
      <c r="Y626" s="25"/>
      <c r="Z626" s="25"/>
      <c r="AA626" s="25"/>
      <c r="AB626" s="25"/>
      <c r="AC626" s="25"/>
      <c r="AD626" s="168"/>
    </row>
    <row r="627" spans="18:30" ht="69.75" customHeight="1" x14ac:dyDescent="0.25">
      <c r="R627" s="25"/>
      <c r="S627" s="25"/>
      <c r="T627" s="25"/>
      <c r="U627" s="25"/>
      <c r="V627" s="25"/>
      <c r="W627" s="25"/>
      <c r="X627" s="25"/>
      <c r="Y627" s="25"/>
      <c r="Z627" s="25"/>
      <c r="AA627" s="25"/>
      <c r="AB627" s="25"/>
      <c r="AC627" s="25"/>
      <c r="AD627" s="168"/>
    </row>
    <row r="628" spans="18:30" ht="69.75" customHeight="1" x14ac:dyDescent="0.25">
      <c r="R628" s="25"/>
      <c r="S628" s="25"/>
      <c r="T628" s="25"/>
      <c r="U628" s="25"/>
      <c r="V628" s="25"/>
      <c r="W628" s="25"/>
      <c r="X628" s="25"/>
      <c r="Y628" s="25"/>
      <c r="Z628" s="25"/>
      <c r="AA628" s="25"/>
      <c r="AB628" s="25"/>
      <c r="AC628" s="25"/>
      <c r="AD628" s="168"/>
    </row>
    <row r="629" spans="18:30" ht="69.75" customHeight="1" x14ac:dyDescent="0.25">
      <c r="R629" s="25"/>
      <c r="S629" s="25"/>
      <c r="T629" s="25"/>
      <c r="U629" s="25"/>
      <c r="V629" s="25"/>
      <c r="W629" s="25"/>
      <c r="X629" s="25"/>
      <c r="Y629" s="25"/>
      <c r="Z629" s="25"/>
      <c r="AA629" s="25"/>
      <c r="AB629" s="25"/>
      <c r="AC629" s="25"/>
      <c r="AD629" s="168"/>
    </row>
    <row r="630" spans="18:30" ht="69.75" customHeight="1" x14ac:dyDescent="0.25">
      <c r="R630" s="25"/>
      <c r="S630" s="25"/>
      <c r="T630" s="25"/>
      <c r="U630" s="25"/>
      <c r="V630" s="25"/>
      <c r="W630" s="25"/>
      <c r="X630" s="25"/>
      <c r="Y630" s="25"/>
      <c r="Z630" s="25"/>
      <c r="AA630" s="25"/>
      <c r="AB630" s="25"/>
      <c r="AC630" s="25"/>
      <c r="AD630" s="168"/>
    </row>
    <row r="631" spans="18:30" ht="69.75" customHeight="1" x14ac:dyDescent="0.25">
      <c r="R631" s="25"/>
      <c r="S631" s="25"/>
      <c r="T631" s="25"/>
      <c r="U631" s="25"/>
      <c r="V631" s="25"/>
      <c r="W631" s="25"/>
      <c r="X631" s="25"/>
      <c r="Y631" s="25"/>
      <c r="Z631" s="25"/>
      <c r="AA631" s="25"/>
      <c r="AB631" s="25"/>
      <c r="AC631" s="25"/>
      <c r="AD631" s="168"/>
    </row>
    <row r="632" spans="18:30" ht="69.75" customHeight="1" x14ac:dyDescent="0.25">
      <c r="R632" s="25"/>
      <c r="S632" s="25"/>
      <c r="T632" s="25"/>
      <c r="U632" s="25"/>
      <c r="V632" s="25"/>
      <c r="W632" s="25"/>
      <c r="X632" s="25"/>
      <c r="Y632" s="25"/>
      <c r="Z632" s="25"/>
      <c r="AA632" s="25"/>
      <c r="AB632" s="25"/>
      <c r="AC632" s="25"/>
      <c r="AD632" s="168"/>
    </row>
    <row r="633" spans="18:30" ht="69.75" customHeight="1" x14ac:dyDescent="0.25">
      <c r="R633" s="25"/>
      <c r="S633" s="25"/>
      <c r="T633" s="25"/>
      <c r="U633" s="25"/>
      <c r="V633" s="25"/>
      <c r="W633" s="25"/>
      <c r="X633" s="25"/>
      <c r="Y633" s="25"/>
      <c r="Z633" s="25"/>
      <c r="AA633" s="25"/>
      <c r="AB633" s="25"/>
      <c r="AC633" s="25"/>
      <c r="AD633" s="168"/>
    </row>
    <row r="634" spans="18:30" ht="69.75" customHeight="1" x14ac:dyDescent="0.25">
      <c r="R634" s="25"/>
      <c r="S634" s="25"/>
      <c r="T634" s="25"/>
      <c r="U634" s="25"/>
      <c r="V634" s="25"/>
      <c r="W634" s="25"/>
      <c r="X634" s="25"/>
      <c r="Y634" s="25"/>
      <c r="Z634" s="25"/>
      <c r="AA634" s="25"/>
      <c r="AB634" s="25"/>
      <c r="AC634" s="25"/>
      <c r="AD634" s="168"/>
    </row>
    <row r="635" spans="18:30" ht="69.75" customHeight="1" x14ac:dyDescent="0.25">
      <c r="R635" s="25"/>
      <c r="S635" s="25"/>
      <c r="T635" s="25"/>
      <c r="U635" s="25"/>
      <c r="V635" s="25"/>
      <c r="W635" s="25"/>
      <c r="X635" s="25"/>
      <c r="Y635" s="25"/>
      <c r="Z635" s="25"/>
      <c r="AA635" s="25"/>
      <c r="AB635" s="25"/>
      <c r="AC635" s="25"/>
      <c r="AD635" s="168"/>
    </row>
    <row r="636" spans="18:30" ht="69.75" customHeight="1" x14ac:dyDescent="0.25">
      <c r="R636" s="25"/>
      <c r="S636" s="25"/>
      <c r="T636" s="25"/>
      <c r="U636" s="25"/>
      <c r="V636" s="25"/>
      <c r="W636" s="25"/>
      <c r="X636" s="25"/>
      <c r="Y636" s="25"/>
      <c r="Z636" s="25"/>
      <c r="AA636" s="25"/>
      <c r="AB636" s="25"/>
      <c r="AC636" s="25"/>
      <c r="AD636" s="168"/>
    </row>
    <row r="637" spans="18:30" ht="69.75" customHeight="1" x14ac:dyDescent="0.25">
      <c r="R637" s="25"/>
      <c r="S637" s="25"/>
      <c r="T637" s="25"/>
      <c r="U637" s="25"/>
      <c r="V637" s="25"/>
      <c r="W637" s="25"/>
      <c r="X637" s="25"/>
      <c r="Y637" s="25"/>
      <c r="Z637" s="25"/>
      <c r="AA637" s="25"/>
      <c r="AB637" s="25"/>
      <c r="AC637" s="25"/>
      <c r="AD637" s="168"/>
    </row>
    <row r="638" spans="18:30" ht="69.75" customHeight="1" x14ac:dyDescent="0.25">
      <c r="R638" s="25"/>
      <c r="S638" s="25"/>
      <c r="T638" s="25"/>
      <c r="U638" s="25"/>
      <c r="V638" s="25"/>
      <c r="W638" s="25"/>
      <c r="X638" s="25"/>
      <c r="Y638" s="25"/>
      <c r="Z638" s="25"/>
      <c r="AA638" s="25"/>
      <c r="AB638" s="25"/>
      <c r="AC638" s="25"/>
      <c r="AD638" s="168"/>
    </row>
    <row r="639" spans="18:30" ht="69.75" customHeight="1" x14ac:dyDescent="0.25">
      <c r="R639" s="25"/>
      <c r="S639" s="25"/>
      <c r="T639" s="25"/>
      <c r="U639" s="25"/>
      <c r="V639" s="25"/>
      <c r="W639" s="25"/>
      <c r="X639" s="25"/>
      <c r="Y639" s="25"/>
      <c r="Z639" s="25"/>
      <c r="AA639" s="25"/>
      <c r="AB639" s="25"/>
      <c r="AC639" s="25"/>
      <c r="AD639" s="168"/>
    </row>
    <row r="640" spans="18:30" ht="69.75" customHeight="1" x14ac:dyDescent="0.25">
      <c r="R640" s="25"/>
      <c r="S640" s="25"/>
      <c r="T640" s="25"/>
      <c r="U640" s="25"/>
      <c r="V640" s="25"/>
      <c r="W640" s="25"/>
      <c r="X640" s="25"/>
      <c r="Y640" s="25"/>
      <c r="Z640" s="25"/>
      <c r="AA640" s="25"/>
      <c r="AB640" s="25"/>
      <c r="AC640" s="25"/>
      <c r="AD640" s="168"/>
    </row>
    <row r="641" spans="18:30" ht="69.75" customHeight="1" x14ac:dyDescent="0.25">
      <c r="R641" s="25"/>
      <c r="S641" s="25"/>
      <c r="T641" s="25"/>
      <c r="U641" s="25"/>
      <c r="V641" s="25"/>
      <c r="W641" s="25"/>
      <c r="X641" s="25"/>
      <c r="Y641" s="25"/>
      <c r="Z641" s="25"/>
      <c r="AA641" s="25"/>
      <c r="AB641" s="25"/>
      <c r="AC641" s="25"/>
      <c r="AD641" s="168"/>
    </row>
    <row r="642" spans="18:30" ht="69.75" customHeight="1" x14ac:dyDescent="0.25">
      <c r="R642" s="25"/>
      <c r="S642" s="25"/>
      <c r="T642" s="25"/>
      <c r="U642" s="25"/>
      <c r="V642" s="25"/>
      <c r="W642" s="25"/>
      <c r="X642" s="25"/>
      <c r="Y642" s="25"/>
      <c r="Z642" s="25"/>
      <c r="AA642" s="25"/>
      <c r="AB642" s="25"/>
      <c r="AC642" s="25"/>
      <c r="AD642" s="168"/>
    </row>
    <row r="643" spans="18:30" ht="69.75" customHeight="1" x14ac:dyDescent="0.25">
      <c r="R643" s="25"/>
      <c r="S643" s="25"/>
      <c r="T643" s="25"/>
      <c r="U643" s="25"/>
      <c r="V643" s="25"/>
      <c r="W643" s="25"/>
      <c r="X643" s="25"/>
      <c r="Y643" s="25"/>
      <c r="Z643" s="25"/>
      <c r="AA643" s="25"/>
      <c r="AB643" s="25"/>
      <c r="AC643" s="25"/>
      <c r="AD643" s="168"/>
    </row>
    <row r="644" spans="18:30" ht="69.75" customHeight="1" x14ac:dyDescent="0.25">
      <c r="R644" s="25"/>
      <c r="S644" s="25"/>
      <c r="T644" s="25"/>
      <c r="U644" s="25"/>
      <c r="V644" s="25"/>
      <c r="W644" s="25"/>
      <c r="X644" s="25"/>
      <c r="Y644" s="25"/>
      <c r="Z644" s="25"/>
      <c r="AA644" s="25"/>
      <c r="AB644" s="25"/>
      <c r="AC644" s="25"/>
      <c r="AD644" s="168"/>
    </row>
    <row r="645" spans="18:30" ht="69.75" customHeight="1" x14ac:dyDescent="0.25">
      <c r="R645" s="25"/>
      <c r="S645" s="25"/>
      <c r="T645" s="25"/>
      <c r="U645" s="25"/>
      <c r="V645" s="25"/>
      <c r="W645" s="25"/>
      <c r="X645" s="25"/>
      <c r="Y645" s="25"/>
      <c r="Z645" s="25"/>
      <c r="AA645" s="25"/>
      <c r="AB645" s="25"/>
      <c r="AC645" s="25"/>
      <c r="AD645" s="168"/>
    </row>
    <row r="646" spans="18:30" ht="69.75" customHeight="1" x14ac:dyDescent="0.25">
      <c r="R646" s="25"/>
      <c r="S646" s="25"/>
      <c r="T646" s="25"/>
      <c r="U646" s="25"/>
      <c r="V646" s="25"/>
      <c r="W646" s="25"/>
      <c r="X646" s="25"/>
      <c r="Y646" s="25"/>
      <c r="Z646" s="25"/>
      <c r="AA646" s="25"/>
      <c r="AB646" s="25"/>
      <c r="AC646" s="25"/>
      <c r="AD646" s="168"/>
    </row>
    <row r="647" spans="18:30" ht="69.75" customHeight="1" x14ac:dyDescent="0.25">
      <c r="R647" s="25"/>
      <c r="S647" s="25"/>
      <c r="T647" s="25"/>
      <c r="U647" s="25"/>
      <c r="V647" s="25"/>
      <c r="W647" s="25"/>
      <c r="X647" s="25"/>
      <c r="Y647" s="25"/>
      <c r="Z647" s="25"/>
      <c r="AA647" s="25"/>
      <c r="AB647" s="25"/>
      <c r="AC647" s="25"/>
      <c r="AD647" s="168"/>
    </row>
    <row r="648" spans="18:30" ht="69.75" customHeight="1" x14ac:dyDescent="0.25">
      <c r="R648" s="25"/>
      <c r="S648" s="25"/>
      <c r="T648" s="25"/>
      <c r="U648" s="25"/>
      <c r="V648" s="25"/>
      <c r="W648" s="25"/>
      <c r="X648" s="25"/>
      <c r="Y648" s="25"/>
      <c r="Z648" s="25"/>
      <c r="AA648" s="25"/>
      <c r="AB648" s="25"/>
      <c r="AC648" s="25"/>
      <c r="AD648" s="168"/>
    </row>
    <row r="649" spans="18:30" ht="69.75" customHeight="1" x14ac:dyDescent="0.25">
      <c r="R649" s="25"/>
      <c r="S649" s="25"/>
      <c r="T649" s="25"/>
      <c r="U649" s="25"/>
      <c r="V649" s="25"/>
      <c r="W649" s="25"/>
      <c r="X649" s="25"/>
      <c r="Y649" s="25"/>
      <c r="Z649" s="25"/>
      <c r="AA649" s="25"/>
      <c r="AB649" s="25"/>
      <c r="AC649" s="25"/>
      <c r="AD649" s="168"/>
    </row>
    <row r="650" spans="18:30" ht="69.75" customHeight="1" x14ac:dyDescent="0.25">
      <c r="R650" s="25"/>
      <c r="S650" s="25"/>
      <c r="T650" s="25"/>
      <c r="U650" s="25"/>
      <c r="V650" s="25"/>
      <c r="W650" s="25"/>
      <c r="X650" s="25"/>
      <c r="Y650" s="25"/>
      <c r="Z650" s="25"/>
      <c r="AA650" s="25"/>
      <c r="AB650" s="25"/>
      <c r="AC650" s="25"/>
      <c r="AD650" s="168"/>
    </row>
    <row r="651" spans="18:30" ht="69.75" customHeight="1" x14ac:dyDescent="0.25">
      <c r="R651" s="25"/>
      <c r="S651" s="25"/>
      <c r="T651" s="25"/>
      <c r="U651" s="25"/>
      <c r="V651" s="25"/>
      <c r="W651" s="25"/>
      <c r="X651" s="25"/>
      <c r="Y651" s="25"/>
      <c r="Z651" s="25"/>
      <c r="AA651" s="25"/>
      <c r="AB651" s="25"/>
      <c r="AC651" s="25"/>
      <c r="AD651" s="168"/>
    </row>
    <row r="652" spans="18:30" ht="69.75" customHeight="1" x14ac:dyDescent="0.25">
      <c r="R652" s="25"/>
      <c r="S652" s="25"/>
      <c r="T652" s="25"/>
      <c r="U652" s="25"/>
      <c r="V652" s="25"/>
      <c r="W652" s="25"/>
      <c r="X652" s="25"/>
      <c r="Y652" s="25"/>
      <c r="Z652" s="25"/>
      <c r="AA652" s="25"/>
      <c r="AB652" s="25"/>
      <c r="AC652" s="25"/>
      <c r="AD652" s="168"/>
    </row>
    <row r="653" spans="18:30" ht="69.75" customHeight="1" x14ac:dyDescent="0.25">
      <c r="R653" s="25"/>
      <c r="S653" s="25"/>
      <c r="T653" s="25"/>
      <c r="U653" s="25"/>
      <c r="V653" s="25"/>
      <c r="W653" s="25"/>
      <c r="X653" s="25"/>
      <c r="Y653" s="25"/>
      <c r="Z653" s="25"/>
      <c r="AA653" s="25"/>
      <c r="AB653" s="25"/>
      <c r="AC653" s="25"/>
      <c r="AD653" s="168"/>
    </row>
    <row r="654" spans="18:30" ht="69.75" customHeight="1" x14ac:dyDescent="0.25">
      <c r="R654" s="25"/>
      <c r="S654" s="25"/>
      <c r="T654" s="25"/>
      <c r="U654" s="25"/>
      <c r="V654" s="25"/>
      <c r="W654" s="25"/>
      <c r="X654" s="25"/>
      <c r="Y654" s="25"/>
      <c r="Z654" s="25"/>
      <c r="AA654" s="25"/>
      <c r="AB654" s="25"/>
      <c r="AC654" s="25"/>
      <c r="AD654" s="168"/>
    </row>
    <row r="655" spans="18:30" ht="69.75" customHeight="1" x14ac:dyDescent="0.25">
      <c r="R655" s="25"/>
      <c r="S655" s="25"/>
      <c r="T655" s="25"/>
      <c r="U655" s="25"/>
      <c r="V655" s="25"/>
      <c r="W655" s="25"/>
      <c r="X655" s="25"/>
      <c r="Y655" s="25"/>
      <c r="Z655" s="25"/>
      <c r="AA655" s="25"/>
      <c r="AB655" s="25"/>
      <c r="AC655" s="25"/>
      <c r="AD655" s="168"/>
    </row>
    <row r="656" spans="18:30" ht="69.75" customHeight="1" x14ac:dyDescent="0.25">
      <c r="R656" s="25"/>
      <c r="S656" s="25"/>
      <c r="T656" s="25"/>
      <c r="U656" s="25"/>
      <c r="V656" s="25"/>
      <c r="W656" s="25"/>
      <c r="X656" s="25"/>
      <c r="Y656" s="25"/>
      <c r="Z656" s="25"/>
      <c r="AA656" s="25"/>
      <c r="AB656" s="25"/>
      <c r="AC656" s="25"/>
      <c r="AD656" s="168"/>
    </row>
    <row r="657" spans="18:30" ht="69.75" customHeight="1" x14ac:dyDescent="0.25">
      <c r="R657" s="25"/>
      <c r="S657" s="25"/>
      <c r="T657" s="25"/>
      <c r="U657" s="25"/>
      <c r="V657" s="25"/>
      <c r="W657" s="25"/>
      <c r="X657" s="25"/>
      <c r="Y657" s="25"/>
      <c r="Z657" s="25"/>
      <c r="AA657" s="25"/>
      <c r="AB657" s="25"/>
      <c r="AC657" s="25"/>
      <c r="AD657" s="168"/>
    </row>
    <row r="658" spans="18:30" ht="69.75" customHeight="1" x14ac:dyDescent="0.25">
      <c r="R658" s="25"/>
      <c r="S658" s="25"/>
      <c r="T658" s="25"/>
      <c r="U658" s="25"/>
      <c r="V658" s="25"/>
      <c r="W658" s="25"/>
      <c r="X658" s="25"/>
      <c r="Y658" s="25"/>
      <c r="Z658" s="25"/>
      <c r="AA658" s="25"/>
      <c r="AB658" s="25"/>
      <c r="AC658" s="25"/>
      <c r="AD658" s="168"/>
    </row>
    <row r="659" spans="18:30" ht="69.75" customHeight="1" x14ac:dyDescent="0.25">
      <c r="R659" s="25"/>
      <c r="S659" s="25"/>
      <c r="T659" s="25"/>
      <c r="U659" s="25"/>
      <c r="V659" s="25"/>
      <c r="W659" s="25"/>
      <c r="X659" s="25"/>
      <c r="Y659" s="25"/>
      <c r="Z659" s="25"/>
      <c r="AA659" s="25"/>
      <c r="AB659" s="25"/>
      <c r="AC659" s="25"/>
      <c r="AD659" s="168"/>
    </row>
    <row r="660" spans="18:30" ht="69.75" customHeight="1" x14ac:dyDescent="0.25">
      <c r="R660" s="25"/>
      <c r="S660" s="25"/>
      <c r="T660" s="25"/>
      <c r="U660" s="25"/>
      <c r="V660" s="25"/>
      <c r="W660" s="25"/>
      <c r="X660" s="25"/>
      <c r="Y660" s="25"/>
      <c r="Z660" s="25"/>
      <c r="AA660" s="25"/>
      <c r="AB660" s="25"/>
      <c r="AC660" s="25"/>
      <c r="AD660" s="168"/>
    </row>
    <row r="661" spans="18:30" ht="69.75" customHeight="1" x14ac:dyDescent="0.25">
      <c r="R661" s="25"/>
      <c r="S661" s="25"/>
      <c r="T661" s="25"/>
      <c r="U661" s="25"/>
      <c r="V661" s="25"/>
      <c r="W661" s="25"/>
      <c r="X661" s="25"/>
      <c r="Y661" s="25"/>
      <c r="Z661" s="25"/>
      <c r="AA661" s="25"/>
      <c r="AB661" s="25"/>
      <c r="AC661" s="25"/>
      <c r="AD661" s="168"/>
    </row>
    <row r="662" spans="18:30" ht="69.75" customHeight="1" x14ac:dyDescent="0.25">
      <c r="R662" s="25"/>
      <c r="S662" s="25"/>
      <c r="T662" s="25"/>
      <c r="U662" s="25"/>
      <c r="V662" s="25"/>
      <c r="W662" s="25"/>
      <c r="X662" s="25"/>
      <c r="Y662" s="25"/>
      <c r="Z662" s="25"/>
      <c r="AA662" s="25"/>
      <c r="AB662" s="25"/>
      <c r="AC662" s="25"/>
      <c r="AD662" s="168"/>
    </row>
    <row r="663" spans="18:30" ht="69.75" customHeight="1" x14ac:dyDescent="0.25">
      <c r="R663" s="25"/>
      <c r="S663" s="25"/>
      <c r="T663" s="25"/>
      <c r="U663" s="25"/>
      <c r="V663" s="25"/>
      <c r="W663" s="25"/>
      <c r="X663" s="25"/>
      <c r="Y663" s="25"/>
      <c r="Z663" s="25"/>
      <c r="AA663" s="25"/>
      <c r="AB663" s="25"/>
      <c r="AC663" s="25"/>
      <c r="AD663" s="168"/>
    </row>
    <row r="664" spans="18:30" ht="69.75" customHeight="1" x14ac:dyDescent="0.25">
      <c r="R664" s="25"/>
      <c r="S664" s="25"/>
      <c r="T664" s="25"/>
      <c r="U664" s="25"/>
      <c r="V664" s="25"/>
      <c r="W664" s="25"/>
      <c r="X664" s="25"/>
      <c r="Y664" s="25"/>
      <c r="Z664" s="25"/>
      <c r="AA664" s="25"/>
      <c r="AB664" s="25"/>
      <c r="AC664" s="25"/>
      <c r="AD664" s="168"/>
    </row>
    <row r="665" spans="18:30" ht="69.75" customHeight="1" x14ac:dyDescent="0.25">
      <c r="R665" s="25"/>
      <c r="S665" s="25"/>
      <c r="T665" s="25"/>
      <c r="U665" s="25"/>
      <c r="V665" s="25"/>
      <c r="W665" s="25"/>
      <c r="X665" s="25"/>
      <c r="Y665" s="25"/>
      <c r="Z665" s="25"/>
      <c r="AA665" s="25"/>
      <c r="AB665" s="25"/>
      <c r="AC665" s="25"/>
      <c r="AD665" s="168"/>
    </row>
    <row r="666" spans="18:30" ht="69.75" customHeight="1" x14ac:dyDescent="0.25">
      <c r="R666" s="25"/>
      <c r="S666" s="25"/>
      <c r="T666" s="25"/>
      <c r="U666" s="25"/>
      <c r="V666" s="25"/>
      <c r="W666" s="25"/>
      <c r="X666" s="25"/>
      <c r="Y666" s="25"/>
      <c r="Z666" s="25"/>
      <c r="AA666" s="25"/>
      <c r="AB666" s="25"/>
      <c r="AC666" s="25"/>
      <c r="AD666" s="168"/>
    </row>
    <row r="667" spans="18:30" ht="69.75" customHeight="1" x14ac:dyDescent="0.25">
      <c r="R667" s="25"/>
      <c r="S667" s="25"/>
      <c r="T667" s="25"/>
      <c r="U667" s="25"/>
      <c r="V667" s="25"/>
      <c r="W667" s="25"/>
      <c r="X667" s="25"/>
      <c r="Y667" s="25"/>
      <c r="Z667" s="25"/>
      <c r="AA667" s="25"/>
      <c r="AB667" s="25"/>
      <c r="AC667" s="25"/>
      <c r="AD667" s="168"/>
    </row>
    <row r="668" spans="18:30" ht="69.75" customHeight="1" x14ac:dyDescent="0.25">
      <c r="R668" s="25"/>
      <c r="S668" s="25"/>
      <c r="T668" s="25"/>
      <c r="U668" s="25"/>
      <c r="V668" s="25"/>
      <c r="W668" s="25"/>
      <c r="X668" s="25"/>
      <c r="Y668" s="25"/>
      <c r="Z668" s="25"/>
      <c r="AA668" s="25"/>
      <c r="AB668" s="25"/>
      <c r="AC668" s="25"/>
      <c r="AD668" s="168"/>
    </row>
    <row r="669" spans="18:30" ht="69.75" customHeight="1" x14ac:dyDescent="0.25">
      <c r="R669" s="25"/>
      <c r="S669" s="25"/>
      <c r="T669" s="25"/>
      <c r="U669" s="25"/>
      <c r="V669" s="25"/>
      <c r="W669" s="25"/>
      <c r="X669" s="25"/>
      <c r="Y669" s="25"/>
      <c r="Z669" s="25"/>
      <c r="AA669" s="25"/>
      <c r="AB669" s="25"/>
      <c r="AC669" s="25"/>
      <c r="AD669" s="168"/>
    </row>
    <row r="670" spans="18:30" ht="69.75" customHeight="1" x14ac:dyDescent="0.25">
      <c r="R670" s="25"/>
      <c r="S670" s="25"/>
      <c r="T670" s="25"/>
      <c r="U670" s="25"/>
      <c r="V670" s="25"/>
      <c r="W670" s="25"/>
      <c r="X670" s="25"/>
      <c r="Y670" s="25"/>
      <c r="Z670" s="25"/>
      <c r="AA670" s="25"/>
      <c r="AB670" s="25"/>
      <c r="AC670" s="25"/>
      <c r="AD670" s="168"/>
    </row>
    <row r="671" spans="18:30" ht="69.75" customHeight="1" x14ac:dyDescent="0.25">
      <c r="R671" s="25"/>
      <c r="S671" s="25"/>
      <c r="T671" s="25"/>
      <c r="U671" s="25"/>
      <c r="V671" s="25"/>
      <c r="W671" s="25"/>
      <c r="X671" s="25"/>
      <c r="Y671" s="25"/>
      <c r="Z671" s="25"/>
      <c r="AA671" s="25"/>
      <c r="AB671" s="25"/>
      <c r="AC671" s="25"/>
      <c r="AD671" s="168"/>
    </row>
    <row r="672" spans="18:30" ht="69.75" customHeight="1" x14ac:dyDescent="0.25">
      <c r="R672" s="25"/>
      <c r="S672" s="25"/>
      <c r="T672" s="25"/>
      <c r="U672" s="25"/>
      <c r="V672" s="25"/>
      <c r="W672" s="25"/>
      <c r="X672" s="25"/>
      <c r="Y672" s="25"/>
      <c r="Z672" s="25"/>
      <c r="AA672" s="25"/>
      <c r="AB672" s="25"/>
      <c r="AC672" s="25"/>
      <c r="AD672" s="168"/>
    </row>
    <row r="673" spans="18:30" ht="69.75" customHeight="1" x14ac:dyDescent="0.25">
      <c r="R673" s="25"/>
      <c r="S673" s="25"/>
      <c r="T673" s="25"/>
      <c r="U673" s="25"/>
      <c r="V673" s="25"/>
      <c r="W673" s="25"/>
      <c r="X673" s="25"/>
      <c r="Y673" s="25"/>
      <c r="Z673" s="25"/>
      <c r="AA673" s="25"/>
      <c r="AB673" s="25"/>
      <c r="AC673" s="25"/>
      <c r="AD673" s="168"/>
    </row>
    <row r="674" spans="18:30" ht="69.75" customHeight="1" x14ac:dyDescent="0.25">
      <c r="R674" s="25"/>
      <c r="S674" s="25"/>
      <c r="T674" s="25"/>
      <c r="U674" s="25"/>
      <c r="V674" s="25"/>
      <c r="W674" s="25"/>
      <c r="X674" s="25"/>
      <c r="Y674" s="25"/>
      <c r="Z674" s="25"/>
      <c r="AA674" s="25"/>
      <c r="AB674" s="25"/>
      <c r="AC674" s="25"/>
      <c r="AD674" s="168"/>
    </row>
    <row r="675" spans="18:30" ht="69.75" customHeight="1" x14ac:dyDescent="0.25">
      <c r="R675" s="25"/>
      <c r="S675" s="25"/>
      <c r="T675" s="25"/>
      <c r="U675" s="25"/>
      <c r="V675" s="25"/>
      <c r="W675" s="25"/>
      <c r="X675" s="25"/>
      <c r="Y675" s="25"/>
      <c r="Z675" s="25"/>
      <c r="AA675" s="25"/>
      <c r="AB675" s="25"/>
      <c r="AC675" s="25"/>
      <c r="AD675" s="168"/>
    </row>
    <row r="676" spans="18:30" ht="69.75" customHeight="1" x14ac:dyDescent="0.25">
      <c r="R676" s="25"/>
      <c r="S676" s="25"/>
      <c r="T676" s="25"/>
      <c r="U676" s="25"/>
      <c r="V676" s="25"/>
      <c r="W676" s="25"/>
      <c r="X676" s="25"/>
      <c r="Y676" s="25"/>
      <c r="Z676" s="25"/>
      <c r="AA676" s="25"/>
      <c r="AB676" s="25"/>
      <c r="AC676" s="25"/>
      <c r="AD676" s="168"/>
    </row>
    <row r="677" spans="18:30" ht="69.75" customHeight="1" x14ac:dyDescent="0.25">
      <c r="R677" s="25"/>
      <c r="S677" s="25"/>
      <c r="T677" s="25"/>
      <c r="U677" s="25"/>
      <c r="V677" s="25"/>
      <c r="W677" s="25"/>
      <c r="X677" s="25"/>
      <c r="Y677" s="25"/>
      <c r="Z677" s="25"/>
      <c r="AA677" s="25"/>
      <c r="AB677" s="25"/>
      <c r="AC677" s="25"/>
      <c r="AD677" s="168"/>
    </row>
    <row r="678" spans="18:30" ht="69.75" customHeight="1" x14ac:dyDescent="0.25">
      <c r="R678" s="25"/>
      <c r="S678" s="25"/>
      <c r="T678" s="25"/>
      <c r="U678" s="25"/>
      <c r="V678" s="25"/>
      <c r="W678" s="25"/>
      <c r="X678" s="25"/>
      <c r="Y678" s="25"/>
      <c r="Z678" s="25"/>
      <c r="AA678" s="25"/>
      <c r="AB678" s="25"/>
      <c r="AC678" s="25"/>
      <c r="AD678" s="168"/>
    </row>
    <row r="679" spans="18:30" ht="69.75" customHeight="1" x14ac:dyDescent="0.25">
      <c r="R679" s="25"/>
      <c r="S679" s="25"/>
      <c r="T679" s="25"/>
      <c r="U679" s="25"/>
      <c r="V679" s="25"/>
      <c r="W679" s="25"/>
      <c r="X679" s="25"/>
      <c r="Y679" s="25"/>
      <c r="Z679" s="25"/>
      <c r="AA679" s="25"/>
      <c r="AB679" s="25"/>
      <c r="AC679" s="25"/>
      <c r="AD679" s="168"/>
    </row>
    <row r="680" spans="18:30" ht="69.75" customHeight="1" x14ac:dyDescent="0.25">
      <c r="R680" s="25"/>
      <c r="S680" s="25"/>
      <c r="T680" s="25"/>
      <c r="U680" s="25"/>
      <c r="V680" s="25"/>
      <c r="W680" s="25"/>
      <c r="X680" s="25"/>
      <c r="Y680" s="25"/>
      <c r="Z680" s="25"/>
      <c r="AA680" s="25"/>
      <c r="AB680" s="25"/>
      <c r="AC680" s="25"/>
      <c r="AD680" s="168"/>
    </row>
    <row r="681" spans="18:30" ht="69.75" customHeight="1" x14ac:dyDescent="0.25">
      <c r="R681" s="25"/>
      <c r="S681" s="25"/>
      <c r="T681" s="25"/>
      <c r="U681" s="25"/>
      <c r="V681" s="25"/>
      <c r="W681" s="25"/>
      <c r="X681" s="25"/>
      <c r="Y681" s="25"/>
      <c r="Z681" s="25"/>
      <c r="AA681" s="25"/>
      <c r="AB681" s="25"/>
      <c r="AC681" s="25"/>
      <c r="AD681" s="168"/>
    </row>
    <row r="682" spans="18:30" ht="69.75" customHeight="1" x14ac:dyDescent="0.25">
      <c r="R682" s="25"/>
      <c r="S682" s="25"/>
      <c r="T682" s="25"/>
      <c r="U682" s="25"/>
      <c r="V682" s="25"/>
      <c r="W682" s="25"/>
      <c r="X682" s="25"/>
      <c r="Y682" s="25"/>
      <c r="Z682" s="25"/>
      <c r="AA682" s="25"/>
      <c r="AB682" s="25"/>
      <c r="AC682" s="25"/>
      <c r="AD682" s="168"/>
    </row>
    <row r="683" spans="18:30" ht="69.75" customHeight="1" x14ac:dyDescent="0.25">
      <c r="R683" s="25"/>
      <c r="S683" s="25"/>
      <c r="T683" s="25"/>
      <c r="U683" s="25"/>
      <c r="V683" s="25"/>
      <c r="W683" s="25"/>
      <c r="X683" s="25"/>
      <c r="Y683" s="25"/>
      <c r="Z683" s="25"/>
      <c r="AA683" s="25"/>
      <c r="AB683" s="25"/>
      <c r="AC683" s="25"/>
      <c r="AD683" s="168"/>
    </row>
    <row r="684" spans="18:30" ht="69.75" customHeight="1" x14ac:dyDescent="0.25">
      <c r="R684" s="25"/>
      <c r="S684" s="25"/>
      <c r="T684" s="25"/>
      <c r="U684" s="25"/>
      <c r="V684" s="25"/>
      <c r="W684" s="25"/>
      <c r="X684" s="25"/>
      <c r="Y684" s="25"/>
      <c r="Z684" s="25"/>
      <c r="AA684" s="25"/>
      <c r="AB684" s="25"/>
      <c r="AC684" s="25"/>
      <c r="AD684" s="168"/>
    </row>
    <row r="685" spans="18:30" ht="69.75" customHeight="1" x14ac:dyDescent="0.25">
      <c r="R685" s="25"/>
      <c r="S685" s="25"/>
      <c r="T685" s="25"/>
      <c r="U685" s="25"/>
      <c r="V685" s="25"/>
      <c r="W685" s="25"/>
      <c r="X685" s="25"/>
      <c r="Y685" s="25"/>
      <c r="Z685" s="25"/>
      <c r="AA685" s="25"/>
      <c r="AB685" s="25"/>
      <c r="AC685" s="25"/>
      <c r="AD685" s="168"/>
    </row>
    <row r="686" spans="18:30" ht="69.75" customHeight="1" x14ac:dyDescent="0.25">
      <c r="R686" s="25"/>
      <c r="S686" s="25"/>
      <c r="T686" s="25"/>
      <c r="U686" s="25"/>
      <c r="V686" s="25"/>
      <c r="W686" s="25"/>
      <c r="X686" s="25"/>
      <c r="Y686" s="25"/>
      <c r="Z686" s="25"/>
      <c r="AA686" s="25"/>
      <c r="AB686" s="25"/>
      <c r="AC686" s="25"/>
      <c r="AD686" s="168"/>
    </row>
    <row r="687" spans="18:30" ht="69.75" customHeight="1" x14ac:dyDescent="0.25">
      <c r="R687" s="25"/>
      <c r="S687" s="25"/>
      <c r="T687" s="25"/>
      <c r="U687" s="25"/>
      <c r="V687" s="25"/>
      <c r="W687" s="25"/>
      <c r="X687" s="25"/>
      <c r="Y687" s="25"/>
      <c r="Z687" s="25"/>
      <c r="AA687" s="25"/>
      <c r="AB687" s="25"/>
      <c r="AC687" s="25"/>
      <c r="AD687" s="168"/>
    </row>
    <row r="688" spans="18:30" ht="69.75" customHeight="1" x14ac:dyDescent="0.25">
      <c r="R688" s="25"/>
      <c r="S688" s="25"/>
      <c r="T688" s="25"/>
      <c r="U688" s="25"/>
      <c r="V688" s="25"/>
      <c r="W688" s="25"/>
      <c r="X688" s="25"/>
      <c r="Y688" s="25"/>
      <c r="Z688" s="25"/>
      <c r="AA688" s="25"/>
      <c r="AB688" s="25"/>
      <c r="AC688" s="25"/>
      <c r="AD688" s="168"/>
    </row>
    <row r="689" spans="18:30" ht="69.75" customHeight="1" x14ac:dyDescent="0.25">
      <c r="R689" s="25"/>
      <c r="S689" s="25"/>
      <c r="T689" s="25"/>
      <c r="U689" s="25"/>
      <c r="V689" s="25"/>
      <c r="W689" s="25"/>
      <c r="X689" s="25"/>
      <c r="Y689" s="25"/>
      <c r="Z689" s="25"/>
      <c r="AA689" s="25"/>
      <c r="AB689" s="25"/>
      <c r="AC689" s="25"/>
      <c r="AD689" s="168"/>
    </row>
    <row r="690" spans="18:30" ht="69.75" customHeight="1" x14ac:dyDescent="0.25">
      <c r="R690" s="25"/>
      <c r="S690" s="25"/>
      <c r="T690" s="25"/>
      <c r="U690" s="25"/>
      <c r="V690" s="25"/>
      <c r="W690" s="25"/>
      <c r="X690" s="25"/>
      <c r="Y690" s="25"/>
      <c r="Z690" s="25"/>
      <c r="AA690" s="25"/>
      <c r="AB690" s="25"/>
      <c r="AC690" s="25"/>
      <c r="AD690" s="168"/>
    </row>
    <row r="691" spans="18:30" ht="69.75" customHeight="1" x14ac:dyDescent="0.25">
      <c r="R691" s="25"/>
      <c r="S691" s="25"/>
      <c r="T691" s="25"/>
      <c r="U691" s="25"/>
      <c r="V691" s="25"/>
      <c r="W691" s="25"/>
      <c r="X691" s="25"/>
      <c r="Y691" s="25"/>
      <c r="Z691" s="25"/>
      <c r="AA691" s="25"/>
      <c r="AB691" s="25"/>
      <c r="AC691" s="25"/>
      <c r="AD691" s="168"/>
    </row>
    <row r="692" spans="18:30" ht="69.75" customHeight="1" x14ac:dyDescent="0.25">
      <c r="R692" s="25"/>
      <c r="S692" s="25"/>
      <c r="T692" s="25"/>
      <c r="U692" s="25"/>
      <c r="V692" s="25"/>
      <c r="W692" s="25"/>
      <c r="X692" s="25"/>
      <c r="Y692" s="25"/>
      <c r="Z692" s="25"/>
      <c r="AA692" s="25"/>
      <c r="AB692" s="25"/>
      <c r="AC692" s="25"/>
      <c r="AD692" s="168"/>
    </row>
    <row r="693" spans="18:30" ht="69.75" customHeight="1" x14ac:dyDescent="0.25">
      <c r="R693" s="25"/>
      <c r="S693" s="25"/>
      <c r="T693" s="25"/>
      <c r="U693" s="25"/>
      <c r="V693" s="25"/>
      <c r="W693" s="25"/>
      <c r="X693" s="25"/>
      <c r="Y693" s="25"/>
      <c r="Z693" s="25"/>
      <c r="AA693" s="25"/>
      <c r="AB693" s="25"/>
      <c r="AC693" s="25"/>
      <c r="AD693" s="168"/>
    </row>
    <row r="694" spans="18:30" ht="69.75" customHeight="1" x14ac:dyDescent="0.25">
      <c r="R694" s="25"/>
      <c r="S694" s="25"/>
      <c r="T694" s="25"/>
      <c r="U694" s="25"/>
      <c r="V694" s="25"/>
      <c r="W694" s="25"/>
      <c r="X694" s="25"/>
      <c r="Y694" s="25"/>
      <c r="Z694" s="25"/>
      <c r="AA694" s="25"/>
      <c r="AB694" s="25"/>
      <c r="AC694" s="25"/>
      <c r="AD694" s="168"/>
    </row>
    <row r="695" spans="18:30" ht="69.75" customHeight="1" x14ac:dyDescent="0.25">
      <c r="R695" s="25"/>
      <c r="S695" s="25"/>
      <c r="T695" s="25"/>
      <c r="U695" s="25"/>
      <c r="V695" s="25"/>
      <c r="W695" s="25"/>
      <c r="X695" s="25"/>
      <c r="Y695" s="25"/>
      <c r="Z695" s="25"/>
      <c r="AA695" s="25"/>
      <c r="AB695" s="25"/>
      <c r="AC695" s="25"/>
      <c r="AD695" s="168"/>
    </row>
    <row r="696" spans="18:30" ht="69.75" customHeight="1" x14ac:dyDescent="0.25">
      <c r="R696" s="25"/>
      <c r="S696" s="25"/>
      <c r="T696" s="25"/>
      <c r="U696" s="25"/>
      <c r="V696" s="25"/>
      <c r="W696" s="25"/>
      <c r="X696" s="25"/>
      <c r="Y696" s="25"/>
      <c r="Z696" s="25"/>
      <c r="AA696" s="25"/>
      <c r="AB696" s="25"/>
      <c r="AC696" s="25"/>
      <c r="AD696" s="168"/>
    </row>
    <row r="697" spans="18:30" ht="69.75" customHeight="1" x14ac:dyDescent="0.25">
      <c r="R697" s="25"/>
      <c r="S697" s="25"/>
      <c r="T697" s="25"/>
      <c r="U697" s="25"/>
      <c r="V697" s="25"/>
      <c r="W697" s="25"/>
      <c r="X697" s="25"/>
      <c r="Y697" s="25"/>
      <c r="Z697" s="25"/>
      <c r="AA697" s="25"/>
      <c r="AB697" s="25"/>
      <c r="AC697" s="25"/>
      <c r="AD697" s="168"/>
    </row>
    <row r="698" spans="18:30" ht="69.75" customHeight="1" x14ac:dyDescent="0.25">
      <c r="R698" s="25"/>
      <c r="S698" s="25"/>
      <c r="T698" s="25"/>
      <c r="U698" s="25"/>
      <c r="V698" s="25"/>
      <c r="W698" s="25"/>
      <c r="X698" s="25"/>
      <c r="Y698" s="25"/>
      <c r="Z698" s="25"/>
      <c r="AA698" s="25"/>
      <c r="AB698" s="25"/>
      <c r="AC698" s="25"/>
      <c r="AD698" s="168"/>
    </row>
    <row r="699" spans="18:30" ht="69.75" customHeight="1" x14ac:dyDescent="0.25">
      <c r="R699" s="25"/>
      <c r="S699" s="25"/>
      <c r="T699" s="25"/>
      <c r="U699" s="25"/>
      <c r="V699" s="25"/>
      <c r="W699" s="25"/>
      <c r="X699" s="25"/>
      <c r="Y699" s="25"/>
      <c r="Z699" s="25"/>
      <c r="AA699" s="25"/>
      <c r="AB699" s="25"/>
      <c r="AC699" s="25"/>
      <c r="AD699" s="168"/>
    </row>
    <row r="700" spans="18:30" ht="69.75" customHeight="1" x14ac:dyDescent="0.25">
      <c r="R700" s="25"/>
      <c r="S700" s="25"/>
      <c r="T700" s="25"/>
      <c r="U700" s="25"/>
      <c r="V700" s="25"/>
      <c r="W700" s="25"/>
      <c r="X700" s="25"/>
      <c r="Y700" s="25"/>
      <c r="Z700" s="25"/>
      <c r="AA700" s="25"/>
      <c r="AB700" s="25"/>
      <c r="AC700" s="25"/>
      <c r="AD700" s="168"/>
    </row>
    <row r="701" spans="18:30" ht="69.75" customHeight="1" x14ac:dyDescent="0.25">
      <c r="R701" s="25"/>
      <c r="S701" s="25"/>
      <c r="T701" s="25"/>
      <c r="U701" s="25"/>
      <c r="V701" s="25"/>
      <c r="W701" s="25"/>
      <c r="X701" s="25"/>
      <c r="Y701" s="25"/>
      <c r="Z701" s="25"/>
      <c r="AA701" s="25"/>
      <c r="AB701" s="25"/>
      <c r="AC701" s="25"/>
      <c r="AD701" s="168"/>
    </row>
    <row r="702" spans="18:30" ht="69.75" customHeight="1" x14ac:dyDescent="0.25">
      <c r="R702" s="25"/>
      <c r="S702" s="25"/>
      <c r="T702" s="25"/>
      <c r="U702" s="25"/>
      <c r="V702" s="25"/>
      <c r="W702" s="25"/>
      <c r="X702" s="25"/>
      <c r="Y702" s="25"/>
      <c r="Z702" s="25"/>
      <c r="AA702" s="25"/>
      <c r="AB702" s="25"/>
      <c r="AC702" s="25"/>
      <c r="AD702" s="168"/>
    </row>
    <row r="703" spans="18:30" ht="69.75" customHeight="1" x14ac:dyDescent="0.25">
      <c r="R703" s="25"/>
      <c r="S703" s="25"/>
      <c r="T703" s="25"/>
      <c r="U703" s="25"/>
      <c r="V703" s="25"/>
      <c r="W703" s="25"/>
      <c r="X703" s="25"/>
      <c r="Y703" s="25"/>
      <c r="Z703" s="25"/>
      <c r="AA703" s="25"/>
      <c r="AB703" s="25"/>
      <c r="AC703" s="25"/>
      <c r="AD703" s="168"/>
    </row>
    <row r="704" spans="18:30" ht="69.75" customHeight="1" x14ac:dyDescent="0.25">
      <c r="R704" s="25"/>
      <c r="S704" s="25"/>
      <c r="T704" s="25"/>
      <c r="U704" s="25"/>
      <c r="V704" s="25"/>
      <c r="W704" s="25"/>
      <c r="X704" s="25"/>
      <c r="Y704" s="25"/>
      <c r="Z704" s="25"/>
      <c r="AA704" s="25"/>
      <c r="AB704" s="25"/>
      <c r="AC704" s="25"/>
      <c r="AD704" s="168"/>
    </row>
    <row r="705" spans="18:30" ht="69.75" customHeight="1" x14ac:dyDescent="0.25">
      <c r="R705" s="25"/>
      <c r="S705" s="25"/>
      <c r="T705" s="25"/>
      <c r="U705" s="25"/>
      <c r="V705" s="25"/>
      <c r="W705" s="25"/>
      <c r="X705" s="25"/>
      <c r="Y705" s="25"/>
      <c r="Z705" s="25"/>
      <c r="AA705" s="25"/>
      <c r="AB705" s="25"/>
      <c r="AC705" s="25"/>
      <c r="AD705" s="168"/>
    </row>
    <row r="706" spans="18:30" ht="69.75" customHeight="1" x14ac:dyDescent="0.25">
      <c r="R706" s="25"/>
      <c r="S706" s="25"/>
      <c r="T706" s="25"/>
      <c r="U706" s="25"/>
      <c r="V706" s="25"/>
      <c r="W706" s="25"/>
      <c r="X706" s="25"/>
      <c r="Y706" s="25"/>
      <c r="Z706" s="25"/>
      <c r="AA706" s="25"/>
      <c r="AB706" s="25"/>
      <c r="AC706" s="25"/>
      <c r="AD706" s="168"/>
    </row>
    <row r="707" spans="18:30" ht="69.75" customHeight="1" x14ac:dyDescent="0.25">
      <c r="R707" s="25"/>
      <c r="S707" s="25"/>
      <c r="T707" s="25"/>
      <c r="U707" s="25"/>
      <c r="V707" s="25"/>
      <c r="W707" s="25"/>
      <c r="X707" s="25"/>
      <c r="Y707" s="25"/>
      <c r="Z707" s="25"/>
      <c r="AA707" s="25"/>
      <c r="AB707" s="25"/>
      <c r="AC707" s="25"/>
      <c r="AD707" s="168"/>
    </row>
    <row r="708" spans="18:30" ht="69.75" customHeight="1" x14ac:dyDescent="0.25">
      <c r="R708" s="25"/>
      <c r="S708" s="25"/>
      <c r="T708" s="25"/>
      <c r="U708" s="25"/>
      <c r="V708" s="25"/>
      <c r="W708" s="25"/>
      <c r="X708" s="25"/>
      <c r="Y708" s="25"/>
      <c r="Z708" s="25"/>
      <c r="AA708" s="25"/>
      <c r="AB708" s="25"/>
      <c r="AC708" s="25"/>
      <c r="AD708" s="168"/>
    </row>
    <row r="709" spans="18:30" ht="69.75" customHeight="1" x14ac:dyDescent="0.25">
      <c r="R709" s="25"/>
      <c r="S709" s="25"/>
      <c r="T709" s="25"/>
      <c r="U709" s="25"/>
      <c r="V709" s="25"/>
      <c r="W709" s="25"/>
      <c r="X709" s="25"/>
      <c r="Y709" s="25"/>
      <c r="Z709" s="25"/>
      <c r="AA709" s="25"/>
      <c r="AB709" s="25"/>
      <c r="AC709" s="25"/>
      <c r="AD709" s="168"/>
    </row>
    <row r="710" spans="18:30" ht="69.75" customHeight="1" x14ac:dyDescent="0.25">
      <c r="R710" s="25"/>
      <c r="S710" s="25"/>
      <c r="T710" s="25"/>
      <c r="U710" s="25"/>
      <c r="V710" s="25"/>
      <c r="W710" s="25"/>
      <c r="X710" s="25"/>
      <c r="Y710" s="25"/>
      <c r="Z710" s="25"/>
      <c r="AA710" s="25"/>
      <c r="AB710" s="25"/>
      <c r="AC710" s="25"/>
      <c r="AD710" s="168"/>
    </row>
    <row r="711" spans="18:30" ht="69.75" customHeight="1" x14ac:dyDescent="0.25">
      <c r="R711" s="25"/>
      <c r="S711" s="25"/>
      <c r="T711" s="25"/>
      <c r="U711" s="25"/>
      <c r="V711" s="25"/>
      <c r="W711" s="25"/>
      <c r="X711" s="25"/>
      <c r="Y711" s="25"/>
      <c r="Z711" s="25"/>
      <c r="AA711" s="25"/>
      <c r="AB711" s="25"/>
      <c r="AC711" s="25"/>
      <c r="AD711" s="168"/>
    </row>
    <row r="712" spans="18:30" ht="69.75" customHeight="1" x14ac:dyDescent="0.25">
      <c r="R712" s="25"/>
      <c r="S712" s="25"/>
      <c r="T712" s="25"/>
      <c r="U712" s="25"/>
      <c r="V712" s="25"/>
      <c r="W712" s="25"/>
      <c r="X712" s="25"/>
      <c r="Y712" s="25"/>
      <c r="Z712" s="25"/>
      <c r="AA712" s="25"/>
      <c r="AB712" s="25"/>
      <c r="AC712" s="25"/>
      <c r="AD712" s="168"/>
    </row>
    <row r="713" spans="18:30" ht="69.75" customHeight="1" x14ac:dyDescent="0.25">
      <c r="R713" s="25"/>
      <c r="S713" s="25"/>
      <c r="T713" s="25"/>
      <c r="U713" s="25"/>
      <c r="V713" s="25"/>
      <c r="W713" s="25"/>
      <c r="X713" s="25"/>
      <c r="Y713" s="25"/>
      <c r="Z713" s="25"/>
      <c r="AA713" s="25"/>
      <c r="AB713" s="25"/>
      <c r="AC713" s="25"/>
      <c r="AD713" s="168"/>
    </row>
    <row r="714" spans="18:30" ht="69.75" customHeight="1" x14ac:dyDescent="0.25">
      <c r="R714" s="25"/>
      <c r="S714" s="25"/>
      <c r="T714" s="25"/>
      <c r="U714" s="25"/>
      <c r="V714" s="25"/>
      <c r="W714" s="25"/>
      <c r="X714" s="25"/>
      <c r="Y714" s="25"/>
      <c r="Z714" s="25"/>
      <c r="AA714" s="25"/>
      <c r="AB714" s="25"/>
      <c r="AC714" s="25"/>
      <c r="AD714" s="168"/>
    </row>
    <row r="715" spans="18:30" ht="69.75" customHeight="1" x14ac:dyDescent="0.25">
      <c r="R715" s="25"/>
      <c r="S715" s="25"/>
      <c r="T715" s="25"/>
      <c r="U715" s="25"/>
      <c r="V715" s="25"/>
      <c r="W715" s="25"/>
      <c r="X715" s="25"/>
      <c r="Y715" s="25"/>
      <c r="Z715" s="25"/>
      <c r="AA715" s="25"/>
      <c r="AB715" s="25"/>
      <c r="AC715" s="25"/>
      <c r="AD715" s="168"/>
    </row>
    <row r="716" spans="18:30" ht="69.75" customHeight="1" x14ac:dyDescent="0.25">
      <c r="R716" s="25"/>
      <c r="S716" s="25"/>
      <c r="T716" s="25"/>
      <c r="U716" s="25"/>
      <c r="V716" s="25"/>
      <c r="W716" s="25"/>
      <c r="X716" s="25"/>
      <c r="Y716" s="25"/>
      <c r="Z716" s="25"/>
      <c r="AA716" s="25"/>
      <c r="AB716" s="25"/>
      <c r="AC716" s="25"/>
      <c r="AD716" s="168"/>
    </row>
    <row r="717" spans="18:30" ht="69.75" customHeight="1" x14ac:dyDescent="0.25">
      <c r="R717" s="25"/>
      <c r="S717" s="25"/>
      <c r="T717" s="25"/>
      <c r="U717" s="25"/>
      <c r="V717" s="25"/>
      <c r="W717" s="25"/>
      <c r="X717" s="25"/>
      <c r="Y717" s="25"/>
      <c r="Z717" s="25"/>
      <c r="AA717" s="25"/>
      <c r="AB717" s="25"/>
      <c r="AC717" s="25"/>
      <c r="AD717" s="168"/>
    </row>
    <row r="718" spans="18:30" ht="69.75" customHeight="1" x14ac:dyDescent="0.25">
      <c r="R718" s="25"/>
      <c r="S718" s="25"/>
      <c r="T718" s="25"/>
      <c r="U718" s="25"/>
      <c r="V718" s="25"/>
      <c r="W718" s="25"/>
      <c r="X718" s="25"/>
      <c r="Y718" s="25"/>
      <c r="Z718" s="25"/>
      <c r="AA718" s="25"/>
      <c r="AB718" s="25"/>
      <c r="AC718" s="25"/>
      <c r="AD718" s="168"/>
    </row>
    <row r="719" spans="18:30" ht="69.75" customHeight="1" x14ac:dyDescent="0.25">
      <c r="R719" s="25"/>
      <c r="S719" s="25"/>
      <c r="T719" s="25"/>
      <c r="U719" s="25"/>
      <c r="V719" s="25"/>
      <c r="W719" s="25"/>
      <c r="X719" s="25"/>
      <c r="Y719" s="25"/>
      <c r="Z719" s="25"/>
      <c r="AA719" s="25"/>
      <c r="AB719" s="25"/>
      <c r="AC719" s="25"/>
      <c r="AD719" s="168"/>
    </row>
    <row r="720" spans="18:30" ht="69.75" customHeight="1" x14ac:dyDescent="0.25">
      <c r="R720" s="25"/>
      <c r="S720" s="25"/>
      <c r="T720" s="25"/>
      <c r="U720" s="25"/>
      <c r="V720" s="25"/>
      <c r="W720" s="25"/>
      <c r="X720" s="25"/>
      <c r="Y720" s="25"/>
      <c r="Z720" s="25"/>
      <c r="AA720" s="25"/>
      <c r="AB720" s="25"/>
      <c r="AC720" s="25"/>
      <c r="AD720" s="168"/>
    </row>
    <row r="721" spans="18:30" ht="69.75" customHeight="1" x14ac:dyDescent="0.25">
      <c r="R721" s="25"/>
      <c r="S721" s="25"/>
      <c r="T721" s="25"/>
      <c r="U721" s="25"/>
      <c r="V721" s="25"/>
      <c r="W721" s="25"/>
      <c r="X721" s="25"/>
      <c r="Y721" s="25"/>
      <c r="Z721" s="25"/>
      <c r="AA721" s="25"/>
      <c r="AB721" s="25"/>
      <c r="AC721" s="25"/>
      <c r="AD721" s="168"/>
    </row>
    <row r="722" spans="18:30" ht="69.75" customHeight="1" x14ac:dyDescent="0.25">
      <c r="R722" s="25"/>
      <c r="S722" s="25"/>
      <c r="T722" s="25"/>
      <c r="U722" s="25"/>
      <c r="V722" s="25"/>
      <c r="W722" s="25"/>
      <c r="X722" s="25"/>
      <c r="Y722" s="25"/>
      <c r="Z722" s="25"/>
      <c r="AA722" s="25"/>
      <c r="AB722" s="25"/>
      <c r="AC722" s="25"/>
      <c r="AD722" s="168"/>
    </row>
    <row r="723" spans="18:30" ht="69.75" customHeight="1" x14ac:dyDescent="0.25">
      <c r="R723" s="25"/>
      <c r="S723" s="25"/>
      <c r="T723" s="25"/>
      <c r="U723" s="25"/>
      <c r="V723" s="25"/>
      <c r="W723" s="25"/>
      <c r="X723" s="25"/>
      <c r="Y723" s="25"/>
      <c r="Z723" s="25"/>
      <c r="AA723" s="25"/>
      <c r="AB723" s="25"/>
      <c r="AC723" s="25"/>
      <c r="AD723" s="168"/>
    </row>
    <row r="724" spans="18:30" ht="69.75" customHeight="1" x14ac:dyDescent="0.25">
      <c r="R724" s="25"/>
      <c r="S724" s="25"/>
      <c r="T724" s="25"/>
      <c r="U724" s="25"/>
      <c r="V724" s="25"/>
      <c r="W724" s="25"/>
      <c r="X724" s="25"/>
      <c r="Y724" s="25"/>
      <c r="Z724" s="25"/>
      <c r="AA724" s="25"/>
      <c r="AB724" s="25"/>
      <c r="AC724" s="25"/>
      <c r="AD724" s="168"/>
    </row>
    <row r="725" spans="18:30" ht="69.75" customHeight="1" x14ac:dyDescent="0.25">
      <c r="R725" s="25"/>
      <c r="S725" s="25"/>
      <c r="T725" s="25"/>
      <c r="U725" s="25"/>
      <c r="V725" s="25"/>
      <c r="W725" s="25"/>
      <c r="X725" s="25"/>
      <c r="Y725" s="25"/>
      <c r="Z725" s="25"/>
      <c r="AA725" s="25"/>
      <c r="AB725" s="25"/>
      <c r="AC725" s="25"/>
      <c r="AD725" s="168"/>
    </row>
    <row r="726" spans="18:30" ht="69.75" customHeight="1" x14ac:dyDescent="0.25">
      <c r="R726" s="25"/>
      <c r="S726" s="25"/>
      <c r="T726" s="25"/>
      <c r="U726" s="25"/>
      <c r="V726" s="25"/>
      <c r="W726" s="25"/>
      <c r="X726" s="25"/>
      <c r="Y726" s="25"/>
      <c r="Z726" s="25"/>
      <c r="AA726" s="25"/>
      <c r="AB726" s="25"/>
      <c r="AC726" s="25"/>
      <c r="AD726" s="168"/>
    </row>
    <row r="727" spans="18:30" ht="69.75" customHeight="1" x14ac:dyDescent="0.25">
      <c r="R727" s="25"/>
      <c r="S727" s="25"/>
      <c r="T727" s="25"/>
      <c r="U727" s="25"/>
      <c r="V727" s="25"/>
      <c r="W727" s="25"/>
      <c r="X727" s="25"/>
      <c r="Y727" s="25"/>
      <c r="Z727" s="25"/>
      <c r="AA727" s="25"/>
      <c r="AB727" s="25"/>
      <c r="AC727" s="25"/>
      <c r="AD727" s="168"/>
    </row>
    <row r="728" spans="18:30" ht="69.75" customHeight="1" x14ac:dyDescent="0.25">
      <c r="R728" s="25"/>
      <c r="S728" s="25"/>
      <c r="T728" s="25"/>
      <c r="U728" s="25"/>
      <c r="V728" s="25"/>
      <c r="W728" s="25"/>
      <c r="X728" s="25"/>
      <c r="Y728" s="25"/>
      <c r="Z728" s="25"/>
      <c r="AA728" s="25"/>
      <c r="AB728" s="25"/>
      <c r="AC728" s="25"/>
      <c r="AD728" s="168"/>
    </row>
    <row r="729" spans="18:30" ht="69.75" customHeight="1" x14ac:dyDescent="0.25">
      <c r="R729" s="25"/>
      <c r="S729" s="25"/>
      <c r="T729" s="25"/>
      <c r="U729" s="25"/>
      <c r="V729" s="25"/>
      <c r="W729" s="25"/>
      <c r="X729" s="25"/>
      <c r="Y729" s="25"/>
      <c r="Z729" s="25"/>
      <c r="AA729" s="25"/>
      <c r="AB729" s="25"/>
      <c r="AC729" s="25"/>
      <c r="AD729" s="168"/>
    </row>
    <row r="730" spans="18:30" ht="69.75" customHeight="1" x14ac:dyDescent="0.25">
      <c r="R730" s="25"/>
      <c r="S730" s="25"/>
      <c r="T730" s="25"/>
      <c r="U730" s="25"/>
      <c r="V730" s="25"/>
      <c r="W730" s="25"/>
      <c r="X730" s="25"/>
      <c r="Y730" s="25"/>
      <c r="Z730" s="25"/>
      <c r="AA730" s="25"/>
      <c r="AB730" s="25"/>
      <c r="AC730" s="25"/>
      <c r="AD730" s="168"/>
    </row>
    <row r="731" spans="18:30" ht="69.75" customHeight="1" x14ac:dyDescent="0.25">
      <c r="R731" s="25"/>
      <c r="S731" s="25"/>
      <c r="T731" s="25"/>
      <c r="U731" s="25"/>
      <c r="V731" s="25"/>
      <c r="W731" s="25"/>
      <c r="X731" s="25"/>
      <c r="Y731" s="25"/>
      <c r="Z731" s="25"/>
      <c r="AA731" s="25"/>
      <c r="AB731" s="25"/>
      <c r="AC731" s="25"/>
      <c r="AD731" s="168"/>
    </row>
    <row r="732" spans="18:30" ht="69.75" customHeight="1" x14ac:dyDescent="0.25">
      <c r="R732" s="25"/>
      <c r="S732" s="25"/>
      <c r="T732" s="25"/>
      <c r="U732" s="25"/>
      <c r="V732" s="25"/>
      <c r="W732" s="25"/>
      <c r="X732" s="25"/>
      <c r="Y732" s="25"/>
      <c r="Z732" s="25"/>
      <c r="AA732" s="25"/>
      <c r="AB732" s="25"/>
      <c r="AC732" s="25"/>
      <c r="AD732" s="168"/>
    </row>
    <row r="733" spans="18:30" ht="69.75" customHeight="1" x14ac:dyDescent="0.25">
      <c r="R733" s="25"/>
      <c r="S733" s="25"/>
      <c r="T733" s="25"/>
      <c r="U733" s="25"/>
      <c r="V733" s="25"/>
      <c r="W733" s="25"/>
      <c r="X733" s="25"/>
      <c r="Y733" s="25"/>
      <c r="Z733" s="25"/>
      <c r="AA733" s="25"/>
      <c r="AB733" s="25"/>
      <c r="AC733" s="25"/>
      <c r="AD733" s="168"/>
    </row>
    <row r="734" spans="18:30" ht="69.75" customHeight="1" x14ac:dyDescent="0.25">
      <c r="R734" s="25"/>
      <c r="S734" s="25"/>
      <c r="T734" s="25"/>
      <c r="U734" s="25"/>
      <c r="V734" s="25"/>
      <c r="W734" s="25"/>
      <c r="X734" s="25"/>
      <c r="Y734" s="25"/>
      <c r="Z734" s="25"/>
      <c r="AA734" s="25"/>
      <c r="AB734" s="25"/>
      <c r="AC734" s="25"/>
      <c r="AD734" s="168"/>
    </row>
    <row r="735" spans="18:30" ht="69.75" customHeight="1" x14ac:dyDescent="0.25">
      <c r="R735" s="25"/>
      <c r="S735" s="25"/>
      <c r="T735" s="25"/>
      <c r="U735" s="25"/>
      <c r="V735" s="25"/>
      <c r="W735" s="25"/>
      <c r="X735" s="25"/>
      <c r="Y735" s="25"/>
      <c r="Z735" s="25"/>
      <c r="AA735" s="25"/>
      <c r="AB735" s="25"/>
      <c r="AC735" s="25"/>
      <c r="AD735" s="168"/>
    </row>
    <row r="736" spans="18:30" ht="69.75" customHeight="1" x14ac:dyDescent="0.25">
      <c r="R736" s="25"/>
      <c r="S736" s="25"/>
      <c r="T736" s="25"/>
      <c r="U736" s="25"/>
      <c r="V736" s="25"/>
      <c r="W736" s="25"/>
      <c r="X736" s="25"/>
      <c r="Y736" s="25"/>
      <c r="Z736" s="25"/>
      <c r="AA736" s="25"/>
      <c r="AB736" s="25"/>
      <c r="AC736" s="25"/>
      <c r="AD736" s="168"/>
    </row>
    <row r="737" spans="18:30" ht="69.75" customHeight="1" x14ac:dyDescent="0.25">
      <c r="R737" s="25"/>
      <c r="S737" s="25"/>
      <c r="T737" s="25"/>
      <c r="U737" s="25"/>
      <c r="V737" s="25"/>
      <c r="W737" s="25"/>
      <c r="X737" s="25"/>
      <c r="Y737" s="25"/>
      <c r="Z737" s="25"/>
      <c r="AA737" s="25"/>
      <c r="AB737" s="25"/>
      <c r="AC737" s="25"/>
      <c r="AD737" s="168"/>
    </row>
    <row r="738" spans="18:30" ht="69.75" customHeight="1" x14ac:dyDescent="0.25">
      <c r="R738" s="25"/>
      <c r="S738" s="25"/>
      <c r="T738" s="25"/>
      <c r="U738" s="25"/>
      <c r="V738" s="25"/>
      <c r="W738" s="25"/>
      <c r="X738" s="25"/>
      <c r="Y738" s="25"/>
      <c r="Z738" s="25"/>
      <c r="AA738" s="25"/>
      <c r="AB738" s="25"/>
      <c r="AC738" s="25"/>
      <c r="AD738" s="168"/>
    </row>
    <row r="739" spans="18:30" ht="69.75" customHeight="1" x14ac:dyDescent="0.25">
      <c r="R739" s="25"/>
      <c r="S739" s="25"/>
      <c r="T739" s="25"/>
      <c r="U739" s="25"/>
      <c r="V739" s="25"/>
      <c r="W739" s="25"/>
      <c r="X739" s="25"/>
      <c r="Y739" s="25"/>
      <c r="Z739" s="25"/>
      <c r="AA739" s="25"/>
      <c r="AB739" s="25"/>
      <c r="AC739" s="25"/>
      <c r="AD739" s="168"/>
    </row>
    <row r="740" spans="18:30" ht="69.75" customHeight="1" x14ac:dyDescent="0.25">
      <c r="R740" s="25"/>
      <c r="S740" s="25"/>
      <c r="T740" s="25"/>
      <c r="U740" s="25"/>
      <c r="V740" s="25"/>
      <c r="W740" s="25"/>
      <c r="X740" s="25"/>
      <c r="Y740" s="25"/>
      <c r="Z740" s="25"/>
      <c r="AA740" s="25"/>
      <c r="AB740" s="25"/>
      <c r="AC740" s="25"/>
      <c r="AD740" s="168"/>
    </row>
    <row r="741" spans="18:30" ht="69.75" customHeight="1" x14ac:dyDescent="0.25">
      <c r="R741" s="25"/>
      <c r="S741" s="25"/>
      <c r="T741" s="25"/>
      <c r="U741" s="25"/>
      <c r="V741" s="25"/>
      <c r="W741" s="25"/>
      <c r="X741" s="25"/>
      <c r="Y741" s="25"/>
      <c r="Z741" s="25"/>
      <c r="AA741" s="25"/>
      <c r="AB741" s="25"/>
      <c r="AC741" s="25"/>
      <c r="AD741" s="168"/>
    </row>
    <row r="742" spans="18:30" ht="69.75" customHeight="1" x14ac:dyDescent="0.25">
      <c r="R742" s="25"/>
      <c r="S742" s="25"/>
      <c r="T742" s="25"/>
      <c r="U742" s="25"/>
      <c r="V742" s="25"/>
      <c r="W742" s="25"/>
      <c r="X742" s="25"/>
      <c r="Y742" s="25"/>
      <c r="Z742" s="25"/>
      <c r="AA742" s="25"/>
      <c r="AB742" s="25"/>
      <c r="AC742" s="25"/>
      <c r="AD742" s="168"/>
    </row>
    <row r="743" spans="18:30" ht="69.75" customHeight="1" x14ac:dyDescent="0.25">
      <c r="R743" s="25"/>
      <c r="S743" s="25"/>
      <c r="T743" s="25"/>
      <c r="U743" s="25"/>
      <c r="V743" s="25"/>
      <c r="W743" s="25"/>
      <c r="X743" s="25"/>
      <c r="Y743" s="25"/>
      <c r="Z743" s="25"/>
      <c r="AA743" s="25"/>
      <c r="AB743" s="25"/>
      <c r="AC743" s="25"/>
      <c r="AD743" s="168"/>
    </row>
    <row r="744" spans="18:30" ht="69.75" customHeight="1" x14ac:dyDescent="0.25">
      <c r="R744" s="25"/>
      <c r="S744" s="25"/>
      <c r="T744" s="25"/>
      <c r="U744" s="25"/>
      <c r="V744" s="25"/>
      <c r="W744" s="25"/>
      <c r="X744" s="25"/>
      <c r="Y744" s="25"/>
      <c r="Z744" s="25"/>
      <c r="AA744" s="25"/>
      <c r="AB744" s="25"/>
      <c r="AC744" s="25"/>
      <c r="AD744" s="168"/>
    </row>
    <row r="745" spans="18:30" ht="69.75" customHeight="1" x14ac:dyDescent="0.25">
      <c r="R745" s="25"/>
      <c r="S745" s="25"/>
      <c r="T745" s="25"/>
      <c r="U745" s="25"/>
      <c r="V745" s="25"/>
      <c r="W745" s="25"/>
      <c r="X745" s="25"/>
      <c r="Y745" s="25"/>
      <c r="Z745" s="25"/>
      <c r="AA745" s="25"/>
      <c r="AB745" s="25"/>
      <c r="AC745" s="25"/>
      <c r="AD745" s="168"/>
    </row>
    <row r="746" spans="18:30" ht="69.75" customHeight="1" x14ac:dyDescent="0.25">
      <c r="R746" s="25"/>
      <c r="S746" s="25"/>
      <c r="T746" s="25"/>
      <c r="U746" s="25"/>
      <c r="V746" s="25"/>
      <c r="W746" s="25"/>
      <c r="X746" s="25"/>
      <c r="Y746" s="25"/>
      <c r="Z746" s="25"/>
      <c r="AA746" s="25"/>
      <c r="AB746" s="25"/>
      <c r="AC746" s="25"/>
      <c r="AD746" s="168"/>
    </row>
    <row r="747" spans="18:30" ht="69.75" customHeight="1" x14ac:dyDescent="0.25">
      <c r="R747" s="25"/>
      <c r="S747" s="25"/>
      <c r="T747" s="25"/>
      <c r="U747" s="25"/>
      <c r="V747" s="25"/>
      <c r="W747" s="25"/>
      <c r="X747" s="25"/>
      <c r="Y747" s="25"/>
      <c r="Z747" s="25"/>
      <c r="AA747" s="25"/>
      <c r="AB747" s="25"/>
      <c r="AC747" s="25"/>
      <c r="AD747" s="168"/>
    </row>
    <row r="748" spans="18:30" ht="69.75" customHeight="1" x14ac:dyDescent="0.25">
      <c r="R748" s="25"/>
      <c r="S748" s="25"/>
      <c r="T748" s="25"/>
      <c r="U748" s="25"/>
      <c r="V748" s="25"/>
      <c r="W748" s="25"/>
      <c r="X748" s="25"/>
      <c r="Y748" s="25"/>
      <c r="Z748" s="25"/>
      <c r="AA748" s="25"/>
      <c r="AB748" s="25"/>
      <c r="AC748" s="25"/>
      <c r="AD748" s="168"/>
    </row>
    <row r="749" spans="18:30" ht="69.75" customHeight="1" x14ac:dyDescent="0.25">
      <c r="R749" s="25"/>
      <c r="S749" s="25"/>
      <c r="T749" s="25"/>
      <c r="U749" s="25"/>
      <c r="V749" s="25"/>
      <c r="W749" s="25"/>
      <c r="X749" s="25"/>
      <c r="Y749" s="25"/>
      <c r="Z749" s="25"/>
      <c r="AA749" s="25"/>
      <c r="AB749" s="25"/>
      <c r="AC749" s="25"/>
      <c r="AD749" s="168"/>
    </row>
    <row r="750" spans="18:30" ht="69.75" customHeight="1" x14ac:dyDescent="0.25">
      <c r="R750" s="25"/>
      <c r="S750" s="25"/>
      <c r="T750" s="25"/>
      <c r="U750" s="25"/>
      <c r="V750" s="25"/>
      <c r="W750" s="25"/>
      <c r="X750" s="25"/>
      <c r="Y750" s="25"/>
      <c r="Z750" s="25"/>
      <c r="AA750" s="25"/>
      <c r="AB750" s="25"/>
      <c r="AC750" s="25"/>
      <c r="AD750" s="168"/>
    </row>
    <row r="751" spans="18:30" ht="69.75" customHeight="1" x14ac:dyDescent="0.25">
      <c r="R751" s="25"/>
      <c r="S751" s="25"/>
      <c r="T751" s="25"/>
      <c r="U751" s="25"/>
      <c r="V751" s="25"/>
      <c r="W751" s="25"/>
      <c r="X751" s="25"/>
      <c r="Y751" s="25"/>
      <c r="Z751" s="25"/>
      <c r="AA751" s="25"/>
      <c r="AB751" s="25"/>
      <c r="AC751" s="25"/>
      <c r="AD751" s="168"/>
    </row>
    <row r="752" spans="18:30" ht="69.75" customHeight="1" x14ac:dyDescent="0.25">
      <c r="R752" s="25"/>
      <c r="S752" s="25"/>
      <c r="T752" s="25"/>
      <c r="U752" s="25"/>
      <c r="V752" s="25"/>
      <c r="W752" s="25"/>
      <c r="X752" s="25"/>
      <c r="Y752" s="25"/>
      <c r="Z752" s="25"/>
      <c r="AA752" s="25"/>
      <c r="AB752" s="25"/>
      <c r="AC752" s="25"/>
      <c r="AD752" s="168"/>
    </row>
    <row r="753" spans="18:30" ht="69.75" customHeight="1" x14ac:dyDescent="0.25">
      <c r="R753" s="25"/>
      <c r="S753" s="25"/>
      <c r="T753" s="25"/>
      <c r="U753" s="25"/>
      <c r="V753" s="25"/>
      <c r="W753" s="25"/>
      <c r="X753" s="25"/>
      <c r="Y753" s="25"/>
      <c r="Z753" s="25"/>
      <c r="AA753" s="25"/>
      <c r="AB753" s="25"/>
      <c r="AC753" s="25"/>
      <c r="AD753" s="168"/>
    </row>
    <row r="754" spans="18:30" ht="69.75" customHeight="1" x14ac:dyDescent="0.25">
      <c r="R754" s="25"/>
      <c r="S754" s="25"/>
      <c r="T754" s="25"/>
      <c r="U754" s="25"/>
      <c r="V754" s="25"/>
      <c r="W754" s="25"/>
      <c r="X754" s="25"/>
      <c r="Y754" s="25"/>
      <c r="Z754" s="25"/>
      <c r="AA754" s="25"/>
      <c r="AB754" s="25"/>
      <c r="AC754" s="25"/>
      <c r="AD754" s="168"/>
    </row>
    <row r="755" spans="18:30" ht="69.75" customHeight="1" x14ac:dyDescent="0.25">
      <c r="R755" s="25"/>
      <c r="S755" s="25"/>
      <c r="T755" s="25"/>
      <c r="U755" s="25"/>
      <c r="V755" s="25"/>
      <c r="W755" s="25"/>
      <c r="X755" s="25"/>
      <c r="Y755" s="25"/>
      <c r="Z755" s="25"/>
      <c r="AA755" s="25"/>
      <c r="AB755" s="25"/>
      <c r="AC755" s="25"/>
      <c r="AD755" s="168"/>
    </row>
    <row r="756" spans="18:30" ht="69.75" customHeight="1" x14ac:dyDescent="0.25">
      <c r="R756" s="25"/>
      <c r="S756" s="25"/>
      <c r="T756" s="25"/>
      <c r="U756" s="25"/>
      <c r="V756" s="25"/>
      <c r="W756" s="25"/>
      <c r="X756" s="25"/>
      <c r="Y756" s="25"/>
      <c r="Z756" s="25"/>
      <c r="AA756" s="25"/>
      <c r="AB756" s="25"/>
      <c r="AC756" s="25"/>
      <c r="AD756" s="168"/>
    </row>
    <row r="757" spans="18:30" ht="69.75" customHeight="1" x14ac:dyDescent="0.25">
      <c r="R757" s="25"/>
      <c r="S757" s="25"/>
      <c r="T757" s="25"/>
      <c r="U757" s="25"/>
      <c r="V757" s="25"/>
      <c r="W757" s="25"/>
      <c r="X757" s="25"/>
      <c r="Y757" s="25"/>
      <c r="Z757" s="25"/>
      <c r="AA757" s="25"/>
      <c r="AB757" s="25"/>
      <c r="AC757" s="25"/>
      <c r="AD757" s="168"/>
    </row>
    <row r="758" spans="18:30" ht="69.75" customHeight="1" x14ac:dyDescent="0.25">
      <c r="R758" s="25"/>
      <c r="S758" s="25"/>
      <c r="T758" s="25"/>
      <c r="U758" s="25"/>
      <c r="V758" s="25"/>
      <c r="W758" s="25"/>
      <c r="X758" s="25"/>
      <c r="Y758" s="25"/>
      <c r="Z758" s="25"/>
      <c r="AA758" s="25"/>
      <c r="AB758" s="25"/>
      <c r="AC758" s="25"/>
      <c r="AD758" s="168"/>
    </row>
    <row r="759" spans="18:30" ht="69.75" customHeight="1" x14ac:dyDescent="0.25">
      <c r="R759" s="25"/>
      <c r="S759" s="25"/>
      <c r="T759" s="25"/>
      <c r="U759" s="25"/>
      <c r="V759" s="25"/>
      <c r="W759" s="25"/>
      <c r="X759" s="25"/>
      <c r="Y759" s="25"/>
      <c r="Z759" s="25"/>
      <c r="AA759" s="25"/>
      <c r="AB759" s="25"/>
      <c r="AC759" s="25"/>
      <c r="AD759" s="168"/>
    </row>
    <row r="760" spans="18:30" ht="69.75" customHeight="1" x14ac:dyDescent="0.25">
      <c r="R760" s="25"/>
      <c r="S760" s="25"/>
      <c r="T760" s="25"/>
      <c r="U760" s="25"/>
      <c r="V760" s="25"/>
      <c r="W760" s="25"/>
      <c r="X760" s="25"/>
      <c r="Y760" s="25"/>
      <c r="Z760" s="25"/>
      <c r="AA760" s="25"/>
      <c r="AB760" s="25"/>
      <c r="AC760" s="25"/>
      <c r="AD760" s="168"/>
    </row>
    <row r="761" spans="18:30" ht="69.75" customHeight="1" x14ac:dyDescent="0.25">
      <c r="R761" s="25"/>
      <c r="S761" s="25"/>
      <c r="T761" s="25"/>
      <c r="U761" s="25"/>
      <c r="V761" s="25"/>
      <c r="W761" s="25"/>
      <c r="X761" s="25"/>
      <c r="Y761" s="25"/>
      <c r="Z761" s="25"/>
      <c r="AA761" s="25"/>
      <c r="AB761" s="25"/>
      <c r="AC761" s="25"/>
      <c r="AD761" s="168"/>
    </row>
    <row r="762" spans="18:30" ht="69.75" customHeight="1" x14ac:dyDescent="0.25">
      <c r="R762" s="25"/>
      <c r="S762" s="25"/>
      <c r="T762" s="25"/>
      <c r="U762" s="25"/>
      <c r="V762" s="25"/>
      <c r="W762" s="25"/>
      <c r="X762" s="25"/>
      <c r="Y762" s="25"/>
      <c r="Z762" s="25"/>
      <c r="AA762" s="25"/>
      <c r="AB762" s="25"/>
      <c r="AC762" s="25"/>
      <c r="AD762" s="168"/>
    </row>
    <row r="763" spans="18:30" ht="69.75" customHeight="1" x14ac:dyDescent="0.25">
      <c r="R763" s="25"/>
      <c r="S763" s="25"/>
      <c r="T763" s="25"/>
      <c r="U763" s="25"/>
      <c r="V763" s="25"/>
      <c r="W763" s="25"/>
      <c r="X763" s="25"/>
      <c r="Y763" s="25"/>
      <c r="Z763" s="25"/>
      <c r="AA763" s="25"/>
      <c r="AB763" s="25"/>
      <c r="AC763" s="25"/>
      <c r="AD763" s="168"/>
    </row>
    <row r="764" spans="18:30" ht="69.75" customHeight="1" x14ac:dyDescent="0.25">
      <c r="R764" s="25"/>
      <c r="S764" s="25"/>
      <c r="T764" s="25"/>
      <c r="U764" s="25"/>
      <c r="V764" s="25"/>
      <c r="W764" s="25"/>
      <c r="X764" s="25"/>
      <c r="Y764" s="25"/>
      <c r="Z764" s="25"/>
      <c r="AA764" s="25"/>
      <c r="AB764" s="25"/>
      <c r="AC764" s="25"/>
      <c r="AD764" s="168"/>
    </row>
    <row r="765" spans="18:30" ht="69.75" customHeight="1" x14ac:dyDescent="0.25">
      <c r="R765" s="25"/>
      <c r="S765" s="25"/>
      <c r="T765" s="25"/>
      <c r="U765" s="25"/>
      <c r="V765" s="25"/>
      <c r="W765" s="25"/>
      <c r="X765" s="25"/>
      <c r="Y765" s="25"/>
      <c r="Z765" s="25"/>
      <c r="AA765" s="25"/>
      <c r="AB765" s="25"/>
      <c r="AC765" s="25"/>
      <c r="AD765" s="168"/>
    </row>
    <row r="766" spans="18:30" ht="69.75" customHeight="1" x14ac:dyDescent="0.25">
      <c r="R766" s="25"/>
      <c r="S766" s="25"/>
      <c r="T766" s="25"/>
      <c r="U766" s="25"/>
      <c r="V766" s="25"/>
      <c r="W766" s="25"/>
      <c r="X766" s="25"/>
      <c r="Y766" s="25"/>
      <c r="Z766" s="25"/>
      <c r="AA766" s="25"/>
      <c r="AB766" s="25"/>
      <c r="AC766" s="25"/>
      <c r="AD766" s="168"/>
    </row>
    <row r="767" spans="18:30" ht="69.75" customHeight="1" x14ac:dyDescent="0.25">
      <c r="R767" s="25"/>
      <c r="S767" s="25"/>
      <c r="T767" s="25"/>
      <c r="U767" s="25"/>
      <c r="V767" s="25"/>
      <c r="W767" s="25"/>
      <c r="X767" s="25"/>
      <c r="Y767" s="25"/>
      <c r="Z767" s="25"/>
      <c r="AA767" s="25"/>
      <c r="AB767" s="25"/>
      <c r="AC767" s="25"/>
      <c r="AD767" s="168"/>
    </row>
    <row r="768" spans="18:30" ht="69.75" customHeight="1" x14ac:dyDescent="0.25">
      <c r="R768" s="25"/>
      <c r="S768" s="25"/>
      <c r="T768" s="25"/>
      <c r="U768" s="25"/>
      <c r="V768" s="25"/>
      <c r="W768" s="25"/>
      <c r="X768" s="25"/>
      <c r="Y768" s="25"/>
      <c r="Z768" s="25"/>
      <c r="AA768" s="25"/>
      <c r="AB768" s="25"/>
      <c r="AC768" s="25"/>
      <c r="AD768" s="168"/>
    </row>
    <row r="769" spans="18:30" ht="69.75" customHeight="1" x14ac:dyDescent="0.25">
      <c r="R769" s="25"/>
      <c r="S769" s="25"/>
      <c r="T769" s="25"/>
      <c r="U769" s="25"/>
      <c r="V769" s="25"/>
      <c r="W769" s="25"/>
      <c r="X769" s="25"/>
      <c r="Y769" s="25"/>
      <c r="Z769" s="25"/>
      <c r="AA769" s="25"/>
      <c r="AB769" s="25"/>
      <c r="AC769" s="25"/>
      <c r="AD769" s="168"/>
    </row>
    <row r="770" spans="18:30" ht="69.75" customHeight="1" x14ac:dyDescent="0.25">
      <c r="R770" s="25"/>
      <c r="S770" s="25"/>
      <c r="T770" s="25"/>
      <c r="U770" s="25"/>
      <c r="V770" s="25"/>
      <c r="W770" s="25"/>
      <c r="X770" s="25"/>
      <c r="Y770" s="25"/>
      <c r="Z770" s="25"/>
      <c r="AA770" s="25"/>
      <c r="AB770" s="25"/>
      <c r="AC770" s="25"/>
      <c r="AD770" s="168"/>
    </row>
    <row r="771" spans="18:30" ht="69.75" customHeight="1" x14ac:dyDescent="0.25">
      <c r="R771" s="25"/>
      <c r="S771" s="25"/>
      <c r="T771" s="25"/>
      <c r="U771" s="25"/>
      <c r="V771" s="25"/>
      <c r="W771" s="25"/>
      <c r="X771" s="25"/>
      <c r="Y771" s="25"/>
      <c r="Z771" s="25"/>
      <c r="AA771" s="25"/>
      <c r="AB771" s="25"/>
      <c r="AC771" s="25"/>
      <c r="AD771" s="168"/>
    </row>
    <row r="772" spans="18:30" ht="69.75" customHeight="1" x14ac:dyDescent="0.25">
      <c r="R772" s="25"/>
      <c r="S772" s="25"/>
      <c r="T772" s="25"/>
      <c r="U772" s="25"/>
      <c r="V772" s="25"/>
      <c r="W772" s="25"/>
      <c r="X772" s="25"/>
      <c r="Y772" s="25"/>
      <c r="Z772" s="25"/>
      <c r="AA772" s="25"/>
      <c r="AB772" s="25"/>
      <c r="AC772" s="25"/>
      <c r="AD772" s="168"/>
    </row>
    <row r="773" spans="18:30" ht="69.75" customHeight="1" x14ac:dyDescent="0.25">
      <c r="R773" s="25"/>
      <c r="S773" s="25"/>
      <c r="T773" s="25"/>
      <c r="U773" s="25"/>
      <c r="V773" s="25"/>
      <c r="W773" s="25"/>
      <c r="X773" s="25"/>
      <c r="Y773" s="25"/>
      <c r="Z773" s="25"/>
      <c r="AA773" s="25"/>
      <c r="AB773" s="25"/>
      <c r="AC773" s="25"/>
      <c r="AD773" s="168"/>
    </row>
    <row r="774" spans="18:30" ht="69.75" customHeight="1" x14ac:dyDescent="0.25">
      <c r="R774" s="25"/>
      <c r="S774" s="25"/>
      <c r="T774" s="25"/>
      <c r="U774" s="25"/>
      <c r="V774" s="25"/>
      <c r="W774" s="25"/>
      <c r="X774" s="25"/>
      <c r="Y774" s="25"/>
      <c r="Z774" s="25"/>
      <c r="AA774" s="25"/>
      <c r="AB774" s="25"/>
      <c r="AC774" s="25"/>
      <c r="AD774" s="168"/>
    </row>
    <row r="775" spans="18:30" ht="69.75" customHeight="1" x14ac:dyDescent="0.25">
      <c r="R775" s="25"/>
      <c r="S775" s="25"/>
      <c r="T775" s="25"/>
      <c r="U775" s="25"/>
      <c r="V775" s="25"/>
      <c r="W775" s="25"/>
      <c r="X775" s="25"/>
      <c r="Y775" s="25"/>
      <c r="Z775" s="25"/>
      <c r="AA775" s="25"/>
      <c r="AB775" s="25"/>
      <c r="AC775" s="25"/>
      <c r="AD775" s="168"/>
    </row>
    <row r="776" spans="18:30" ht="69.75" customHeight="1" x14ac:dyDescent="0.25">
      <c r="R776" s="25"/>
      <c r="S776" s="25"/>
      <c r="T776" s="25"/>
      <c r="U776" s="25"/>
      <c r="V776" s="25"/>
      <c r="W776" s="25"/>
      <c r="X776" s="25"/>
      <c r="Y776" s="25"/>
      <c r="Z776" s="25"/>
      <c r="AA776" s="25"/>
      <c r="AB776" s="25"/>
      <c r="AC776" s="25"/>
      <c r="AD776" s="168"/>
    </row>
    <row r="777" spans="18:30" ht="69.75" customHeight="1" x14ac:dyDescent="0.25">
      <c r="R777" s="25"/>
      <c r="S777" s="25"/>
      <c r="T777" s="25"/>
      <c r="U777" s="25"/>
      <c r="V777" s="25"/>
      <c r="W777" s="25"/>
      <c r="X777" s="25"/>
      <c r="Y777" s="25"/>
      <c r="Z777" s="25"/>
      <c r="AA777" s="25"/>
      <c r="AB777" s="25"/>
      <c r="AC777" s="25"/>
      <c r="AD777" s="168"/>
    </row>
    <row r="778" spans="18:30" ht="69.75" customHeight="1" x14ac:dyDescent="0.25">
      <c r="R778" s="25"/>
      <c r="S778" s="25"/>
      <c r="T778" s="25"/>
      <c r="U778" s="25"/>
      <c r="V778" s="25"/>
      <c r="W778" s="25"/>
      <c r="X778" s="25"/>
      <c r="Y778" s="25"/>
      <c r="Z778" s="25"/>
      <c r="AA778" s="25"/>
      <c r="AB778" s="25"/>
      <c r="AC778" s="25"/>
      <c r="AD778" s="168"/>
    </row>
    <row r="779" spans="18:30" ht="69.75" customHeight="1" x14ac:dyDescent="0.25">
      <c r="R779" s="25"/>
      <c r="S779" s="25"/>
      <c r="T779" s="25"/>
      <c r="U779" s="25"/>
      <c r="V779" s="25"/>
      <c r="W779" s="25"/>
      <c r="X779" s="25"/>
      <c r="Y779" s="25"/>
      <c r="Z779" s="25"/>
      <c r="AA779" s="25"/>
      <c r="AB779" s="25"/>
      <c r="AC779" s="25"/>
      <c r="AD779" s="168"/>
    </row>
    <row r="780" spans="18:30" ht="69.75" customHeight="1" x14ac:dyDescent="0.25">
      <c r="R780" s="25"/>
      <c r="S780" s="25"/>
      <c r="T780" s="25"/>
      <c r="U780" s="25"/>
      <c r="V780" s="25"/>
      <c r="W780" s="25"/>
      <c r="X780" s="25"/>
      <c r="Y780" s="25"/>
      <c r="Z780" s="25"/>
      <c r="AA780" s="25"/>
      <c r="AB780" s="25"/>
      <c r="AC780" s="25"/>
      <c r="AD780" s="168"/>
    </row>
    <row r="781" spans="18:30" ht="69.75" customHeight="1" x14ac:dyDescent="0.25">
      <c r="R781" s="25"/>
      <c r="S781" s="25"/>
      <c r="T781" s="25"/>
      <c r="U781" s="25"/>
      <c r="V781" s="25"/>
      <c r="W781" s="25"/>
      <c r="X781" s="25"/>
      <c r="Y781" s="25"/>
      <c r="Z781" s="25"/>
      <c r="AA781" s="25"/>
      <c r="AB781" s="25"/>
      <c r="AC781" s="25"/>
      <c r="AD781" s="168"/>
    </row>
    <row r="782" spans="18:30" ht="69.75" customHeight="1" x14ac:dyDescent="0.25">
      <c r="R782" s="25"/>
      <c r="S782" s="25"/>
      <c r="T782" s="25"/>
      <c r="U782" s="25"/>
      <c r="V782" s="25"/>
      <c r="W782" s="25"/>
      <c r="X782" s="25"/>
      <c r="Y782" s="25"/>
      <c r="Z782" s="25"/>
      <c r="AA782" s="25"/>
      <c r="AB782" s="25"/>
      <c r="AC782" s="25"/>
      <c r="AD782" s="168"/>
    </row>
    <row r="783" spans="18:30" ht="69.75" customHeight="1" x14ac:dyDescent="0.25">
      <c r="R783" s="25"/>
      <c r="S783" s="25"/>
      <c r="T783" s="25"/>
      <c r="U783" s="25"/>
      <c r="V783" s="25"/>
      <c r="W783" s="25"/>
      <c r="X783" s="25"/>
      <c r="Y783" s="25"/>
      <c r="Z783" s="25"/>
      <c r="AA783" s="25"/>
      <c r="AB783" s="25"/>
      <c r="AC783" s="25"/>
      <c r="AD783" s="168"/>
    </row>
    <row r="784" spans="18:30" ht="69.75" customHeight="1" x14ac:dyDescent="0.25">
      <c r="R784" s="25"/>
      <c r="S784" s="25"/>
      <c r="T784" s="25"/>
      <c r="U784" s="25"/>
      <c r="V784" s="25"/>
      <c r="W784" s="25"/>
      <c r="X784" s="25"/>
      <c r="Y784" s="25"/>
      <c r="Z784" s="25"/>
      <c r="AA784" s="25"/>
      <c r="AB784" s="25"/>
      <c r="AC784" s="25"/>
      <c r="AD784" s="168"/>
    </row>
    <row r="785" spans="18:30" ht="69.75" customHeight="1" x14ac:dyDescent="0.25">
      <c r="R785" s="25"/>
      <c r="S785" s="25"/>
      <c r="T785" s="25"/>
      <c r="U785" s="25"/>
      <c r="V785" s="25"/>
      <c r="W785" s="25"/>
      <c r="X785" s="25"/>
      <c r="Y785" s="25"/>
      <c r="Z785" s="25"/>
      <c r="AA785" s="25"/>
      <c r="AB785" s="25"/>
      <c r="AC785" s="25"/>
      <c r="AD785" s="168"/>
    </row>
    <row r="786" spans="18:30" ht="69.75" customHeight="1" x14ac:dyDescent="0.25">
      <c r="R786" s="25"/>
      <c r="S786" s="25"/>
      <c r="T786" s="25"/>
      <c r="U786" s="25"/>
      <c r="V786" s="25"/>
      <c r="W786" s="25"/>
      <c r="X786" s="25"/>
      <c r="Y786" s="25"/>
      <c r="Z786" s="25"/>
      <c r="AA786" s="25"/>
      <c r="AB786" s="25"/>
      <c r="AC786" s="25"/>
      <c r="AD786" s="168"/>
    </row>
    <row r="787" spans="18:30" ht="69.75" customHeight="1" x14ac:dyDescent="0.25">
      <c r="R787" s="25"/>
      <c r="S787" s="25"/>
      <c r="T787" s="25"/>
      <c r="U787" s="25"/>
      <c r="V787" s="25"/>
      <c r="W787" s="25"/>
      <c r="X787" s="25"/>
      <c r="Y787" s="25"/>
      <c r="Z787" s="25"/>
      <c r="AA787" s="25"/>
      <c r="AB787" s="25"/>
      <c r="AC787" s="25"/>
      <c r="AD787" s="168"/>
    </row>
    <row r="788" spans="18:30" ht="69.75" customHeight="1" x14ac:dyDescent="0.25">
      <c r="R788" s="25"/>
      <c r="S788" s="25"/>
      <c r="T788" s="25"/>
      <c r="U788" s="25"/>
      <c r="V788" s="25"/>
      <c r="W788" s="25"/>
      <c r="X788" s="25"/>
      <c r="Y788" s="25"/>
      <c r="Z788" s="25"/>
      <c r="AA788" s="25"/>
      <c r="AB788" s="25"/>
      <c r="AC788" s="25"/>
      <c r="AD788" s="168"/>
    </row>
    <row r="789" spans="18:30" ht="69.75" customHeight="1" x14ac:dyDescent="0.25">
      <c r="R789" s="25"/>
      <c r="S789" s="25"/>
      <c r="T789" s="25"/>
      <c r="U789" s="25"/>
      <c r="V789" s="25"/>
      <c r="W789" s="25"/>
      <c r="X789" s="25"/>
      <c r="Y789" s="25"/>
      <c r="Z789" s="25"/>
      <c r="AA789" s="25"/>
      <c r="AB789" s="25"/>
      <c r="AC789" s="25"/>
      <c r="AD789" s="168"/>
    </row>
    <row r="790" spans="18:30" ht="69.75" customHeight="1" x14ac:dyDescent="0.25">
      <c r="R790" s="25"/>
      <c r="S790" s="25"/>
      <c r="T790" s="25"/>
      <c r="U790" s="25"/>
      <c r="V790" s="25"/>
      <c r="W790" s="25"/>
      <c r="X790" s="25"/>
      <c r="Y790" s="25"/>
      <c r="Z790" s="25"/>
      <c r="AA790" s="25"/>
      <c r="AB790" s="25"/>
      <c r="AC790" s="25"/>
      <c r="AD790" s="168"/>
    </row>
    <row r="791" spans="18:30" ht="69.75" customHeight="1" x14ac:dyDescent="0.25">
      <c r="R791" s="25"/>
      <c r="S791" s="25"/>
      <c r="T791" s="25"/>
      <c r="U791" s="25"/>
      <c r="V791" s="25"/>
      <c r="W791" s="25"/>
      <c r="X791" s="25"/>
      <c r="Y791" s="25"/>
      <c r="Z791" s="25"/>
      <c r="AA791" s="25"/>
      <c r="AB791" s="25"/>
      <c r="AC791" s="25"/>
      <c r="AD791" s="168"/>
    </row>
    <row r="792" spans="18:30" ht="69.75" customHeight="1" x14ac:dyDescent="0.25">
      <c r="R792" s="25"/>
      <c r="S792" s="25"/>
      <c r="T792" s="25"/>
      <c r="U792" s="25"/>
      <c r="V792" s="25"/>
      <c r="W792" s="25"/>
      <c r="X792" s="25"/>
      <c r="Y792" s="25"/>
      <c r="Z792" s="25"/>
      <c r="AA792" s="25"/>
      <c r="AB792" s="25"/>
      <c r="AC792" s="25"/>
      <c r="AD792" s="168"/>
    </row>
    <row r="793" spans="18:30" ht="69.75" customHeight="1" x14ac:dyDescent="0.25">
      <c r="R793" s="25"/>
      <c r="S793" s="25"/>
      <c r="T793" s="25"/>
      <c r="U793" s="25"/>
      <c r="V793" s="25"/>
      <c r="W793" s="25"/>
      <c r="X793" s="25"/>
      <c r="Y793" s="25"/>
      <c r="Z793" s="25"/>
      <c r="AA793" s="25"/>
      <c r="AB793" s="25"/>
      <c r="AC793" s="25"/>
      <c r="AD793" s="168"/>
    </row>
    <row r="794" spans="18:30" ht="69.75" customHeight="1" x14ac:dyDescent="0.25">
      <c r="R794" s="25"/>
      <c r="S794" s="25"/>
      <c r="T794" s="25"/>
      <c r="U794" s="25"/>
      <c r="V794" s="25"/>
      <c r="W794" s="25"/>
      <c r="X794" s="25"/>
      <c r="Y794" s="25"/>
      <c r="Z794" s="25"/>
      <c r="AA794" s="25"/>
      <c r="AB794" s="25"/>
      <c r="AC794" s="25"/>
      <c r="AD794" s="168"/>
    </row>
    <row r="795" spans="18:30" ht="69.75" customHeight="1" x14ac:dyDescent="0.25">
      <c r="R795" s="25"/>
      <c r="S795" s="25"/>
      <c r="T795" s="25"/>
      <c r="U795" s="25"/>
      <c r="V795" s="25"/>
      <c r="W795" s="25"/>
      <c r="X795" s="25"/>
      <c r="Y795" s="25"/>
      <c r="Z795" s="25"/>
      <c r="AA795" s="25"/>
      <c r="AB795" s="25"/>
      <c r="AC795" s="25"/>
      <c r="AD795" s="168"/>
    </row>
    <row r="796" spans="18:30" ht="69.75" customHeight="1" x14ac:dyDescent="0.25">
      <c r="R796" s="25"/>
      <c r="S796" s="25"/>
      <c r="T796" s="25"/>
      <c r="U796" s="25"/>
      <c r="V796" s="25"/>
      <c r="W796" s="25"/>
      <c r="X796" s="25"/>
      <c r="Y796" s="25"/>
      <c r="Z796" s="25"/>
      <c r="AA796" s="25"/>
      <c r="AB796" s="25"/>
      <c r="AC796" s="25"/>
      <c r="AD796" s="168"/>
    </row>
    <row r="797" spans="18:30" ht="69.75" customHeight="1" x14ac:dyDescent="0.25">
      <c r="R797" s="25"/>
      <c r="S797" s="25"/>
      <c r="T797" s="25"/>
      <c r="U797" s="25"/>
      <c r="V797" s="25"/>
      <c r="W797" s="25"/>
      <c r="X797" s="25"/>
      <c r="Y797" s="25"/>
      <c r="Z797" s="25"/>
      <c r="AA797" s="25"/>
      <c r="AB797" s="25"/>
      <c r="AC797" s="25"/>
      <c r="AD797" s="168"/>
    </row>
    <row r="798" spans="18:30" ht="69.75" customHeight="1" x14ac:dyDescent="0.25">
      <c r="R798" s="25"/>
      <c r="S798" s="25"/>
      <c r="T798" s="25"/>
      <c r="U798" s="25"/>
      <c r="V798" s="25"/>
      <c r="W798" s="25"/>
      <c r="X798" s="25"/>
      <c r="Y798" s="25"/>
      <c r="Z798" s="25"/>
      <c r="AA798" s="25"/>
      <c r="AB798" s="25"/>
      <c r="AC798" s="25"/>
      <c r="AD798" s="168"/>
    </row>
    <row r="799" spans="18:30" ht="69.75" customHeight="1" x14ac:dyDescent="0.25">
      <c r="R799" s="25"/>
      <c r="S799" s="25"/>
      <c r="T799" s="25"/>
      <c r="U799" s="25"/>
      <c r="V799" s="25"/>
      <c r="W799" s="25"/>
      <c r="X799" s="25"/>
      <c r="Y799" s="25"/>
      <c r="Z799" s="25"/>
      <c r="AA799" s="25"/>
      <c r="AB799" s="25"/>
      <c r="AC799" s="25"/>
      <c r="AD799" s="168"/>
    </row>
    <row r="800" spans="18:30" ht="69.75" customHeight="1" x14ac:dyDescent="0.25">
      <c r="R800" s="25"/>
      <c r="S800" s="25"/>
      <c r="T800" s="25"/>
      <c r="U800" s="25"/>
      <c r="V800" s="25"/>
      <c r="W800" s="25"/>
      <c r="X800" s="25"/>
      <c r="Y800" s="25"/>
      <c r="Z800" s="25"/>
      <c r="AA800" s="25"/>
      <c r="AB800" s="25"/>
      <c r="AC800" s="25"/>
      <c r="AD800" s="168"/>
    </row>
    <row r="801" spans="18:30" ht="69.75" customHeight="1" x14ac:dyDescent="0.25">
      <c r="R801" s="25"/>
      <c r="S801" s="25"/>
      <c r="T801" s="25"/>
      <c r="U801" s="25"/>
      <c r="V801" s="25"/>
      <c r="W801" s="25"/>
      <c r="X801" s="25"/>
      <c r="Y801" s="25"/>
      <c r="Z801" s="25"/>
      <c r="AA801" s="25"/>
      <c r="AB801" s="25"/>
      <c r="AC801" s="25"/>
      <c r="AD801" s="168"/>
    </row>
    <row r="802" spans="18:30" ht="69.75" customHeight="1" x14ac:dyDescent="0.25">
      <c r="R802" s="25"/>
      <c r="S802" s="25"/>
      <c r="T802" s="25"/>
      <c r="U802" s="25"/>
      <c r="V802" s="25"/>
      <c r="W802" s="25"/>
      <c r="X802" s="25"/>
      <c r="Y802" s="25"/>
      <c r="Z802" s="25"/>
      <c r="AA802" s="25"/>
      <c r="AB802" s="25"/>
      <c r="AC802" s="25"/>
      <c r="AD802" s="168"/>
    </row>
    <row r="803" spans="18:30" ht="69.75" customHeight="1" x14ac:dyDescent="0.25">
      <c r="R803" s="25"/>
      <c r="S803" s="25"/>
      <c r="T803" s="25"/>
      <c r="U803" s="25"/>
      <c r="V803" s="25"/>
      <c r="W803" s="25"/>
      <c r="X803" s="25"/>
      <c r="Y803" s="25"/>
      <c r="Z803" s="25"/>
      <c r="AA803" s="25"/>
      <c r="AB803" s="25"/>
      <c r="AC803" s="25"/>
      <c r="AD803" s="168"/>
    </row>
    <row r="804" spans="18:30" ht="69.75" customHeight="1" x14ac:dyDescent="0.25">
      <c r="R804" s="25"/>
      <c r="S804" s="25"/>
      <c r="T804" s="25"/>
      <c r="U804" s="25"/>
      <c r="V804" s="25"/>
      <c r="W804" s="25"/>
      <c r="X804" s="25"/>
      <c r="Y804" s="25"/>
      <c r="Z804" s="25"/>
      <c r="AA804" s="25"/>
      <c r="AB804" s="25"/>
      <c r="AC804" s="25"/>
      <c r="AD804" s="168"/>
    </row>
    <row r="805" spans="18:30" ht="69.75" customHeight="1" x14ac:dyDescent="0.25">
      <c r="R805" s="25"/>
      <c r="S805" s="25"/>
      <c r="T805" s="25"/>
      <c r="U805" s="25"/>
      <c r="V805" s="25"/>
      <c r="W805" s="25"/>
      <c r="X805" s="25"/>
      <c r="Y805" s="25"/>
      <c r="Z805" s="25"/>
      <c r="AA805" s="25"/>
      <c r="AB805" s="25"/>
      <c r="AC805" s="25"/>
      <c r="AD805" s="168"/>
    </row>
    <row r="806" spans="18:30" ht="69.75" customHeight="1" x14ac:dyDescent="0.25">
      <c r="R806" s="25"/>
      <c r="S806" s="25"/>
      <c r="T806" s="25"/>
      <c r="U806" s="25"/>
      <c r="V806" s="25"/>
      <c r="W806" s="25"/>
      <c r="X806" s="25"/>
      <c r="Y806" s="25"/>
      <c r="Z806" s="25"/>
      <c r="AA806" s="25"/>
      <c r="AB806" s="25"/>
      <c r="AC806" s="25"/>
      <c r="AD806" s="168"/>
    </row>
    <row r="807" spans="18:30" ht="69.75" customHeight="1" x14ac:dyDescent="0.25">
      <c r="R807" s="25"/>
      <c r="S807" s="25"/>
      <c r="T807" s="25"/>
      <c r="U807" s="25"/>
      <c r="V807" s="25"/>
      <c r="W807" s="25"/>
      <c r="X807" s="25"/>
      <c r="Y807" s="25"/>
      <c r="Z807" s="25"/>
      <c r="AA807" s="25"/>
      <c r="AB807" s="25"/>
      <c r="AC807" s="25"/>
      <c r="AD807" s="168"/>
    </row>
    <row r="808" spans="18:30" ht="69.75" customHeight="1" x14ac:dyDescent="0.25">
      <c r="R808" s="25"/>
      <c r="S808" s="25"/>
      <c r="T808" s="25"/>
      <c r="U808" s="25"/>
      <c r="V808" s="25"/>
      <c r="W808" s="25"/>
      <c r="X808" s="25"/>
      <c r="Y808" s="25"/>
      <c r="Z808" s="25"/>
      <c r="AA808" s="25"/>
      <c r="AB808" s="25"/>
      <c r="AC808" s="25"/>
      <c r="AD808" s="168"/>
    </row>
    <row r="809" spans="18:30" ht="69.75" customHeight="1" x14ac:dyDescent="0.25">
      <c r="R809" s="25"/>
      <c r="S809" s="25"/>
      <c r="T809" s="25"/>
      <c r="U809" s="25"/>
      <c r="V809" s="25"/>
      <c r="W809" s="25"/>
      <c r="X809" s="25"/>
      <c r="Y809" s="25"/>
      <c r="Z809" s="25"/>
      <c r="AA809" s="25"/>
      <c r="AB809" s="25"/>
      <c r="AC809" s="25"/>
      <c r="AD809" s="168"/>
    </row>
    <row r="810" spans="18:30" ht="69.75" customHeight="1" x14ac:dyDescent="0.25">
      <c r="R810" s="25"/>
      <c r="S810" s="25"/>
      <c r="T810" s="25"/>
      <c r="U810" s="25"/>
      <c r="V810" s="25"/>
      <c r="W810" s="25"/>
      <c r="X810" s="25"/>
      <c r="Y810" s="25"/>
      <c r="Z810" s="25"/>
      <c r="AA810" s="25"/>
      <c r="AB810" s="25"/>
      <c r="AC810" s="25"/>
      <c r="AD810" s="168"/>
    </row>
    <row r="811" spans="18:30" ht="69.75" customHeight="1" x14ac:dyDescent="0.25">
      <c r="R811" s="25"/>
      <c r="S811" s="25"/>
      <c r="T811" s="25"/>
      <c r="U811" s="25"/>
      <c r="V811" s="25"/>
      <c r="W811" s="25"/>
      <c r="X811" s="25"/>
      <c r="Y811" s="25"/>
      <c r="Z811" s="25"/>
      <c r="AA811" s="25"/>
      <c r="AB811" s="25"/>
      <c r="AC811" s="25"/>
      <c r="AD811" s="168"/>
    </row>
    <row r="812" spans="18:30" ht="69.75" customHeight="1" x14ac:dyDescent="0.25">
      <c r="R812" s="25"/>
      <c r="S812" s="25"/>
      <c r="T812" s="25"/>
      <c r="U812" s="25"/>
      <c r="V812" s="25"/>
      <c r="W812" s="25"/>
      <c r="X812" s="25"/>
      <c r="Y812" s="25"/>
      <c r="Z812" s="25"/>
      <c r="AA812" s="25"/>
      <c r="AB812" s="25"/>
      <c r="AC812" s="25"/>
      <c r="AD812" s="168"/>
    </row>
    <row r="813" spans="18:30" ht="69.75" customHeight="1" x14ac:dyDescent="0.25">
      <c r="R813" s="25"/>
      <c r="S813" s="25"/>
      <c r="T813" s="25"/>
      <c r="U813" s="25"/>
      <c r="V813" s="25"/>
      <c r="W813" s="25"/>
      <c r="X813" s="25"/>
      <c r="Y813" s="25"/>
      <c r="Z813" s="25"/>
      <c r="AA813" s="25"/>
      <c r="AB813" s="25"/>
      <c r="AC813" s="25"/>
      <c r="AD813" s="168"/>
    </row>
    <row r="814" spans="18:30" ht="69.75" customHeight="1" x14ac:dyDescent="0.25">
      <c r="R814" s="25"/>
      <c r="S814" s="25"/>
      <c r="T814" s="25"/>
      <c r="U814" s="25"/>
      <c r="V814" s="25"/>
      <c r="W814" s="25"/>
      <c r="X814" s="25"/>
      <c r="Y814" s="25"/>
      <c r="Z814" s="25"/>
      <c r="AA814" s="25"/>
      <c r="AB814" s="25"/>
      <c r="AC814" s="25"/>
      <c r="AD814" s="168"/>
    </row>
    <row r="815" spans="18:30" ht="69.75" customHeight="1" x14ac:dyDescent="0.25">
      <c r="R815" s="25"/>
      <c r="S815" s="25"/>
      <c r="T815" s="25"/>
      <c r="U815" s="25"/>
      <c r="V815" s="25"/>
      <c r="W815" s="25"/>
      <c r="X815" s="25"/>
      <c r="Y815" s="25"/>
      <c r="Z815" s="25"/>
      <c r="AA815" s="25"/>
      <c r="AB815" s="25"/>
      <c r="AC815" s="25"/>
      <c r="AD815" s="168"/>
    </row>
    <row r="816" spans="18:30" ht="69.75" customHeight="1" x14ac:dyDescent="0.25">
      <c r="R816" s="25"/>
      <c r="S816" s="25"/>
      <c r="T816" s="25"/>
      <c r="U816" s="25"/>
      <c r="V816" s="25"/>
      <c r="W816" s="25"/>
      <c r="X816" s="25"/>
      <c r="Y816" s="25"/>
      <c r="Z816" s="25"/>
      <c r="AA816" s="25"/>
      <c r="AB816" s="25"/>
      <c r="AC816" s="25"/>
      <c r="AD816" s="168"/>
    </row>
    <row r="817" spans="18:30" ht="69.75" customHeight="1" x14ac:dyDescent="0.25">
      <c r="R817" s="25"/>
      <c r="S817" s="25"/>
      <c r="T817" s="25"/>
      <c r="U817" s="25"/>
      <c r="V817" s="25"/>
      <c r="W817" s="25"/>
      <c r="X817" s="25"/>
      <c r="Y817" s="25"/>
      <c r="Z817" s="25"/>
      <c r="AA817" s="25"/>
      <c r="AB817" s="25"/>
      <c r="AC817" s="25"/>
      <c r="AD817" s="168"/>
    </row>
    <row r="818" spans="18:30" ht="69.75" customHeight="1" x14ac:dyDescent="0.25">
      <c r="R818" s="25"/>
      <c r="S818" s="25"/>
      <c r="T818" s="25"/>
      <c r="U818" s="25"/>
      <c r="V818" s="25"/>
      <c r="W818" s="25"/>
      <c r="X818" s="25"/>
      <c r="Y818" s="25"/>
      <c r="Z818" s="25"/>
      <c r="AA818" s="25"/>
      <c r="AB818" s="25"/>
      <c r="AC818" s="25"/>
      <c r="AD818" s="168"/>
    </row>
    <row r="819" spans="18:30" ht="69.75" customHeight="1" x14ac:dyDescent="0.25">
      <c r="R819" s="25"/>
      <c r="S819" s="25"/>
      <c r="T819" s="25"/>
      <c r="U819" s="25"/>
      <c r="V819" s="25"/>
      <c r="W819" s="25"/>
      <c r="X819" s="25"/>
      <c r="Y819" s="25"/>
      <c r="Z819" s="25"/>
      <c r="AA819" s="25"/>
      <c r="AB819" s="25"/>
      <c r="AC819" s="25"/>
      <c r="AD819" s="168"/>
    </row>
    <row r="820" spans="18:30" ht="69.75" customHeight="1" x14ac:dyDescent="0.25">
      <c r="R820" s="25"/>
      <c r="S820" s="25"/>
      <c r="T820" s="25"/>
      <c r="U820" s="25"/>
      <c r="V820" s="25"/>
      <c r="W820" s="25"/>
      <c r="X820" s="25"/>
      <c r="Y820" s="25"/>
      <c r="Z820" s="25"/>
      <c r="AA820" s="25"/>
      <c r="AB820" s="25"/>
      <c r="AC820" s="25"/>
      <c r="AD820" s="168"/>
    </row>
    <row r="821" spans="18:30" ht="69.75" customHeight="1" x14ac:dyDescent="0.25">
      <c r="R821" s="25"/>
      <c r="S821" s="25"/>
      <c r="T821" s="25"/>
      <c r="U821" s="25"/>
      <c r="V821" s="25"/>
      <c r="W821" s="25"/>
      <c r="X821" s="25"/>
      <c r="Y821" s="25"/>
      <c r="Z821" s="25"/>
      <c r="AA821" s="25"/>
      <c r="AB821" s="25"/>
      <c r="AC821" s="25"/>
      <c r="AD821" s="168"/>
    </row>
    <row r="822" spans="18:30" ht="69.75" customHeight="1" x14ac:dyDescent="0.25">
      <c r="R822" s="25"/>
      <c r="S822" s="25"/>
      <c r="T822" s="25"/>
      <c r="U822" s="25"/>
      <c r="V822" s="25"/>
      <c r="W822" s="25"/>
      <c r="X822" s="25"/>
      <c r="Y822" s="25"/>
      <c r="Z822" s="25"/>
      <c r="AA822" s="25"/>
      <c r="AB822" s="25"/>
      <c r="AC822" s="25"/>
      <c r="AD822" s="168"/>
    </row>
    <row r="823" spans="18:30" ht="69.75" customHeight="1" x14ac:dyDescent="0.25">
      <c r="R823" s="25"/>
      <c r="S823" s="25"/>
      <c r="T823" s="25"/>
      <c r="U823" s="25"/>
      <c r="V823" s="25"/>
      <c r="W823" s="25"/>
      <c r="X823" s="25"/>
      <c r="Y823" s="25"/>
      <c r="Z823" s="25"/>
      <c r="AA823" s="25"/>
      <c r="AB823" s="25"/>
      <c r="AC823" s="25"/>
      <c r="AD823" s="168"/>
    </row>
    <row r="824" spans="18:30" ht="69.75" customHeight="1" x14ac:dyDescent="0.25">
      <c r="R824" s="25"/>
      <c r="S824" s="25"/>
      <c r="T824" s="25"/>
      <c r="U824" s="25"/>
      <c r="V824" s="25"/>
      <c r="W824" s="25"/>
      <c r="X824" s="25"/>
      <c r="Y824" s="25"/>
      <c r="Z824" s="25"/>
      <c r="AA824" s="25"/>
      <c r="AB824" s="25"/>
      <c r="AC824" s="25"/>
      <c r="AD824" s="168"/>
    </row>
    <row r="825" spans="18:30" ht="69.75" customHeight="1" x14ac:dyDescent="0.25">
      <c r="R825" s="25"/>
      <c r="S825" s="25"/>
      <c r="T825" s="25"/>
      <c r="U825" s="25"/>
      <c r="V825" s="25"/>
      <c r="W825" s="25"/>
      <c r="X825" s="25"/>
      <c r="Y825" s="25"/>
      <c r="Z825" s="25"/>
      <c r="AA825" s="25"/>
      <c r="AB825" s="25"/>
      <c r="AC825" s="25"/>
      <c r="AD825" s="168"/>
    </row>
    <row r="826" spans="18:30" ht="69.75" customHeight="1" x14ac:dyDescent="0.25">
      <c r="R826" s="25"/>
      <c r="S826" s="25"/>
      <c r="T826" s="25"/>
      <c r="U826" s="25"/>
      <c r="V826" s="25"/>
      <c r="W826" s="25"/>
      <c r="X826" s="25"/>
      <c r="Y826" s="25"/>
      <c r="Z826" s="25"/>
      <c r="AA826" s="25"/>
      <c r="AB826" s="25"/>
      <c r="AC826" s="25"/>
      <c r="AD826" s="168"/>
    </row>
    <row r="827" spans="18:30" ht="69.75" customHeight="1" x14ac:dyDescent="0.25">
      <c r="R827" s="25"/>
      <c r="S827" s="25"/>
      <c r="T827" s="25"/>
      <c r="U827" s="25"/>
      <c r="V827" s="25"/>
      <c r="W827" s="25"/>
      <c r="X827" s="25"/>
      <c r="Y827" s="25"/>
      <c r="Z827" s="25"/>
      <c r="AA827" s="25"/>
      <c r="AB827" s="25"/>
      <c r="AC827" s="25"/>
      <c r="AD827" s="168"/>
    </row>
    <row r="828" spans="18:30" ht="69.75" customHeight="1" x14ac:dyDescent="0.25">
      <c r="R828" s="25"/>
      <c r="S828" s="25"/>
      <c r="T828" s="25"/>
      <c r="U828" s="25"/>
      <c r="V828" s="25"/>
      <c r="W828" s="25"/>
      <c r="X828" s="25"/>
      <c r="Y828" s="25"/>
      <c r="Z828" s="25"/>
      <c r="AA828" s="25"/>
      <c r="AB828" s="25"/>
      <c r="AC828" s="25"/>
      <c r="AD828" s="168"/>
    </row>
    <row r="829" spans="18:30" ht="69.75" customHeight="1" x14ac:dyDescent="0.25">
      <c r="R829" s="25"/>
      <c r="S829" s="25"/>
      <c r="T829" s="25"/>
      <c r="U829" s="25"/>
      <c r="V829" s="25"/>
      <c r="W829" s="25"/>
      <c r="X829" s="25"/>
      <c r="Y829" s="25"/>
      <c r="Z829" s="25"/>
      <c r="AA829" s="25"/>
      <c r="AB829" s="25"/>
      <c r="AC829" s="25"/>
      <c r="AD829" s="168"/>
    </row>
    <row r="830" spans="18:30" ht="69.75" customHeight="1" x14ac:dyDescent="0.25">
      <c r="R830" s="25"/>
      <c r="S830" s="25"/>
      <c r="T830" s="25"/>
      <c r="U830" s="25"/>
      <c r="V830" s="25"/>
      <c r="W830" s="25"/>
      <c r="X830" s="25"/>
      <c r="Y830" s="25"/>
      <c r="Z830" s="25"/>
      <c r="AA830" s="25"/>
      <c r="AB830" s="25"/>
      <c r="AC830" s="25"/>
      <c r="AD830" s="168"/>
    </row>
    <row r="831" spans="18:30" ht="69.75" customHeight="1" x14ac:dyDescent="0.25">
      <c r="R831" s="25"/>
      <c r="S831" s="25"/>
      <c r="T831" s="25"/>
      <c r="U831" s="25"/>
      <c r="V831" s="25"/>
      <c r="W831" s="25"/>
      <c r="X831" s="25"/>
      <c r="Y831" s="25"/>
      <c r="Z831" s="25"/>
      <c r="AA831" s="25"/>
      <c r="AB831" s="25"/>
      <c r="AC831" s="25"/>
      <c r="AD831" s="168"/>
    </row>
    <row r="832" spans="18:30" ht="69.75" customHeight="1" x14ac:dyDescent="0.25">
      <c r="R832" s="25"/>
      <c r="S832" s="25"/>
      <c r="T832" s="25"/>
      <c r="U832" s="25"/>
      <c r="V832" s="25"/>
      <c r="W832" s="25"/>
      <c r="X832" s="25"/>
      <c r="Y832" s="25"/>
      <c r="Z832" s="25"/>
      <c r="AA832" s="25"/>
      <c r="AB832" s="25"/>
      <c r="AC832" s="25"/>
      <c r="AD832" s="168"/>
    </row>
    <row r="833" spans="18:30" ht="69.75" customHeight="1" x14ac:dyDescent="0.25">
      <c r="R833" s="25"/>
      <c r="S833" s="25"/>
      <c r="T833" s="25"/>
      <c r="U833" s="25"/>
      <c r="V833" s="25"/>
      <c r="W833" s="25"/>
      <c r="X833" s="25"/>
      <c r="Y833" s="25"/>
      <c r="Z833" s="25"/>
      <c r="AA833" s="25"/>
      <c r="AB833" s="25"/>
      <c r="AC833" s="25"/>
      <c r="AD833" s="168"/>
    </row>
    <row r="834" spans="18:30" ht="69.75" customHeight="1" x14ac:dyDescent="0.25">
      <c r="R834" s="25"/>
      <c r="S834" s="25"/>
      <c r="T834" s="25"/>
      <c r="U834" s="25"/>
      <c r="V834" s="25"/>
      <c r="W834" s="25"/>
      <c r="X834" s="25"/>
      <c r="Y834" s="25"/>
      <c r="Z834" s="25"/>
      <c r="AA834" s="25"/>
      <c r="AB834" s="25"/>
      <c r="AC834" s="25"/>
      <c r="AD834" s="168"/>
    </row>
    <row r="835" spans="18:30" ht="69.75" customHeight="1" x14ac:dyDescent="0.25">
      <c r="R835" s="25"/>
      <c r="S835" s="25"/>
      <c r="T835" s="25"/>
      <c r="U835" s="25"/>
      <c r="V835" s="25"/>
      <c r="W835" s="25"/>
      <c r="X835" s="25"/>
      <c r="Y835" s="25"/>
      <c r="Z835" s="25"/>
      <c r="AA835" s="25"/>
      <c r="AB835" s="25"/>
      <c r="AC835" s="25"/>
      <c r="AD835" s="168"/>
    </row>
    <row r="836" spans="18:30" ht="69.75" customHeight="1" x14ac:dyDescent="0.25">
      <c r="R836" s="25"/>
      <c r="S836" s="25"/>
      <c r="T836" s="25"/>
      <c r="U836" s="25"/>
      <c r="V836" s="25"/>
      <c r="W836" s="25"/>
      <c r="X836" s="25"/>
      <c r="Y836" s="25"/>
      <c r="Z836" s="25"/>
      <c r="AA836" s="25"/>
      <c r="AB836" s="25"/>
      <c r="AC836" s="25"/>
      <c r="AD836" s="168"/>
    </row>
    <row r="837" spans="18:30" ht="69.75" customHeight="1" x14ac:dyDescent="0.25">
      <c r="R837" s="25"/>
      <c r="S837" s="25"/>
      <c r="T837" s="25"/>
      <c r="U837" s="25"/>
      <c r="V837" s="25"/>
      <c r="W837" s="25"/>
      <c r="X837" s="25"/>
      <c r="Y837" s="25"/>
      <c r="Z837" s="25"/>
      <c r="AA837" s="25"/>
      <c r="AB837" s="25"/>
      <c r="AC837" s="25"/>
      <c r="AD837" s="168"/>
    </row>
    <row r="838" spans="18:30" ht="69.75" customHeight="1" x14ac:dyDescent="0.25">
      <c r="R838" s="25"/>
      <c r="S838" s="25"/>
      <c r="T838" s="25"/>
      <c r="U838" s="25"/>
      <c r="V838" s="25"/>
      <c r="W838" s="25"/>
      <c r="X838" s="25"/>
      <c r="Y838" s="25"/>
      <c r="Z838" s="25"/>
      <c r="AA838" s="25"/>
      <c r="AB838" s="25"/>
      <c r="AC838" s="25"/>
      <c r="AD838" s="168"/>
    </row>
    <row r="839" spans="18:30" ht="69.75" customHeight="1" x14ac:dyDescent="0.25">
      <c r="R839" s="25"/>
      <c r="S839" s="25"/>
      <c r="T839" s="25"/>
      <c r="U839" s="25"/>
      <c r="V839" s="25"/>
      <c r="W839" s="25"/>
      <c r="X839" s="25"/>
      <c r="Y839" s="25"/>
      <c r="Z839" s="25"/>
      <c r="AA839" s="25"/>
      <c r="AB839" s="25"/>
      <c r="AC839" s="25"/>
      <c r="AD839" s="168"/>
    </row>
    <row r="840" spans="18:30" ht="69.75" customHeight="1" x14ac:dyDescent="0.25">
      <c r="R840" s="25"/>
      <c r="S840" s="25"/>
      <c r="T840" s="25"/>
      <c r="U840" s="25"/>
      <c r="V840" s="25"/>
      <c r="W840" s="25"/>
      <c r="X840" s="25"/>
      <c r="Y840" s="25"/>
      <c r="Z840" s="25"/>
      <c r="AA840" s="25"/>
      <c r="AB840" s="25"/>
      <c r="AC840" s="25"/>
      <c r="AD840" s="168"/>
    </row>
    <row r="841" spans="18:30" ht="69.75" customHeight="1" x14ac:dyDescent="0.25">
      <c r="R841" s="25"/>
      <c r="S841" s="25"/>
      <c r="T841" s="25"/>
      <c r="U841" s="25"/>
      <c r="V841" s="25"/>
      <c r="W841" s="25"/>
      <c r="X841" s="25"/>
      <c r="Y841" s="25"/>
      <c r="Z841" s="25"/>
      <c r="AA841" s="25"/>
      <c r="AB841" s="25"/>
      <c r="AC841" s="25"/>
      <c r="AD841" s="168"/>
    </row>
    <row r="842" spans="18:30" ht="69.75" customHeight="1" x14ac:dyDescent="0.25">
      <c r="R842" s="25"/>
      <c r="S842" s="25"/>
      <c r="T842" s="25"/>
      <c r="U842" s="25"/>
      <c r="V842" s="25"/>
      <c r="W842" s="25"/>
      <c r="X842" s="25"/>
      <c r="Y842" s="25"/>
      <c r="Z842" s="25"/>
      <c r="AA842" s="25"/>
      <c r="AB842" s="25"/>
      <c r="AC842" s="25"/>
      <c r="AD842" s="168"/>
    </row>
    <row r="843" spans="18:30" ht="69.75" customHeight="1" x14ac:dyDescent="0.25">
      <c r="R843" s="25"/>
      <c r="S843" s="25"/>
      <c r="T843" s="25"/>
      <c r="U843" s="25"/>
      <c r="V843" s="25"/>
      <c r="W843" s="25"/>
      <c r="X843" s="25"/>
      <c r="Y843" s="25"/>
      <c r="Z843" s="25"/>
      <c r="AA843" s="25"/>
      <c r="AB843" s="25"/>
      <c r="AC843" s="25"/>
      <c r="AD843" s="168"/>
    </row>
    <row r="844" spans="18:30" ht="69.75" customHeight="1" x14ac:dyDescent="0.25">
      <c r="R844" s="25"/>
      <c r="S844" s="25"/>
      <c r="T844" s="25"/>
      <c r="U844" s="25"/>
      <c r="V844" s="25"/>
      <c r="W844" s="25"/>
      <c r="X844" s="25"/>
      <c r="Y844" s="25"/>
      <c r="Z844" s="25"/>
      <c r="AA844" s="25"/>
      <c r="AB844" s="25"/>
      <c r="AC844" s="25"/>
      <c r="AD844" s="168"/>
    </row>
    <row r="845" spans="18:30" ht="69.75" customHeight="1" x14ac:dyDescent="0.25">
      <c r="R845" s="25"/>
      <c r="S845" s="25"/>
      <c r="T845" s="25"/>
      <c r="U845" s="25"/>
      <c r="V845" s="25"/>
      <c r="W845" s="25"/>
      <c r="X845" s="25"/>
      <c r="Y845" s="25"/>
      <c r="Z845" s="25"/>
      <c r="AA845" s="25"/>
      <c r="AB845" s="25"/>
      <c r="AC845" s="25"/>
      <c r="AD845" s="168"/>
    </row>
    <row r="846" spans="18:30" ht="69.75" customHeight="1" x14ac:dyDescent="0.25">
      <c r="R846" s="25"/>
      <c r="S846" s="25"/>
      <c r="T846" s="25"/>
      <c r="U846" s="25"/>
      <c r="V846" s="25"/>
      <c r="W846" s="25"/>
      <c r="X846" s="25"/>
      <c r="Y846" s="25"/>
      <c r="Z846" s="25"/>
      <c r="AA846" s="25"/>
      <c r="AB846" s="25"/>
      <c r="AC846" s="25"/>
      <c r="AD846" s="168"/>
    </row>
    <row r="847" spans="18:30" ht="69.75" customHeight="1" x14ac:dyDescent="0.25">
      <c r="R847" s="25"/>
      <c r="S847" s="25"/>
      <c r="T847" s="25"/>
      <c r="U847" s="25"/>
      <c r="V847" s="25"/>
      <c r="W847" s="25"/>
      <c r="X847" s="25"/>
      <c r="Y847" s="25"/>
      <c r="Z847" s="25"/>
      <c r="AA847" s="25"/>
      <c r="AB847" s="25"/>
      <c r="AC847" s="25"/>
      <c r="AD847" s="168"/>
    </row>
    <row r="848" spans="18:30" ht="69.75" customHeight="1" x14ac:dyDescent="0.25">
      <c r="R848" s="25"/>
      <c r="S848" s="25"/>
      <c r="T848" s="25"/>
      <c r="U848" s="25"/>
      <c r="V848" s="25"/>
      <c r="W848" s="25"/>
      <c r="X848" s="25"/>
      <c r="Y848" s="25"/>
      <c r="Z848" s="25"/>
      <c r="AA848" s="25"/>
      <c r="AB848" s="25"/>
      <c r="AC848" s="25"/>
      <c r="AD848" s="168"/>
    </row>
    <row r="849" spans="18:30" ht="69.75" customHeight="1" x14ac:dyDescent="0.25">
      <c r="R849" s="25"/>
      <c r="S849" s="25"/>
      <c r="T849" s="25"/>
      <c r="U849" s="25"/>
      <c r="V849" s="25"/>
      <c r="W849" s="25"/>
      <c r="X849" s="25"/>
      <c r="Y849" s="25"/>
      <c r="Z849" s="25"/>
      <c r="AA849" s="25"/>
      <c r="AB849" s="25"/>
      <c r="AC849" s="25"/>
      <c r="AD849" s="168"/>
    </row>
    <row r="850" spans="18:30" ht="69.75" customHeight="1" x14ac:dyDescent="0.25">
      <c r="R850" s="25"/>
      <c r="S850" s="25"/>
      <c r="T850" s="25"/>
      <c r="U850" s="25"/>
      <c r="V850" s="25"/>
      <c r="W850" s="25"/>
      <c r="X850" s="25"/>
      <c r="Y850" s="25"/>
      <c r="Z850" s="25"/>
      <c r="AA850" s="25"/>
      <c r="AB850" s="25"/>
      <c r="AC850" s="25"/>
      <c r="AD850" s="168"/>
    </row>
    <row r="851" spans="18:30" ht="69.75" customHeight="1" x14ac:dyDescent="0.25">
      <c r="R851" s="25"/>
      <c r="S851" s="25"/>
      <c r="T851" s="25"/>
      <c r="U851" s="25"/>
      <c r="V851" s="25"/>
      <c r="W851" s="25"/>
      <c r="X851" s="25"/>
      <c r="Y851" s="25"/>
      <c r="Z851" s="25"/>
      <c r="AA851" s="25"/>
      <c r="AB851" s="25"/>
      <c r="AC851" s="25"/>
      <c r="AD851" s="168"/>
    </row>
    <row r="852" spans="18:30" ht="69.75" customHeight="1" x14ac:dyDescent="0.25">
      <c r="R852" s="25"/>
      <c r="S852" s="25"/>
      <c r="T852" s="25"/>
      <c r="U852" s="25"/>
      <c r="V852" s="25"/>
      <c r="W852" s="25"/>
      <c r="X852" s="25"/>
      <c r="Y852" s="25"/>
      <c r="Z852" s="25"/>
      <c r="AA852" s="25"/>
      <c r="AB852" s="25"/>
      <c r="AC852" s="25"/>
      <c r="AD852" s="168"/>
    </row>
    <row r="853" spans="18:30" ht="69.75" customHeight="1" x14ac:dyDescent="0.25">
      <c r="R853" s="25"/>
      <c r="S853" s="25"/>
      <c r="T853" s="25"/>
      <c r="U853" s="25"/>
      <c r="V853" s="25"/>
      <c r="W853" s="25"/>
      <c r="X853" s="25"/>
      <c r="Y853" s="25"/>
      <c r="Z853" s="25"/>
      <c r="AA853" s="25"/>
      <c r="AB853" s="25"/>
      <c r="AC853" s="25"/>
      <c r="AD853" s="168"/>
    </row>
    <row r="854" spans="18:30" ht="69.75" customHeight="1" x14ac:dyDescent="0.25">
      <c r="R854" s="25"/>
      <c r="S854" s="25"/>
      <c r="T854" s="25"/>
      <c r="U854" s="25"/>
      <c r="V854" s="25"/>
      <c r="W854" s="25"/>
      <c r="X854" s="25"/>
      <c r="Y854" s="25"/>
      <c r="Z854" s="25"/>
      <c r="AA854" s="25"/>
      <c r="AB854" s="25"/>
      <c r="AC854" s="25"/>
      <c r="AD854" s="168"/>
    </row>
    <row r="855" spans="18:30" ht="69.75" customHeight="1" x14ac:dyDescent="0.25">
      <c r="R855" s="25"/>
      <c r="S855" s="25"/>
      <c r="T855" s="25"/>
      <c r="U855" s="25"/>
      <c r="V855" s="25"/>
      <c r="W855" s="25"/>
      <c r="X855" s="25"/>
      <c r="Y855" s="25"/>
      <c r="Z855" s="25"/>
      <c r="AA855" s="25"/>
      <c r="AB855" s="25"/>
      <c r="AC855" s="25"/>
      <c r="AD855" s="168"/>
    </row>
    <row r="856" spans="18:30" ht="69.75" customHeight="1" x14ac:dyDescent="0.25">
      <c r="R856" s="25"/>
      <c r="S856" s="25"/>
      <c r="T856" s="25"/>
      <c r="U856" s="25"/>
      <c r="V856" s="25"/>
      <c r="W856" s="25"/>
      <c r="X856" s="25"/>
      <c r="Y856" s="25"/>
      <c r="Z856" s="25"/>
      <c r="AA856" s="25"/>
      <c r="AB856" s="25"/>
      <c r="AC856" s="25"/>
      <c r="AD856" s="168"/>
    </row>
    <row r="857" spans="18:30" ht="69.75" customHeight="1" x14ac:dyDescent="0.25">
      <c r="R857" s="25"/>
      <c r="S857" s="25"/>
      <c r="T857" s="25"/>
      <c r="U857" s="25"/>
      <c r="V857" s="25"/>
      <c r="W857" s="25"/>
      <c r="X857" s="25"/>
      <c r="Y857" s="25"/>
      <c r="Z857" s="25"/>
      <c r="AA857" s="25"/>
      <c r="AB857" s="25"/>
      <c r="AC857" s="25"/>
      <c r="AD857" s="168"/>
    </row>
    <row r="858" spans="18:30" ht="69.75" customHeight="1" x14ac:dyDescent="0.25">
      <c r="R858" s="25"/>
      <c r="S858" s="25"/>
      <c r="T858" s="25"/>
      <c r="U858" s="25"/>
      <c r="V858" s="25"/>
      <c r="W858" s="25"/>
      <c r="X858" s="25"/>
      <c r="Y858" s="25"/>
      <c r="Z858" s="25"/>
      <c r="AA858" s="25"/>
      <c r="AB858" s="25"/>
      <c r="AC858" s="25"/>
      <c r="AD858" s="168"/>
    </row>
    <row r="859" spans="18:30" ht="69.75" customHeight="1" x14ac:dyDescent="0.25">
      <c r="R859" s="25"/>
      <c r="S859" s="25"/>
      <c r="T859" s="25"/>
      <c r="U859" s="25"/>
      <c r="V859" s="25"/>
      <c r="W859" s="25"/>
      <c r="X859" s="25"/>
      <c r="Y859" s="25"/>
      <c r="Z859" s="25"/>
      <c r="AA859" s="25"/>
      <c r="AB859" s="25"/>
      <c r="AC859" s="25"/>
      <c r="AD859" s="168"/>
    </row>
    <row r="860" spans="18:30" ht="69.75" customHeight="1" x14ac:dyDescent="0.25">
      <c r="R860" s="25"/>
      <c r="S860" s="25"/>
      <c r="T860" s="25"/>
      <c r="U860" s="25"/>
      <c r="V860" s="25"/>
      <c r="W860" s="25"/>
      <c r="X860" s="25"/>
      <c r="Y860" s="25"/>
      <c r="Z860" s="25"/>
      <c r="AA860" s="25"/>
      <c r="AB860" s="25"/>
      <c r="AC860" s="25"/>
      <c r="AD860" s="168"/>
    </row>
    <row r="861" spans="18:30" ht="69.75" customHeight="1" x14ac:dyDescent="0.25">
      <c r="R861" s="25"/>
      <c r="S861" s="25"/>
      <c r="T861" s="25"/>
      <c r="U861" s="25"/>
      <c r="V861" s="25"/>
      <c r="W861" s="25"/>
      <c r="X861" s="25"/>
      <c r="Y861" s="25"/>
      <c r="Z861" s="25"/>
      <c r="AA861" s="25"/>
      <c r="AB861" s="25"/>
      <c r="AC861" s="25"/>
      <c r="AD861" s="168"/>
    </row>
    <row r="862" spans="18:30" ht="69.75" customHeight="1" x14ac:dyDescent="0.25">
      <c r="R862" s="25"/>
      <c r="S862" s="25"/>
      <c r="T862" s="25"/>
      <c r="U862" s="25"/>
      <c r="V862" s="25"/>
      <c r="W862" s="25"/>
      <c r="X862" s="25"/>
      <c r="Y862" s="25"/>
      <c r="Z862" s="25"/>
      <c r="AA862" s="25"/>
      <c r="AB862" s="25"/>
      <c r="AC862" s="25"/>
      <c r="AD862" s="168"/>
    </row>
    <row r="863" spans="18:30" ht="69.75" customHeight="1" x14ac:dyDescent="0.25">
      <c r="R863" s="25"/>
      <c r="S863" s="25"/>
      <c r="T863" s="25"/>
      <c r="U863" s="25"/>
      <c r="V863" s="25"/>
      <c r="W863" s="25"/>
      <c r="X863" s="25"/>
      <c r="Y863" s="25"/>
      <c r="Z863" s="25"/>
      <c r="AA863" s="25"/>
      <c r="AB863" s="25"/>
      <c r="AC863" s="25"/>
      <c r="AD863" s="168"/>
    </row>
    <row r="864" spans="18:30" ht="69.75" customHeight="1" x14ac:dyDescent="0.25">
      <c r="R864" s="25"/>
      <c r="S864" s="25"/>
      <c r="T864" s="25"/>
      <c r="U864" s="25"/>
      <c r="V864" s="25"/>
      <c r="W864" s="25"/>
      <c r="X864" s="25"/>
      <c r="Y864" s="25"/>
      <c r="Z864" s="25"/>
      <c r="AA864" s="25"/>
      <c r="AB864" s="25"/>
      <c r="AC864" s="25"/>
      <c r="AD864" s="168"/>
    </row>
    <row r="865" spans="18:30" ht="69.75" customHeight="1" x14ac:dyDescent="0.25">
      <c r="R865" s="25"/>
      <c r="S865" s="25"/>
      <c r="T865" s="25"/>
      <c r="U865" s="25"/>
      <c r="V865" s="25"/>
      <c r="W865" s="25"/>
      <c r="X865" s="25"/>
      <c r="Y865" s="25"/>
      <c r="Z865" s="25"/>
      <c r="AA865" s="25"/>
      <c r="AB865" s="25"/>
      <c r="AC865" s="25"/>
      <c r="AD865" s="168"/>
    </row>
    <row r="866" spans="18:30" ht="69.75" customHeight="1" x14ac:dyDescent="0.25">
      <c r="R866" s="25"/>
      <c r="S866" s="25"/>
      <c r="T866" s="25"/>
      <c r="U866" s="25"/>
      <c r="V866" s="25"/>
      <c r="W866" s="25"/>
      <c r="X866" s="25"/>
      <c r="Y866" s="25"/>
      <c r="Z866" s="25"/>
      <c r="AA866" s="25"/>
      <c r="AB866" s="25"/>
      <c r="AC866" s="25"/>
      <c r="AD866" s="168"/>
    </row>
    <row r="867" spans="18:30" ht="69.75" customHeight="1" x14ac:dyDescent="0.25">
      <c r="R867" s="25"/>
      <c r="S867" s="25"/>
      <c r="T867" s="25"/>
      <c r="U867" s="25"/>
      <c r="V867" s="25"/>
      <c r="W867" s="25"/>
      <c r="X867" s="25"/>
      <c r="Y867" s="25"/>
      <c r="Z867" s="25"/>
      <c r="AA867" s="25"/>
      <c r="AB867" s="25"/>
      <c r="AC867" s="25"/>
      <c r="AD867" s="168"/>
    </row>
    <row r="868" spans="18:30" ht="69.75" customHeight="1" x14ac:dyDescent="0.25">
      <c r="R868" s="25"/>
      <c r="S868" s="25"/>
      <c r="T868" s="25"/>
      <c r="U868" s="25"/>
      <c r="V868" s="25"/>
      <c r="W868" s="25"/>
      <c r="X868" s="25"/>
      <c r="Y868" s="25"/>
      <c r="Z868" s="25"/>
      <c r="AA868" s="25"/>
      <c r="AB868" s="25"/>
      <c r="AC868" s="25"/>
      <c r="AD868" s="168"/>
    </row>
    <row r="869" spans="18:30" ht="69.75" customHeight="1" x14ac:dyDescent="0.25">
      <c r="R869" s="25"/>
      <c r="S869" s="25"/>
      <c r="T869" s="25"/>
      <c r="U869" s="25"/>
      <c r="V869" s="25"/>
      <c r="W869" s="25"/>
      <c r="X869" s="25"/>
      <c r="Y869" s="25"/>
      <c r="Z869" s="25"/>
      <c r="AA869" s="25"/>
      <c r="AB869" s="25"/>
      <c r="AC869" s="25"/>
      <c r="AD869" s="168"/>
    </row>
    <row r="870" spans="18:30" ht="69.75" customHeight="1" x14ac:dyDescent="0.25">
      <c r="R870" s="25"/>
      <c r="S870" s="25"/>
      <c r="T870" s="25"/>
      <c r="U870" s="25"/>
      <c r="V870" s="25"/>
      <c r="W870" s="25"/>
      <c r="X870" s="25"/>
      <c r="Y870" s="25"/>
      <c r="Z870" s="25"/>
      <c r="AA870" s="25"/>
      <c r="AB870" s="25"/>
      <c r="AC870" s="25"/>
      <c r="AD870" s="168"/>
    </row>
    <row r="871" spans="18:30" ht="69.75" customHeight="1" x14ac:dyDescent="0.25">
      <c r="R871" s="25"/>
      <c r="S871" s="25"/>
      <c r="T871" s="25"/>
      <c r="U871" s="25"/>
      <c r="V871" s="25"/>
      <c r="W871" s="25"/>
      <c r="X871" s="25"/>
      <c r="Y871" s="25"/>
      <c r="Z871" s="25"/>
      <c r="AA871" s="25"/>
      <c r="AB871" s="25"/>
      <c r="AC871" s="25"/>
      <c r="AD871" s="168"/>
    </row>
    <row r="872" spans="18:30" ht="69.75" customHeight="1" x14ac:dyDescent="0.25">
      <c r="R872" s="25"/>
      <c r="S872" s="25"/>
      <c r="T872" s="25"/>
      <c r="U872" s="25"/>
      <c r="V872" s="25"/>
      <c r="W872" s="25"/>
      <c r="X872" s="25"/>
      <c r="Y872" s="25"/>
      <c r="Z872" s="25"/>
      <c r="AA872" s="25"/>
      <c r="AB872" s="25"/>
      <c r="AC872" s="25"/>
      <c r="AD872" s="168"/>
    </row>
    <row r="873" spans="18:30" ht="69.75" customHeight="1" x14ac:dyDescent="0.25">
      <c r="R873" s="25"/>
      <c r="S873" s="25"/>
      <c r="T873" s="25"/>
      <c r="U873" s="25"/>
      <c r="V873" s="25"/>
      <c r="W873" s="25"/>
      <c r="X873" s="25"/>
      <c r="Y873" s="25"/>
      <c r="Z873" s="25"/>
      <c r="AA873" s="25"/>
      <c r="AB873" s="25"/>
      <c r="AC873" s="25"/>
      <c r="AD873" s="168"/>
    </row>
    <row r="874" spans="18:30" ht="69.75" customHeight="1" x14ac:dyDescent="0.25">
      <c r="R874" s="25"/>
      <c r="S874" s="25"/>
      <c r="T874" s="25"/>
      <c r="U874" s="25"/>
      <c r="V874" s="25"/>
      <c r="W874" s="25"/>
      <c r="X874" s="25"/>
      <c r="Y874" s="25"/>
      <c r="Z874" s="25"/>
      <c r="AA874" s="25"/>
      <c r="AB874" s="25"/>
      <c r="AC874" s="25"/>
      <c r="AD874" s="168"/>
    </row>
    <row r="875" spans="18:30" ht="69.75" customHeight="1" x14ac:dyDescent="0.25">
      <c r="R875" s="25"/>
      <c r="S875" s="25"/>
      <c r="T875" s="25"/>
      <c r="U875" s="25"/>
      <c r="V875" s="25"/>
      <c r="W875" s="25"/>
      <c r="X875" s="25"/>
      <c r="Y875" s="25"/>
      <c r="Z875" s="25"/>
      <c r="AA875" s="25"/>
      <c r="AB875" s="25"/>
      <c r="AC875" s="25"/>
      <c r="AD875" s="168"/>
    </row>
    <row r="876" spans="18:30" ht="69.75" customHeight="1" x14ac:dyDescent="0.25">
      <c r="R876" s="25"/>
      <c r="S876" s="25"/>
      <c r="T876" s="25"/>
      <c r="U876" s="25"/>
      <c r="V876" s="25"/>
      <c r="W876" s="25"/>
      <c r="X876" s="25"/>
      <c r="Y876" s="25"/>
      <c r="Z876" s="25"/>
      <c r="AA876" s="25"/>
      <c r="AB876" s="25"/>
      <c r="AC876" s="25"/>
      <c r="AD876" s="168"/>
    </row>
    <row r="877" spans="18:30" ht="69.75" customHeight="1" x14ac:dyDescent="0.25">
      <c r="R877" s="25"/>
      <c r="S877" s="25"/>
      <c r="T877" s="25"/>
      <c r="U877" s="25"/>
      <c r="V877" s="25"/>
      <c r="W877" s="25"/>
      <c r="X877" s="25"/>
      <c r="Y877" s="25"/>
      <c r="Z877" s="25"/>
      <c r="AA877" s="25"/>
      <c r="AB877" s="25"/>
      <c r="AC877" s="25"/>
      <c r="AD877" s="168"/>
    </row>
    <row r="878" spans="18:30" ht="69.75" customHeight="1" x14ac:dyDescent="0.25">
      <c r="R878" s="25"/>
      <c r="S878" s="25"/>
      <c r="T878" s="25"/>
      <c r="U878" s="25"/>
      <c r="V878" s="25"/>
      <c r="W878" s="25"/>
      <c r="X878" s="25"/>
      <c r="Y878" s="25"/>
      <c r="Z878" s="25"/>
      <c r="AA878" s="25"/>
      <c r="AB878" s="25"/>
      <c r="AC878" s="25"/>
      <c r="AD878" s="168"/>
    </row>
    <row r="879" spans="18:30" ht="69.75" customHeight="1" x14ac:dyDescent="0.25">
      <c r="R879" s="25"/>
      <c r="S879" s="25"/>
      <c r="T879" s="25"/>
      <c r="U879" s="25"/>
      <c r="V879" s="25"/>
      <c r="W879" s="25"/>
      <c r="X879" s="25"/>
      <c r="Y879" s="25"/>
      <c r="Z879" s="25"/>
      <c r="AA879" s="25"/>
      <c r="AB879" s="25"/>
      <c r="AC879" s="25"/>
      <c r="AD879" s="168"/>
    </row>
    <row r="880" spans="18:30" ht="69.75" customHeight="1" x14ac:dyDescent="0.25">
      <c r="R880" s="25"/>
      <c r="S880" s="25"/>
      <c r="T880" s="25"/>
      <c r="U880" s="25"/>
      <c r="V880" s="25"/>
      <c r="W880" s="25"/>
      <c r="X880" s="25"/>
      <c r="Y880" s="25"/>
      <c r="Z880" s="25"/>
      <c r="AA880" s="25"/>
      <c r="AB880" s="25"/>
      <c r="AC880" s="25"/>
      <c r="AD880" s="168"/>
    </row>
    <row r="881" spans="18:30" ht="69.75" customHeight="1" x14ac:dyDescent="0.25">
      <c r="R881" s="25"/>
      <c r="S881" s="25"/>
      <c r="T881" s="25"/>
      <c r="U881" s="25"/>
      <c r="V881" s="25"/>
      <c r="W881" s="25"/>
      <c r="X881" s="25"/>
      <c r="Y881" s="25"/>
      <c r="Z881" s="25"/>
      <c r="AA881" s="25"/>
      <c r="AB881" s="25"/>
      <c r="AC881" s="25"/>
      <c r="AD881" s="168"/>
    </row>
    <row r="882" spans="18:30" ht="69.75" customHeight="1" x14ac:dyDescent="0.25">
      <c r="R882" s="25"/>
      <c r="S882" s="25"/>
      <c r="T882" s="25"/>
      <c r="U882" s="25"/>
      <c r="V882" s="25"/>
      <c r="W882" s="25"/>
      <c r="X882" s="25"/>
      <c r="Y882" s="25"/>
      <c r="Z882" s="25"/>
      <c r="AA882" s="25"/>
      <c r="AB882" s="25"/>
      <c r="AC882" s="25"/>
      <c r="AD882" s="168"/>
    </row>
    <row r="883" spans="18:30" ht="69.75" customHeight="1" x14ac:dyDescent="0.25">
      <c r="R883" s="25"/>
      <c r="S883" s="25"/>
      <c r="T883" s="25"/>
      <c r="U883" s="25"/>
      <c r="V883" s="25"/>
      <c r="W883" s="25"/>
      <c r="X883" s="25"/>
      <c r="Y883" s="25"/>
      <c r="Z883" s="25"/>
      <c r="AA883" s="25"/>
      <c r="AB883" s="25"/>
      <c r="AC883" s="25"/>
      <c r="AD883" s="168"/>
    </row>
    <row r="884" spans="18:30" ht="69.75" customHeight="1" x14ac:dyDescent="0.25">
      <c r="R884" s="25"/>
      <c r="S884" s="25"/>
      <c r="T884" s="25"/>
      <c r="U884" s="25"/>
      <c r="V884" s="25"/>
      <c r="W884" s="25"/>
      <c r="X884" s="25"/>
      <c r="Y884" s="25"/>
      <c r="Z884" s="25"/>
      <c r="AA884" s="25"/>
      <c r="AB884" s="25"/>
      <c r="AC884" s="25"/>
      <c r="AD884" s="168"/>
    </row>
    <row r="885" spans="18:30" ht="69.75" customHeight="1" x14ac:dyDescent="0.25">
      <c r="R885" s="25"/>
      <c r="S885" s="25"/>
      <c r="T885" s="25"/>
      <c r="U885" s="25"/>
      <c r="V885" s="25"/>
      <c r="W885" s="25"/>
      <c r="X885" s="25"/>
      <c r="Y885" s="25"/>
      <c r="Z885" s="25"/>
      <c r="AA885" s="25"/>
      <c r="AB885" s="25"/>
      <c r="AC885" s="25"/>
      <c r="AD885" s="168"/>
    </row>
    <row r="886" spans="18:30" ht="69.75" customHeight="1" x14ac:dyDescent="0.25">
      <c r="R886" s="25"/>
      <c r="S886" s="25"/>
      <c r="T886" s="25"/>
      <c r="U886" s="25"/>
      <c r="V886" s="25"/>
      <c r="W886" s="25"/>
      <c r="X886" s="25"/>
      <c r="Y886" s="25"/>
      <c r="Z886" s="25"/>
      <c r="AA886" s="25"/>
      <c r="AB886" s="25"/>
      <c r="AC886" s="25"/>
      <c r="AD886" s="168"/>
    </row>
    <row r="887" spans="18:30" ht="69.75" customHeight="1" x14ac:dyDescent="0.25">
      <c r="R887" s="25"/>
      <c r="S887" s="25"/>
      <c r="T887" s="25"/>
      <c r="U887" s="25"/>
      <c r="V887" s="25"/>
      <c r="W887" s="25"/>
      <c r="X887" s="25"/>
      <c r="Y887" s="25"/>
      <c r="Z887" s="25"/>
      <c r="AA887" s="25"/>
      <c r="AB887" s="25"/>
      <c r="AC887" s="25"/>
      <c r="AD887" s="168"/>
    </row>
    <row r="888" spans="18:30" ht="69.75" customHeight="1" x14ac:dyDescent="0.25">
      <c r="R888" s="25"/>
      <c r="S888" s="25"/>
      <c r="T888" s="25"/>
      <c r="U888" s="25"/>
      <c r="V888" s="25"/>
      <c r="W888" s="25"/>
      <c r="X888" s="25"/>
      <c r="Y888" s="25"/>
      <c r="Z888" s="25"/>
      <c r="AA888" s="25"/>
      <c r="AB888" s="25"/>
      <c r="AC888" s="25"/>
      <c r="AD888" s="168"/>
    </row>
    <row r="889" spans="18:30" ht="69.75" customHeight="1" x14ac:dyDescent="0.25">
      <c r="R889" s="25"/>
      <c r="S889" s="25"/>
      <c r="T889" s="25"/>
      <c r="U889" s="25"/>
      <c r="V889" s="25"/>
      <c r="W889" s="25"/>
      <c r="X889" s="25"/>
      <c r="Y889" s="25"/>
      <c r="Z889" s="25"/>
      <c r="AA889" s="25"/>
      <c r="AB889" s="25"/>
      <c r="AC889" s="25"/>
      <c r="AD889" s="168"/>
    </row>
    <row r="890" spans="18:30" ht="69.75" customHeight="1" x14ac:dyDescent="0.25">
      <c r="R890" s="25"/>
      <c r="S890" s="25"/>
      <c r="T890" s="25"/>
      <c r="U890" s="25"/>
      <c r="V890" s="25"/>
      <c r="W890" s="25"/>
      <c r="X890" s="25"/>
      <c r="Y890" s="25"/>
      <c r="Z890" s="25"/>
      <c r="AA890" s="25"/>
      <c r="AB890" s="25"/>
      <c r="AC890" s="25"/>
      <c r="AD890" s="168"/>
    </row>
    <row r="891" spans="18:30" ht="69.75" customHeight="1" x14ac:dyDescent="0.25">
      <c r="R891" s="25"/>
      <c r="S891" s="25"/>
      <c r="T891" s="25"/>
      <c r="U891" s="25"/>
      <c r="V891" s="25"/>
      <c r="W891" s="25"/>
      <c r="X891" s="25"/>
      <c r="Y891" s="25"/>
      <c r="Z891" s="25"/>
      <c r="AA891" s="25"/>
      <c r="AB891" s="25"/>
      <c r="AC891" s="25"/>
      <c r="AD891" s="168"/>
    </row>
    <row r="892" spans="18:30" ht="69.75" customHeight="1" x14ac:dyDescent="0.25">
      <c r="R892" s="25"/>
      <c r="S892" s="25"/>
      <c r="T892" s="25"/>
      <c r="U892" s="25"/>
      <c r="V892" s="25"/>
      <c r="W892" s="25"/>
      <c r="X892" s="25"/>
      <c r="Y892" s="25"/>
      <c r="Z892" s="25"/>
      <c r="AA892" s="25"/>
      <c r="AB892" s="25"/>
      <c r="AC892" s="25"/>
      <c r="AD892" s="168"/>
    </row>
    <row r="893" spans="18:30" ht="69.75" customHeight="1" x14ac:dyDescent="0.25">
      <c r="R893" s="25"/>
      <c r="S893" s="25"/>
      <c r="T893" s="25"/>
      <c r="U893" s="25"/>
      <c r="V893" s="25"/>
      <c r="W893" s="25"/>
      <c r="X893" s="25"/>
      <c r="Y893" s="25"/>
      <c r="Z893" s="25"/>
      <c r="AA893" s="25"/>
      <c r="AB893" s="25"/>
      <c r="AC893" s="25"/>
      <c r="AD893" s="168"/>
    </row>
    <row r="894" spans="18:30" ht="69.75" customHeight="1" x14ac:dyDescent="0.25">
      <c r="R894" s="25"/>
      <c r="S894" s="25"/>
      <c r="T894" s="25"/>
      <c r="U894" s="25"/>
      <c r="V894" s="25"/>
      <c r="W894" s="25"/>
      <c r="X894" s="25"/>
      <c r="Y894" s="25"/>
      <c r="Z894" s="25"/>
      <c r="AA894" s="25"/>
      <c r="AB894" s="25"/>
      <c r="AC894" s="25"/>
      <c r="AD894" s="168"/>
    </row>
    <row r="895" spans="18:30" ht="69.75" customHeight="1" x14ac:dyDescent="0.25">
      <c r="R895" s="25"/>
      <c r="S895" s="25"/>
      <c r="T895" s="25"/>
      <c r="U895" s="25"/>
      <c r="V895" s="25"/>
      <c r="W895" s="25"/>
      <c r="X895" s="25"/>
      <c r="Y895" s="25"/>
      <c r="Z895" s="25"/>
      <c r="AA895" s="25"/>
      <c r="AB895" s="25"/>
      <c r="AC895" s="25"/>
      <c r="AD895" s="168"/>
    </row>
    <row r="896" spans="18:30" ht="69.75" customHeight="1" x14ac:dyDescent="0.25">
      <c r="R896" s="25"/>
      <c r="S896" s="25"/>
      <c r="T896" s="25"/>
      <c r="U896" s="25"/>
      <c r="V896" s="25"/>
      <c r="W896" s="25"/>
      <c r="X896" s="25"/>
      <c r="Y896" s="25"/>
      <c r="Z896" s="25"/>
      <c r="AA896" s="25"/>
      <c r="AB896" s="25"/>
      <c r="AC896" s="25"/>
      <c r="AD896" s="168"/>
    </row>
    <row r="897" spans="18:30" ht="69.75" customHeight="1" x14ac:dyDescent="0.25">
      <c r="R897" s="25"/>
      <c r="S897" s="25"/>
      <c r="T897" s="25"/>
      <c r="U897" s="25"/>
      <c r="V897" s="25"/>
      <c r="W897" s="25"/>
      <c r="X897" s="25"/>
      <c r="Y897" s="25"/>
      <c r="Z897" s="25"/>
      <c r="AA897" s="25"/>
      <c r="AB897" s="25"/>
      <c r="AC897" s="25"/>
      <c r="AD897" s="168"/>
    </row>
    <row r="898" spans="18:30" ht="69.75" customHeight="1" x14ac:dyDescent="0.25">
      <c r="R898" s="25"/>
      <c r="S898" s="25"/>
      <c r="T898" s="25"/>
      <c r="U898" s="25"/>
      <c r="V898" s="25"/>
      <c r="W898" s="25"/>
      <c r="X898" s="25"/>
      <c r="Y898" s="25"/>
      <c r="Z898" s="25"/>
      <c r="AA898" s="25"/>
      <c r="AB898" s="25"/>
      <c r="AC898" s="25"/>
      <c r="AD898" s="168"/>
    </row>
    <row r="899" spans="18:30" ht="69.75" customHeight="1" x14ac:dyDescent="0.25">
      <c r="R899" s="25"/>
      <c r="S899" s="25"/>
      <c r="T899" s="25"/>
      <c r="U899" s="25"/>
      <c r="V899" s="25"/>
      <c r="W899" s="25"/>
      <c r="X899" s="25"/>
      <c r="Y899" s="25"/>
      <c r="Z899" s="25"/>
      <c r="AA899" s="25"/>
      <c r="AB899" s="25"/>
      <c r="AC899" s="25"/>
      <c r="AD899" s="168"/>
    </row>
    <row r="900" spans="18:30" ht="69.75" customHeight="1" x14ac:dyDescent="0.25">
      <c r="R900" s="25"/>
      <c r="S900" s="25"/>
      <c r="T900" s="25"/>
      <c r="U900" s="25"/>
      <c r="V900" s="25"/>
      <c r="W900" s="25"/>
      <c r="X900" s="25"/>
      <c r="Y900" s="25"/>
      <c r="Z900" s="25"/>
      <c r="AA900" s="25"/>
      <c r="AB900" s="25"/>
      <c r="AC900" s="25"/>
      <c r="AD900" s="168"/>
    </row>
    <row r="901" spans="18:30" ht="69.75" customHeight="1" x14ac:dyDescent="0.25">
      <c r="R901" s="25"/>
      <c r="S901" s="25"/>
      <c r="T901" s="25"/>
      <c r="U901" s="25"/>
      <c r="V901" s="25"/>
      <c r="W901" s="25"/>
      <c r="X901" s="25"/>
      <c r="Y901" s="25"/>
      <c r="Z901" s="25"/>
      <c r="AA901" s="25"/>
      <c r="AB901" s="25"/>
      <c r="AC901" s="25"/>
      <c r="AD901" s="168"/>
    </row>
    <row r="902" spans="18:30" ht="69.75" customHeight="1" x14ac:dyDescent="0.25">
      <c r="R902" s="25"/>
      <c r="S902" s="25"/>
      <c r="T902" s="25"/>
      <c r="U902" s="25"/>
      <c r="V902" s="25"/>
      <c r="W902" s="25"/>
      <c r="X902" s="25"/>
      <c r="Y902" s="25"/>
      <c r="Z902" s="25"/>
      <c r="AA902" s="25"/>
      <c r="AB902" s="25"/>
      <c r="AC902" s="25"/>
      <c r="AD902" s="168"/>
    </row>
    <row r="903" spans="18:30" ht="69.75" customHeight="1" x14ac:dyDescent="0.25">
      <c r="R903" s="25"/>
      <c r="S903" s="25"/>
      <c r="T903" s="25"/>
      <c r="U903" s="25"/>
      <c r="V903" s="25"/>
      <c r="W903" s="25"/>
      <c r="X903" s="25"/>
      <c r="Y903" s="25"/>
      <c r="Z903" s="25"/>
      <c r="AA903" s="25"/>
      <c r="AB903" s="25"/>
      <c r="AC903" s="25"/>
      <c r="AD903" s="168"/>
    </row>
    <row r="904" spans="18:30" ht="69.75" customHeight="1" x14ac:dyDescent="0.25">
      <c r="R904" s="25"/>
      <c r="S904" s="25"/>
      <c r="T904" s="25"/>
      <c r="U904" s="25"/>
      <c r="V904" s="25"/>
      <c r="W904" s="25"/>
      <c r="X904" s="25"/>
      <c r="Y904" s="25"/>
      <c r="Z904" s="25"/>
      <c r="AA904" s="25"/>
      <c r="AB904" s="25"/>
      <c r="AC904" s="25"/>
      <c r="AD904" s="168"/>
    </row>
    <row r="905" spans="18:30" ht="69.75" customHeight="1" x14ac:dyDescent="0.25">
      <c r="R905" s="25"/>
      <c r="S905" s="25"/>
      <c r="T905" s="25"/>
      <c r="U905" s="25"/>
      <c r="V905" s="25"/>
      <c r="W905" s="25"/>
      <c r="X905" s="25"/>
      <c r="Y905" s="25"/>
      <c r="Z905" s="25"/>
      <c r="AA905" s="25"/>
      <c r="AB905" s="25"/>
      <c r="AC905" s="25"/>
      <c r="AD905" s="168"/>
    </row>
    <row r="906" spans="18:30" ht="69.75" customHeight="1" x14ac:dyDescent="0.25">
      <c r="R906" s="25"/>
      <c r="S906" s="25"/>
      <c r="T906" s="25"/>
      <c r="U906" s="25"/>
      <c r="V906" s="25"/>
      <c r="W906" s="25"/>
      <c r="X906" s="25"/>
      <c r="Y906" s="25"/>
      <c r="Z906" s="25"/>
      <c r="AA906" s="25"/>
      <c r="AB906" s="25"/>
      <c r="AC906" s="25"/>
      <c r="AD906" s="168"/>
    </row>
    <row r="907" spans="18:30" ht="69.75" customHeight="1" x14ac:dyDescent="0.25">
      <c r="R907" s="25"/>
      <c r="S907" s="25"/>
      <c r="T907" s="25"/>
      <c r="U907" s="25"/>
      <c r="V907" s="25"/>
      <c r="W907" s="25"/>
      <c r="X907" s="25"/>
      <c r="Y907" s="25"/>
      <c r="Z907" s="25"/>
      <c r="AA907" s="25"/>
      <c r="AB907" s="25"/>
      <c r="AC907" s="25"/>
      <c r="AD907" s="168"/>
    </row>
    <row r="908" spans="18:30" ht="69.75" customHeight="1" x14ac:dyDescent="0.25">
      <c r="R908" s="25"/>
      <c r="S908" s="25"/>
      <c r="T908" s="25"/>
      <c r="U908" s="25"/>
      <c r="V908" s="25"/>
      <c r="W908" s="25"/>
      <c r="X908" s="25"/>
      <c r="Y908" s="25"/>
      <c r="Z908" s="25"/>
      <c r="AA908" s="25"/>
      <c r="AB908" s="25"/>
      <c r="AC908" s="25"/>
      <c r="AD908" s="168"/>
    </row>
    <row r="909" spans="18:30" ht="69.75" customHeight="1" x14ac:dyDescent="0.25">
      <c r="R909" s="25"/>
      <c r="S909" s="25"/>
      <c r="T909" s="25"/>
      <c r="U909" s="25"/>
      <c r="V909" s="25"/>
      <c r="W909" s="25"/>
      <c r="X909" s="25"/>
      <c r="Y909" s="25"/>
      <c r="Z909" s="25"/>
      <c r="AA909" s="25"/>
      <c r="AB909" s="25"/>
      <c r="AC909" s="25"/>
      <c r="AD909" s="168"/>
    </row>
    <row r="910" spans="18:30" ht="69.75" customHeight="1" x14ac:dyDescent="0.25">
      <c r="R910" s="25"/>
      <c r="S910" s="25"/>
      <c r="T910" s="25"/>
      <c r="U910" s="25"/>
      <c r="V910" s="25"/>
      <c r="W910" s="25"/>
      <c r="X910" s="25"/>
      <c r="Y910" s="25"/>
      <c r="Z910" s="25"/>
      <c r="AA910" s="25"/>
      <c r="AB910" s="25"/>
      <c r="AC910" s="25"/>
      <c r="AD910" s="168"/>
    </row>
    <row r="911" spans="18:30" ht="69.75" customHeight="1" x14ac:dyDescent="0.25">
      <c r="R911" s="25"/>
      <c r="S911" s="25"/>
      <c r="T911" s="25"/>
      <c r="U911" s="25"/>
      <c r="V911" s="25"/>
      <c r="W911" s="25"/>
      <c r="X911" s="25"/>
      <c r="Y911" s="25"/>
      <c r="Z911" s="25"/>
      <c r="AA911" s="25"/>
      <c r="AB911" s="25"/>
      <c r="AC911" s="25"/>
      <c r="AD911" s="168"/>
    </row>
    <row r="912" spans="18:30" ht="69.75" customHeight="1" x14ac:dyDescent="0.25">
      <c r="R912" s="25"/>
      <c r="S912" s="25"/>
      <c r="T912" s="25"/>
      <c r="U912" s="25"/>
      <c r="V912" s="25"/>
      <c r="W912" s="25"/>
      <c r="X912" s="25"/>
      <c r="Y912" s="25"/>
      <c r="Z912" s="25"/>
      <c r="AA912" s="25"/>
      <c r="AB912" s="25"/>
      <c r="AC912" s="25"/>
      <c r="AD912" s="168"/>
    </row>
    <row r="913" spans="18:30" ht="69.75" customHeight="1" x14ac:dyDescent="0.25">
      <c r="R913" s="25"/>
      <c r="S913" s="25"/>
      <c r="T913" s="25"/>
      <c r="U913" s="25"/>
      <c r="V913" s="25"/>
      <c r="W913" s="25"/>
      <c r="X913" s="25"/>
      <c r="Y913" s="25"/>
      <c r="Z913" s="25"/>
      <c r="AA913" s="25"/>
      <c r="AB913" s="25"/>
      <c r="AC913" s="25"/>
      <c r="AD913" s="168"/>
    </row>
    <row r="914" spans="18:30" ht="69.75" customHeight="1" x14ac:dyDescent="0.25">
      <c r="R914" s="25"/>
      <c r="S914" s="25"/>
      <c r="T914" s="25"/>
      <c r="U914" s="25"/>
      <c r="V914" s="25"/>
      <c r="W914" s="25"/>
      <c r="X914" s="25"/>
      <c r="Y914" s="25"/>
      <c r="Z914" s="25"/>
      <c r="AA914" s="25"/>
      <c r="AB914" s="25"/>
      <c r="AC914" s="25"/>
      <c r="AD914" s="168"/>
    </row>
    <row r="915" spans="18:30" ht="69.75" customHeight="1" x14ac:dyDescent="0.25">
      <c r="R915" s="25"/>
      <c r="S915" s="25"/>
      <c r="T915" s="25"/>
      <c r="U915" s="25"/>
      <c r="V915" s="25"/>
      <c r="W915" s="25"/>
      <c r="X915" s="25"/>
      <c r="Y915" s="25"/>
      <c r="Z915" s="25"/>
      <c r="AA915" s="25"/>
      <c r="AB915" s="25"/>
      <c r="AC915" s="25"/>
      <c r="AD915" s="168"/>
    </row>
    <row r="916" spans="18:30" ht="69.75" customHeight="1" x14ac:dyDescent="0.25">
      <c r="R916" s="25"/>
      <c r="S916" s="25"/>
      <c r="T916" s="25"/>
      <c r="U916" s="25"/>
      <c r="V916" s="25"/>
      <c r="W916" s="25"/>
      <c r="X916" s="25"/>
      <c r="Y916" s="25"/>
      <c r="Z916" s="25"/>
      <c r="AA916" s="25"/>
      <c r="AB916" s="25"/>
      <c r="AC916" s="25"/>
      <c r="AD916" s="168"/>
    </row>
    <row r="917" spans="18:30" ht="69.75" customHeight="1" x14ac:dyDescent="0.25">
      <c r="R917" s="25"/>
      <c r="S917" s="25"/>
      <c r="T917" s="25"/>
      <c r="U917" s="25"/>
      <c r="V917" s="25"/>
      <c r="W917" s="25"/>
      <c r="X917" s="25"/>
      <c r="Y917" s="25"/>
      <c r="Z917" s="25"/>
      <c r="AA917" s="25"/>
      <c r="AB917" s="25"/>
      <c r="AC917" s="25"/>
      <c r="AD917" s="168"/>
    </row>
    <row r="918" spans="18:30" ht="69.75" customHeight="1" x14ac:dyDescent="0.25">
      <c r="R918" s="25"/>
      <c r="S918" s="25"/>
      <c r="T918" s="25"/>
      <c r="U918" s="25"/>
      <c r="V918" s="25"/>
      <c r="W918" s="25"/>
      <c r="X918" s="25"/>
      <c r="Y918" s="25"/>
      <c r="Z918" s="25"/>
      <c r="AA918" s="25"/>
      <c r="AB918" s="25"/>
      <c r="AC918" s="25"/>
      <c r="AD918" s="168"/>
    </row>
    <row r="919" spans="18:30" ht="69.75" customHeight="1" x14ac:dyDescent="0.25">
      <c r="R919" s="25"/>
      <c r="S919" s="25"/>
      <c r="T919" s="25"/>
      <c r="U919" s="25"/>
      <c r="V919" s="25"/>
      <c r="W919" s="25"/>
      <c r="X919" s="25"/>
      <c r="Y919" s="25"/>
      <c r="Z919" s="25"/>
      <c r="AA919" s="25"/>
      <c r="AB919" s="25"/>
      <c r="AC919" s="25"/>
      <c r="AD919" s="168"/>
    </row>
    <row r="920" spans="18:30" ht="69.75" customHeight="1" x14ac:dyDescent="0.25">
      <c r="R920" s="25"/>
      <c r="S920" s="25"/>
      <c r="T920" s="25"/>
      <c r="U920" s="25"/>
      <c r="V920" s="25"/>
      <c r="W920" s="25"/>
      <c r="X920" s="25"/>
      <c r="Y920" s="25"/>
      <c r="Z920" s="25"/>
      <c r="AA920" s="25"/>
      <c r="AB920" s="25"/>
      <c r="AC920" s="25"/>
      <c r="AD920" s="168"/>
    </row>
    <row r="921" spans="18:30" ht="69.75" customHeight="1" x14ac:dyDescent="0.25">
      <c r="R921" s="25"/>
      <c r="S921" s="25"/>
      <c r="T921" s="25"/>
      <c r="U921" s="25"/>
      <c r="V921" s="25"/>
      <c r="W921" s="25"/>
      <c r="X921" s="25"/>
      <c r="Y921" s="25"/>
      <c r="Z921" s="25"/>
      <c r="AA921" s="25"/>
      <c r="AB921" s="25"/>
      <c r="AC921" s="25"/>
      <c r="AD921" s="168"/>
    </row>
    <row r="922" spans="18:30" ht="69.75" customHeight="1" x14ac:dyDescent="0.25">
      <c r="R922" s="25"/>
      <c r="S922" s="25"/>
      <c r="T922" s="25"/>
      <c r="U922" s="25"/>
      <c r="V922" s="25"/>
      <c r="W922" s="25"/>
      <c r="X922" s="25"/>
      <c r="Y922" s="25"/>
      <c r="Z922" s="25"/>
      <c r="AA922" s="25"/>
      <c r="AB922" s="25"/>
      <c r="AC922" s="25"/>
      <c r="AD922" s="168"/>
    </row>
    <row r="923" spans="18:30" ht="69.75" customHeight="1" x14ac:dyDescent="0.25">
      <c r="R923" s="25"/>
      <c r="S923" s="25"/>
      <c r="T923" s="25"/>
      <c r="U923" s="25"/>
      <c r="V923" s="25"/>
      <c r="W923" s="25"/>
      <c r="X923" s="25"/>
      <c r="Y923" s="25"/>
      <c r="Z923" s="25"/>
      <c r="AA923" s="25"/>
      <c r="AB923" s="25"/>
      <c r="AC923" s="25"/>
      <c r="AD923" s="168"/>
    </row>
    <row r="924" spans="18:30" ht="69.75" customHeight="1" x14ac:dyDescent="0.25">
      <c r="R924" s="25"/>
      <c r="S924" s="25"/>
      <c r="T924" s="25"/>
      <c r="U924" s="25"/>
      <c r="V924" s="25"/>
      <c r="W924" s="25"/>
      <c r="X924" s="25"/>
      <c r="Y924" s="25"/>
      <c r="Z924" s="25"/>
      <c r="AA924" s="25"/>
      <c r="AB924" s="25"/>
      <c r="AC924" s="25"/>
      <c r="AD924" s="168"/>
    </row>
    <row r="925" spans="18:30" ht="69.75" customHeight="1" x14ac:dyDescent="0.25">
      <c r="R925" s="25"/>
      <c r="S925" s="25"/>
      <c r="T925" s="25"/>
      <c r="U925" s="25"/>
      <c r="V925" s="25"/>
      <c r="W925" s="25"/>
      <c r="X925" s="25"/>
      <c r="Y925" s="25"/>
      <c r="Z925" s="25"/>
      <c r="AA925" s="25"/>
      <c r="AB925" s="25"/>
      <c r="AC925" s="25"/>
      <c r="AD925" s="168"/>
    </row>
    <row r="926" spans="18:30" ht="69.75" customHeight="1" x14ac:dyDescent="0.25">
      <c r="R926" s="25"/>
      <c r="S926" s="25"/>
      <c r="T926" s="25"/>
      <c r="U926" s="25"/>
      <c r="V926" s="25"/>
      <c r="W926" s="25"/>
      <c r="X926" s="25"/>
      <c r="Y926" s="25"/>
      <c r="Z926" s="25"/>
      <c r="AA926" s="25"/>
      <c r="AB926" s="25"/>
      <c r="AC926" s="25"/>
      <c r="AD926" s="168"/>
    </row>
    <row r="927" spans="18:30" ht="69.75" customHeight="1" x14ac:dyDescent="0.25">
      <c r="R927" s="25"/>
      <c r="S927" s="25"/>
      <c r="T927" s="25"/>
      <c r="U927" s="25"/>
      <c r="V927" s="25"/>
      <c r="W927" s="25"/>
      <c r="X927" s="25"/>
      <c r="Y927" s="25"/>
      <c r="Z927" s="25"/>
      <c r="AA927" s="25"/>
      <c r="AB927" s="25"/>
      <c r="AC927" s="25"/>
      <c r="AD927" s="168"/>
    </row>
    <row r="928" spans="18:30" ht="69.75" customHeight="1" x14ac:dyDescent="0.25">
      <c r="R928" s="25"/>
      <c r="S928" s="25"/>
      <c r="T928" s="25"/>
      <c r="U928" s="25"/>
      <c r="V928" s="25"/>
      <c r="W928" s="25"/>
      <c r="X928" s="25"/>
      <c r="Y928" s="25"/>
      <c r="Z928" s="25"/>
      <c r="AA928" s="25"/>
      <c r="AB928" s="25"/>
      <c r="AC928" s="25"/>
      <c r="AD928" s="168"/>
    </row>
    <row r="929" spans="18:30" ht="69.75" customHeight="1" x14ac:dyDescent="0.25">
      <c r="R929" s="25"/>
      <c r="S929" s="25"/>
      <c r="T929" s="25"/>
      <c r="U929" s="25"/>
      <c r="V929" s="25"/>
      <c r="W929" s="25"/>
      <c r="X929" s="25"/>
      <c r="Y929" s="25"/>
      <c r="Z929" s="25"/>
      <c r="AA929" s="25"/>
      <c r="AB929" s="25"/>
      <c r="AC929" s="25"/>
      <c r="AD929" s="168"/>
    </row>
    <row r="930" spans="18:30" ht="69.75" customHeight="1" x14ac:dyDescent="0.25">
      <c r="R930" s="25"/>
      <c r="S930" s="25"/>
      <c r="T930" s="25"/>
      <c r="U930" s="25"/>
      <c r="V930" s="25"/>
      <c r="W930" s="25"/>
      <c r="X930" s="25"/>
      <c r="Y930" s="25"/>
      <c r="Z930" s="25"/>
      <c r="AA930" s="25"/>
      <c r="AB930" s="25"/>
      <c r="AC930" s="25"/>
      <c r="AD930" s="168"/>
    </row>
    <row r="931" spans="18:30" ht="69.75" customHeight="1" x14ac:dyDescent="0.25">
      <c r="R931" s="25"/>
      <c r="S931" s="25"/>
      <c r="T931" s="25"/>
      <c r="U931" s="25"/>
      <c r="V931" s="25"/>
      <c r="W931" s="25"/>
      <c r="X931" s="25"/>
      <c r="Y931" s="25"/>
      <c r="Z931" s="25"/>
      <c r="AA931" s="25"/>
      <c r="AB931" s="25"/>
      <c r="AC931" s="25"/>
      <c r="AD931" s="168"/>
    </row>
    <row r="932" spans="18:30" ht="69.75" customHeight="1" x14ac:dyDescent="0.25">
      <c r="R932" s="25"/>
      <c r="S932" s="25"/>
      <c r="T932" s="25"/>
      <c r="U932" s="25"/>
      <c r="V932" s="25"/>
      <c r="W932" s="25"/>
      <c r="X932" s="25"/>
      <c r="Y932" s="25"/>
      <c r="Z932" s="25"/>
      <c r="AA932" s="25"/>
      <c r="AB932" s="25"/>
      <c r="AC932" s="25"/>
      <c r="AD932" s="168"/>
    </row>
    <row r="933" spans="18:30" ht="69.75" customHeight="1" x14ac:dyDescent="0.25">
      <c r="R933" s="25"/>
      <c r="S933" s="25"/>
      <c r="T933" s="25"/>
      <c r="U933" s="25"/>
      <c r="V933" s="25"/>
      <c r="W933" s="25"/>
      <c r="X933" s="25"/>
      <c r="Y933" s="25"/>
      <c r="Z933" s="25"/>
      <c r="AA933" s="25"/>
      <c r="AB933" s="25"/>
      <c r="AC933" s="25"/>
      <c r="AD933" s="168"/>
    </row>
    <row r="934" spans="18:30" ht="69.75" customHeight="1" x14ac:dyDescent="0.25">
      <c r="R934" s="25"/>
      <c r="S934" s="25"/>
      <c r="T934" s="25"/>
      <c r="U934" s="25"/>
      <c r="V934" s="25"/>
      <c r="W934" s="25"/>
      <c r="X934" s="25"/>
      <c r="Y934" s="25"/>
      <c r="Z934" s="25"/>
      <c r="AA934" s="25"/>
      <c r="AB934" s="25"/>
      <c r="AC934" s="25"/>
      <c r="AD934" s="168"/>
    </row>
    <row r="935" spans="18:30" ht="69.75" customHeight="1" x14ac:dyDescent="0.25">
      <c r="R935" s="25"/>
      <c r="S935" s="25"/>
      <c r="T935" s="25"/>
      <c r="U935" s="25"/>
      <c r="V935" s="25"/>
      <c r="W935" s="25"/>
      <c r="X935" s="25"/>
      <c r="Y935" s="25"/>
      <c r="Z935" s="25"/>
      <c r="AA935" s="25"/>
      <c r="AB935" s="25"/>
      <c r="AC935" s="25"/>
      <c r="AD935" s="168"/>
    </row>
    <row r="936" spans="18:30" ht="69.75" customHeight="1" x14ac:dyDescent="0.25">
      <c r="R936" s="25"/>
      <c r="S936" s="25"/>
      <c r="T936" s="25"/>
      <c r="U936" s="25"/>
      <c r="V936" s="25"/>
      <c r="W936" s="25"/>
      <c r="X936" s="25"/>
      <c r="Y936" s="25"/>
      <c r="Z936" s="25"/>
      <c r="AA936" s="25"/>
      <c r="AB936" s="25"/>
      <c r="AC936" s="25"/>
      <c r="AD936" s="168"/>
    </row>
    <row r="937" spans="18:30" ht="69.75" customHeight="1" x14ac:dyDescent="0.25">
      <c r="R937" s="25"/>
      <c r="S937" s="25"/>
      <c r="T937" s="25"/>
      <c r="U937" s="25"/>
      <c r="V937" s="25"/>
      <c r="W937" s="25"/>
      <c r="X937" s="25"/>
      <c r="Y937" s="25"/>
      <c r="Z937" s="25"/>
      <c r="AA937" s="25"/>
      <c r="AB937" s="25"/>
      <c r="AC937" s="25"/>
      <c r="AD937" s="168"/>
    </row>
    <row r="938" spans="18:30" ht="69.75" customHeight="1" x14ac:dyDescent="0.25">
      <c r="R938" s="25"/>
      <c r="S938" s="25"/>
      <c r="T938" s="25"/>
      <c r="U938" s="25"/>
      <c r="V938" s="25"/>
      <c r="W938" s="25"/>
      <c r="X938" s="25"/>
      <c r="Y938" s="25"/>
      <c r="Z938" s="25"/>
      <c r="AA938" s="25"/>
      <c r="AB938" s="25"/>
      <c r="AC938" s="25"/>
      <c r="AD938" s="168"/>
    </row>
    <row r="939" spans="18:30" ht="69.75" customHeight="1" x14ac:dyDescent="0.25">
      <c r="R939" s="25"/>
      <c r="S939" s="25"/>
      <c r="T939" s="25"/>
      <c r="U939" s="25"/>
      <c r="V939" s="25"/>
      <c r="W939" s="25"/>
      <c r="X939" s="25"/>
      <c r="Y939" s="25"/>
      <c r="Z939" s="25"/>
      <c r="AA939" s="25"/>
      <c r="AB939" s="25"/>
      <c r="AC939" s="25"/>
      <c r="AD939" s="168"/>
    </row>
    <row r="940" spans="18:30" ht="69.75" customHeight="1" x14ac:dyDescent="0.25">
      <c r="R940" s="25"/>
      <c r="S940" s="25"/>
      <c r="T940" s="25"/>
      <c r="U940" s="25"/>
      <c r="V940" s="25"/>
      <c r="W940" s="25"/>
      <c r="X940" s="25"/>
      <c r="Y940" s="25"/>
      <c r="Z940" s="25"/>
      <c r="AA940" s="25"/>
      <c r="AB940" s="25"/>
      <c r="AC940" s="25"/>
      <c r="AD940" s="168"/>
    </row>
    <row r="941" spans="18:30" ht="69.75" customHeight="1" x14ac:dyDescent="0.25">
      <c r="R941" s="25"/>
      <c r="S941" s="25"/>
      <c r="T941" s="25"/>
      <c r="U941" s="25"/>
      <c r="V941" s="25"/>
      <c r="W941" s="25"/>
      <c r="X941" s="25"/>
      <c r="Y941" s="25"/>
      <c r="Z941" s="25"/>
      <c r="AA941" s="25"/>
      <c r="AB941" s="25"/>
      <c r="AC941" s="25"/>
      <c r="AD941" s="168"/>
    </row>
    <row r="942" spans="18:30" ht="69.75" customHeight="1" x14ac:dyDescent="0.25">
      <c r="R942" s="25"/>
      <c r="S942" s="25"/>
      <c r="T942" s="25"/>
      <c r="U942" s="25"/>
      <c r="V942" s="25"/>
      <c r="W942" s="25"/>
      <c r="X942" s="25"/>
      <c r="Y942" s="25"/>
      <c r="Z942" s="25"/>
      <c r="AA942" s="25"/>
      <c r="AB942" s="25"/>
      <c r="AC942" s="25"/>
      <c r="AD942" s="168"/>
    </row>
    <row r="943" spans="18:30" ht="69.75" customHeight="1" x14ac:dyDescent="0.25">
      <c r="R943" s="25"/>
      <c r="S943" s="25"/>
      <c r="T943" s="25"/>
      <c r="U943" s="25"/>
      <c r="V943" s="25"/>
      <c r="W943" s="25"/>
      <c r="X943" s="25"/>
      <c r="Y943" s="25"/>
      <c r="Z943" s="25"/>
      <c r="AA943" s="25"/>
      <c r="AB943" s="25"/>
      <c r="AC943" s="25"/>
      <c r="AD943" s="168"/>
    </row>
    <row r="944" spans="18:30" ht="69.75" customHeight="1" x14ac:dyDescent="0.25">
      <c r="R944" s="25"/>
      <c r="S944" s="25"/>
      <c r="T944" s="25"/>
      <c r="U944" s="25"/>
      <c r="V944" s="25"/>
      <c r="W944" s="25"/>
      <c r="X944" s="25"/>
      <c r="Y944" s="25"/>
      <c r="Z944" s="25"/>
      <c r="AA944" s="25"/>
      <c r="AB944" s="25"/>
      <c r="AC944" s="25"/>
      <c r="AD944" s="168"/>
    </row>
    <row r="945" spans="18:30" ht="69.75" customHeight="1" x14ac:dyDescent="0.25">
      <c r="R945" s="25"/>
      <c r="S945" s="25"/>
      <c r="T945" s="25"/>
      <c r="U945" s="25"/>
      <c r="V945" s="25"/>
      <c r="W945" s="25"/>
      <c r="X945" s="25"/>
      <c r="Y945" s="25"/>
      <c r="Z945" s="25"/>
      <c r="AA945" s="25"/>
      <c r="AB945" s="25"/>
      <c r="AC945" s="25"/>
      <c r="AD945" s="168"/>
    </row>
    <row r="946" spans="18:30" ht="69.75" customHeight="1" x14ac:dyDescent="0.25">
      <c r="R946" s="25"/>
      <c r="S946" s="25"/>
      <c r="T946" s="25"/>
      <c r="U946" s="25"/>
      <c r="V946" s="25"/>
      <c r="W946" s="25"/>
      <c r="X946" s="25"/>
      <c r="Y946" s="25"/>
      <c r="Z946" s="25"/>
      <c r="AA946" s="25"/>
      <c r="AB946" s="25"/>
      <c r="AC946" s="25"/>
      <c r="AD946" s="168"/>
    </row>
    <row r="947" spans="18:30" ht="69.75" customHeight="1" x14ac:dyDescent="0.25">
      <c r="R947" s="25"/>
      <c r="S947" s="25"/>
      <c r="T947" s="25"/>
      <c r="U947" s="25"/>
      <c r="V947" s="25"/>
      <c r="W947" s="25"/>
      <c r="X947" s="25"/>
      <c r="Y947" s="25"/>
      <c r="Z947" s="25"/>
      <c r="AA947" s="25"/>
      <c r="AB947" s="25"/>
      <c r="AC947" s="25"/>
      <c r="AD947" s="168"/>
    </row>
    <row r="948" spans="18:30" ht="69.75" customHeight="1" x14ac:dyDescent="0.25">
      <c r="R948" s="25"/>
      <c r="S948" s="25"/>
      <c r="T948" s="25"/>
      <c r="U948" s="25"/>
      <c r="V948" s="25"/>
      <c r="W948" s="25"/>
      <c r="X948" s="25"/>
      <c r="Y948" s="25"/>
      <c r="Z948" s="25"/>
      <c r="AA948" s="25"/>
      <c r="AB948" s="25"/>
      <c r="AC948" s="25"/>
      <c r="AD948" s="168"/>
    </row>
    <row r="949" spans="18:30" ht="69.75" customHeight="1" x14ac:dyDescent="0.25">
      <c r="R949" s="25"/>
      <c r="S949" s="25"/>
      <c r="T949" s="25"/>
      <c r="U949" s="25"/>
      <c r="V949" s="25"/>
      <c r="W949" s="25"/>
      <c r="X949" s="25"/>
      <c r="Y949" s="25"/>
      <c r="Z949" s="25"/>
      <c r="AA949" s="25"/>
      <c r="AB949" s="25"/>
      <c r="AC949" s="25"/>
      <c r="AD949" s="168"/>
    </row>
    <row r="950" spans="18:30" ht="69.75" customHeight="1" x14ac:dyDescent="0.25">
      <c r="R950" s="25"/>
      <c r="S950" s="25"/>
      <c r="T950" s="25"/>
      <c r="U950" s="25"/>
      <c r="V950" s="25"/>
      <c r="W950" s="25"/>
      <c r="X950" s="25"/>
      <c r="Y950" s="25"/>
      <c r="Z950" s="25"/>
      <c r="AA950" s="25"/>
      <c r="AB950" s="25"/>
      <c r="AC950" s="25"/>
      <c r="AD950" s="168"/>
    </row>
    <row r="951" spans="18:30" ht="69.75" customHeight="1" x14ac:dyDescent="0.25">
      <c r="R951" s="25"/>
      <c r="S951" s="25"/>
      <c r="T951" s="25"/>
      <c r="U951" s="25"/>
      <c r="V951" s="25"/>
      <c r="W951" s="25"/>
      <c r="X951" s="25"/>
      <c r="Y951" s="25"/>
      <c r="Z951" s="25"/>
      <c r="AA951" s="25"/>
      <c r="AB951" s="25"/>
      <c r="AC951" s="25"/>
      <c r="AD951" s="168"/>
    </row>
    <row r="952" spans="18:30" ht="69.75" customHeight="1" x14ac:dyDescent="0.25">
      <c r="R952" s="25"/>
      <c r="S952" s="25"/>
      <c r="T952" s="25"/>
      <c r="U952" s="25"/>
      <c r="V952" s="25"/>
      <c r="W952" s="25"/>
      <c r="X952" s="25"/>
      <c r="Y952" s="25"/>
      <c r="Z952" s="25"/>
      <c r="AA952" s="25"/>
      <c r="AB952" s="25"/>
      <c r="AC952" s="25"/>
      <c r="AD952" s="168"/>
    </row>
    <row r="953" spans="18:30" ht="69.75" customHeight="1" x14ac:dyDescent="0.25">
      <c r="R953" s="25"/>
      <c r="S953" s="25"/>
      <c r="T953" s="25"/>
      <c r="U953" s="25"/>
      <c r="V953" s="25"/>
      <c r="W953" s="25"/>
      <c r="X953" s="25"/>
      <c r="Y953" s="25"/>
      <c r="Z953" s="25"/>
      <c r="AA953" s="25"/>
      <c r="AB953" s="25"/>
      <c r="AC953" s="25"/>
      <c r="AD953" s="168"/>
    </row>
    <row r="954" spans="18:30" ht="69.75" customHeight="1" x14ac:dyDescent="0.25">
      <c r="R954" s="25"/>
      <c r="S954" s="25"/>
      <c r="T954" s="25"/>
      <c r="U954" s="25"/>
      <c r="V954" s="25"/>
      <c r="W954" s="25"/>
      <c r="X954" s="25"/>
      <c r="Y954" s="25"/>
      <c r="Z954" s="25"/>
      <c r="AA954" s="25"/>
      <c r="AB954" s="25"/>
      <c r="AC954" s="25"/>
      <c r="AD954" s="168"/>
    </row>
    <row r="955" spans="18:30" ht="69.75" customHeight="1" x14ac:dyDescent="0.25">
      <c r="R955" s="25"/>
      <c r="S955" s="25"/>
      <c r="T955" s="25"/>
      <c r="U955" s="25"/>
      <c r="V955" s="25"/>
      <c r="W955" s="25"/>
      <c r="X955" s="25"/>
      <c r="Y955" s="25"/>
      <c r="Z955" s="25"/>
      <c r="AA955" s="25"/>
      <c r="AB955" s="25"/>
      <c r="AC955" s="25"/>
      <c r="AD955" s="168"/>
    </row>
    <row r="956" spans="18:30" ht="69.75" customHeight="1" x14ac:dyDescent="0.25">
      <c r="R956" s="25"/>
      <c r="S956" s="25"/>
      <c r="T956" s="25"/>
      <c r="U956" s="25"/>
      <c r="V956" s="25"/>
      <c r="W956" s="25"/>
      <c r="X956" s="25"/>
      <c r="Y956" s="25"/>
      <c r="Z956" s="25"/>
      <c r="AA956" s="25"/>
      <c r="AB956" s="25"/>
      <c r="AC956" s="25"/>
      <c r="AD956" s="168"/>
    </row>
    <row r="957" spans="18:30" ht="69.75" customHeight="1" x14ac:dyDescent="0.25">
      <c r="R957" s="25"/>
      <c r="S957" s="25"/>
      <c r="T957" s="25"/>
      <c r="U957" s="25"/>
      <c r="V957" s="25"/>
      <c r="W957" s="25"/>
      <c r="X957" s="25"/>
      <c r="Y957" s="25"/>
      <c r="Z957" s="25"/>
      <c r="AA957" s="25"/>
      <c r="AB957" s="25"/>
      <c r="AC957" s="25"/>
      <c r="AD957" s="168"/>
    </row>
    <row r="958" spans="18:30" ht="69.75" customHeight="1" x14ac:dyDescent="0.25">
      <c r="R958" s="25"/>
      <c r="S958" s="25"/>
      <c r="T958" s="25"/>
      <c r="U958" s="25"/>
      <c r="V958" s="25"/>
      <c r="W958" s="25"/>
      <c r="X958" s="25"/>
      <c r="Y958" s="25"/>
      <c r="Z958" s="25"/>
      <c r="AA958" s="25"/>
      <c r="AB958" s="25"/>
      <c r="AC958" s="25"/>
      <c r="AD958" s="168"/>
    </row>
    <row r="959" spans="18:30" ht="69.75" customHeight="1" x14ac:dyDescent="0.25">
      <c r="R959" s="25"/>
      <c r="S959" s="25"/>
      <c r="T959" s="25"/>
      <c r="U959" s="25"/>
      <c r="V959" s="25"/>
      <c r="W959" s="25"/>
      <c r="X959" s="25"/>
      <c r="Y959" s="25"/>
      <c r="Z959" s="25"/>
      <c r="AA959" s="25"/>
      <c r="AB959" s="25"/>
      <c r="AC959" s="25"/>
      <c r="AD959" s="168"/>
    </row>
    <row r="960" spans="18:30" ht="69.75" customHeight="1" x14ac:dyDescent="0.25">
      <c r="R960" s="25"/>
      <c r="S960" s="25"/>
      <c r="T960" s="25"/>
      <c r="U960" s="25"/>
      <c r="V960" s="25"/>
      <c r="W960" s="25"/>
      <c r="X960" s="25"/>
      <c r="Y960" s="25"/>
      <c r="Z960" s="25"/>
      <c r="AA960" s="25"/>
      <c r="AB960" s="25"/>
      <c r="AC960" s="25"/>
      <c r="AD960" s="168"/>
    </row>
    <row r="961" spans="18:30" ht="69.75" customHeight="1" x14ac:dyDescent="0.25">
      <c r="R961" s="25"/>
      <c r="S961" s="25"/>
      <c r="T961" s="25"/>
      <c r="U961" s="25"/>
      <c r="V961" s="25"/>
      <c r="W961" s="25"/>
      <c r="X961" s="25"/>
      <c r="Y961" s="25"/>
      <c r="Z961" s="25"/>
      <c r="AA961" s="25"/>
      <c r="AB961" s="25"/>
      <c r="AC961" s="25"/>
      <c r="AD961" s="168"/>
    </row>
    <row r="962" spans="18:30" ht="69.75" customHeight="1" x14ac:dyDescent="0.25">
      <c r="R962" s="25"/>
      <c r="S962" s="25"/>
      <c r="T962" s="25"/>
      <c r="U962" s="25"/>
      <c r="V962" s="25"/>
      <c r="W962" s="25"/>
      <c r="X962" s="25"/>
      <c r="Y962" s="25"/>
      <c r="Z962" s="25"/>
      <c r="AA962" s="25"/>
      <c r="AB962" s="25"/>
      <c r="AC962" s="25"/>
      <c r="AD962" s="168"/>
    </row>
    <row r="963" spans="18:30" ht="69.75" customHeight="1" x14ac:dyDescent="0.25">
      <c r="R963" s="25"/>
      <c r="S963" s="25"/>
      <c r="T963" s="25"/>
      <c r="U963" s="25"/>
      <c r="V963" s="25"/>
      <c r="W963" s="25"/>
      <c r="X963" s="25"/>
      <c r="Y963" s="25"/>
      <c r="Z963" s="25"/>
      <c r="AA963" s="25"/>
      <c r="AB963" s="25"/>
      <c r="AC963" s="25"/>
      <c r="AD963" s="168"/>
    </row>
    <row r="964" spans="18:30" ht="69.75" customHeight="1" x14ac:dyDescent="0.25">
      <c r="R964" s="25"/>
      <c r="S964" s="25"/>
      <c r="T964" s="25"/>
      <c r="U964" s="25"/>
      <c r="V964" s="25"/>
      <c r="W964" s="25"/>
      <c r="X964" s="25"/>
      <c r="Y964" s="25"/>
      <c r="Z964" s="25"/>
      <c r="AA964" s="25"/>
      <c r="AB964" s="25"/>
      <c r="AC964" s="25"/>
      <c r="AD964" s="168"/>
    </row>
    <row r="965" spans="18:30" ht="69.75" customHeight="1" x14ac:dyDescent="0.25">
      <c r="R965" s="25"/>
      <c r="S965" s="25"/>
      <c r="T965" s="25"/>
      <c r="U965" s="25"/>
      <c r="V965" s="25"/>
      <c r="W965" s="25"/>
      <c r="X965" s="25"/>
      <c r="Y965" s="25"/>
      <c r="Z965" s="25"/>
      <c r="AA965" s="25"/>
      <c r="AB965" s="25"/>
      <c r="AC965" s="25"/>
      <c r="AD965" s="168"/>
    </row>
    <row r="966" spans="18:30" ht="69.75" customHeight="1" x14ac:dyDescent="0.25">
      <c r="R966" s="25"/>
      <c r="S966" s="25"/>
      <c r="T966" s="25"/>
      <c r="U966" s="25"/>
      <c r="V966" s="25"/>
      <c r="W966" s="25"/>
      <c r="X966" s="25"/>
      <c r="Y966" s="25"/>
      <c r="Z966" s="25"/>
      <c r="AA966" s="25"/>
      <c r="AB966" s="25"/>
      <c r="AC966" s="25"/>
      <c r="AD966" s="168"/>
    </row>
    <row r="967" spans="18:30" ht="69.75" customHeight="1" x14ac:dyDescent="0.25">
      <c r="R967" s="25"/>
      <c r="S967" s="25"/>
      <c r="T967" s="25"/>
      <c r="U967" s="25"/>
      <c r="V967" s="25"/>
      <c r="W967" s="25"/>
      <c r="X967" s="25"/>
      <c r="Y967" s="25"/>
      <c r="Z967" s="25"/>
      <c r="AA967" s="25"/>
      <c r="AB967" s="25"/>
      <c r="AC967" s="25"/>
      <c r="AD967" s="168"/>
    </row>
    <row r="968" spans="18:30" ht="69.75" customHeight="1" x14ac:dyDescent="0.25">
      <c r="R968" s="25"/>
      <c r="S968" s="25"/>
      <c r="T968" s="25"/>
      <c r="U968" s="25"/>
      <c r="V968" s="25"/>
      <c r="W968" s="25"/>
      <c r="X968" s="25"/>
      <c r="Y968" s="25"/>
      <c r="Z968" s="25"/>
      <c r="AA968" s="25"/>
      <c r="AB968" s="25"/>
      <c r="AC968" s="25"/>
      <c r="AD968" s="168"/>
    </row>
    <row r="969" spans="18:30" ht="69.75" customHeight="1" x14ac:dyDescent="0.25">
      <c r="R969" s="25"/>
      <c r="S969" s="25"/>
      <c r="T969" s="25"/>
      <c r="U969" s="25"/>
      <c r="V969" s="25"/>
      <c r="W969" s="25"/>
      <c r="X969" s="25"/>
      <c r="Y969" s="25"/>
      <c r="Z969" s="25"/>
      <c r="AA969" s="25"/>
      <c r="AB969" s="25"/>
      <c r="AC969" s="25"/>
      <c r="AD969" s="168"/>
    </row>
    <row r="970" spans="18:30" ht="69.75" customHeight="1" x14ac:dyDescent="0.25">
      <c r="R970" s="25"/>
      <c r="S970" s="25"/>
      <c r="T970" s="25"/>
      <c r="U970" s="25"/>
      <c r="V970" s="25"/>
      <c r="W970" s="25"/>
      <c r="X970" s="25"/>
      <c r="Y970" s="25"/>
      <c r="Z970" s="25"/>
      <c r="AA970" s="25"/>
      <c r="AB970" s="25"/>
      <c r="AC970" s="25"/>
      <c r="AD970" s="168"/>
    </row>
    <row r="971" spans="18:30" ht="69.75" customHeight="1" x14ac:dyDescent="0.25">
      <c r="R971" s="25"/>
      <c r="S971" s="25"/>
      <c r="T971" s="25"/>
      <c r="U971" s="25"/>
      <c r="V971" s="25"/>
      <c r="W971" s="25"/>
      <c r="X971" s="25"/>
      <c r="Y971" s="25"/>
      <c r="Z971" s="25"/>
      <c r="AA971" s="25"/>
      <c r="AB971" s="25"/>
      <c r="AC971" s="25"/>
      <c r="AD971" s="168"/>
    </row>
    <row r="972" spans="18:30" ht="69.75" customHeight="1" x14ac:dyDescent="0.25">
      <c r="R972" s="25"/>
      <c r="S972" s="25"/>
      <c r="T972" s="25"/>
      <c r="U972" s="25"/>
      <c r="V972" s="25"/>
      <c r="W972" s="25"/>
      <c r="X972" s="25"/>
      <c r="Y972" s="25"/>
      <c r="Z972" s="25"/>
      <c r="AA972" s="25"/>
      <c r="AB972" s="25"/>
      <c r="AC972" s="25"/>
      <c r="AD972" s="168"/>
    </row>
    <row r="973" spans="18:30" ht="69.75" customHeight="1" x14ac:dyDescent="0.25">
      <c r="R973" s="25"/>
      <c r="S973" s="25"/>
      <c r="T973" s="25"/>
      <c r="U973" s="25"/>
      <c r="V973" s="25"/>
      <c r="W973" s="25"/>
      <c r="X973" s="25"/>
      <c r="Y973" s="25"/>
      <c r="Z973" s="25"/>
      <c r="AA973" s="25"/>
      <c r="AB973" s="25"/>
      <c r="AC973" s="25"/>
      <c r="AD973" s="168"/>
    </row>
    <row r="974" spans="18:30" ht="69.75" customHeight="1" x14ac:dyDescent="0.25">
      <c r="R974" s="25"/>
      <c r="S974" s="25"/>
      <c r="T974" s="25"/>
      <c r="U974" s="25"/>
      <c r="V974" s="25"/>
      <c r="W974" s="25"/>
      <c r="X974" s="25"/>
      <c r="Y974" s="25"/>
      <c r="Z974" s="25"/>
      <c r="AA974" s="25"/>
      <c r="AB974" s="25"/>
      <c r="AC974" s="25"/>
      <c r="AD974" s="168"/>
    </row>
    <row r="975" spans="18:30" ht="69.75" customHeight="1" x14ac:dyDescent="0.25">
      <c r="R975" s="25"/>
      <c r="S975" s="25"/>
      <c r="T975" s="25"/>
      <c r="U975" s="25"/>
      <c r="V975" s="25"/>
      <c r="W975" s="25"/>
      <c r="X975" s="25"/>
      <c r="Y975" s="25"/>
      <c r="Z975" s="25"/>
      <c r="AA975" s="25"/>
      <c r="AB975" s="25"/>
      <c r="AC975" s="25"/>
      <c r="AD975" s="168"/>
    </row>
    <row r="976" spans="18:30" ht="69.75" customHeight="1" x14ac:dyDescent="0.25">
      <c r="R976" s="25"/>
      <c r="S976" s="25"/>
      <c r="T976" s="25"/>
      <c r="U976" s="25"/>
      <c r="V976" s="25"/>
      <c r="W976" s="25"/>
      <c r="X976" s="25"/>
      <c r="Y976" s="25"/>
      <c r="Z976" s="25"/>
      <c r="AA976" s="25"/>
      <c r="AB976" s="25"/>
      <c r="AC976" s="25"/>
      <c r="AD976" s="168"/>
    </row>
    <row r="977" spans="18:30" ht="69.75" customHeight="1" x14ac:dyDescent="0.25">
      <c r="R977" s="25"/>
      <c r="S977" s="25"/>
      <c r="T977" s="25"/>
      <c r="U977" s="25"/>
      <c r="V977" s="25"/>
      <c r="W977" s="25"/>
      <c r="X977" s="25"/>
      <c r="Y977" s="25"/>
      <c r="Z977" s="25"/>
      <c r="AA977" s="25"/>
      <c r="AB977" s="25"/>
      <c r="AC977" s="25"/>
      <c r="AD977" s="168"/>
    </row>
    <row r="978" spans="18:30" ht="69.75" customHeight="1" x14ac:dyDescent="0.25">
      <c r="R978" s="25"/>
      <c r="S978" s="25"/>
      <c r="T978" s="25"/>
      <c r="U978" s="25"/>
      <c r="V978" s="25"/>
      <c r="W978" s="25"/>
      <c r="X978" s="25"/>
      <c r="Y978" s="25"/>
      <c r="Z978" s="25"/>
      <c r="AA978" s="25"/>
      <c r="AB978" s="25"/>
      <c r="AC978" s="25"/>
      <c r="AD978" s="168"/>
    </row>
    <row r="979" spans="18:30" ht="69.75" customHeight="1" x14ac:dyDescent="0.25">
      <c r="R979" s="25"/>
      <c r="S979" s="25"/>
      <c r="T979" s="25"/>
      <c r="U979" s="25"/>
      <c r="V979" s="25"/>
      <c r="W979" s="25"/>
      <c r="X979" s="25"/>
      <c r="Y979" s="25"/>
      <c r="Z979" s="25"/>
      <c r="AA979" s="25"/>
      <c r="AB979" s="25"/>
      <c r="AC979" s="25"/>
      <c r="AD979" s="168"/>
    </row>
    <row r="980" spans="18:30" ht="69.75" customHeight="1" x14ac:dyDescent="0.25">
      <c r="R980" s="25"/>
      <c r="S980" s="25"/>
      <c r="T980" s="25"/>
      <c r="U980" s="25"/>
      <c r="V980" s="25"/>
      <c r="W980" s="25"/>
      <c r="X980" s="25"/>
      <c r="Y980" s="25"/>
      <c r="Z980" s="25"/>
      <c r="AA980" s="25"/>
      <c r="AB980" s="25"/>
      <c r="AC980" s="25"/>
      <c r="AD980" s="168"/>
    </row>
    <row r="981" spans="18:30" ht="69.75" customHeight="1" x14ac:dyDescent="0.25">
      <c r="R981" s="25"/>
      <c r="S981" s="25"/>
      <c r="T981" s="25"/>
      <c r="U981" s="25"/>
      <c r="V981" s="25"/>
      <c r="W981" s="25"/>
      <c r="X981" s="25"/>
      <c r="Y981" s="25"/>
      <c r="Z981" s="25"/>
      <c r="AA981" s="25"/>
      <c r="AB981" s="25"/>
      <c r="AC981" s="25"/>
      <c r="AD981" s="168"/>
    </row>
    <row r="982" spans="18:30" ht="69.75" customHeight="1" x14ac:dyDescent="0.25">
      <c r="R982" s="25"/>
      <c r="S982" s="25"/>
      <c r="T982" s="25"/>
      <c r="U982" s="25"/>
      <c r="V982" s="25"/>
      <c r="W982" s="25"/>
      <c r="X982" s="25"/>
      <c r="Y982" s="25"/>
      <c r="Z982" s="25"/>
      <c r="AA982" s="25"/>
      <c r="AB982" s="25"/>
      <c r="AC982" s="25"/>
      <c r="AD982" s="168"/>
    </row>
    <row r="983" spans="18:30" ht="69.75" customHeight="1" x14ac:dyDescent="0.25">
      <c r="R983" s="25"/>
      <c r="S983" s="25"/>
      <c r="T983" s="25"/>
      <c r="U983" s="25"/>
      <c r="V983" s="25"/>
      <c r="W983" s="25"/>
      <c r="X983" s="25"/>
      <c r="Y983" s="25"/>
      <c r="Z983" s="25"/>
      <c r="AA983" s="25"/>
      <c r="AB983" s="25"/>
      <c r="AC983" s="25"/>
      <c r="AD983" s="168"/>
    </row>
    <row r="984" spans="18:30" ht="69.75" customHeight="1" x14ac:dyDescent="0.25">
      <c r="R984" s="25"/>
      <c r="S984" s="25"/>
      <c r="T984" s="25"/>
      <c r="U984" s="25"/>
      <c r="V984" s="25"/>
      <c r="W984" s="25"/>
      <c r="X984" s="25"/>
      <c r="Y984" s="25"/>
      <c r="Z984" s="25"/>
      <c r="AA984" s="25"/>
      <c r="AB984" s="25"/>
      <c r="AC984" s="25"/>
      <c r="AD984" s="168"/>
    </row>
    <row r="985" spans="18:30" ht="69.75" customHeight="1" x14ac:dyDescent="0.25">
      <c r="R985" s="25"/>
      <c r="S985" s="25"/>
      <c r="T985" s="25"/>
      <c r="U985" s="25"/>
      <c r="V985" s="25"/>
      <c r="W985" s="25"/>
      <c r="X985" s="25"/>
      <c r="Y985" s="25"/>
      <c r="Z985" s="25"/>
      <c r="AA985" s="25"/>
      <c r="AB985" s="25"/>
      <c r="AC985" s="25"/>
      <c r="AD985" s="168"/>
    </row>
    <row r="986" spans="18:30" ht="69.75" customHeight="1" x14ac:dyDescent="0.25">
      <c r="R986" s="25"/>
      <c r="S986" s="25"/>
      <c r="T986" s="25"/>
      <c r="U986" s="25"/>
      <c r="V986" s="25"/>
      <c r="W986" s="25"/>
      <c r="X986" s="25"/>
      <c r="Y986" s="25"/>
      <c r="Z986" s="25"/>
      <c r="AA986" s="25"/>
      <c r="AB986" s="25"/>
      <c r="AC986" s="25"/>
      <c r="AD986" s="168"/>
    </row>
    <row r="987" spans="18:30" ht="69.75" customHeight="1" x14ac:dyDescent="0.25">
      <c r="R987" s="25"/>
      <c r="S987" s="25"/>
      <c r="T987" s="25"/>
      <c r="U987" s="25"/>
      <c r="V987" s="25"/>
      <c r="W987" s="25"/>
      <c r="X987" s="25"/>
      <c r="Y987" s="25"/>
      <c r="Z987" s="25"/>
      <c r="AA987" s="25"/>
      <c r="AB987" s="25"/>
      <c r="AC987" s="25"/>
      <c r="AD987" s="168"/>
    </row>
    <row r="988" spans="18:30" ht="69.75" customHeight="1" x14ac:dyDescent="0.25">
      <c r="R988" s="25"/>
      <c r="S988" s="25"/>
      <c r="T988" s="25"/>
      <c r="U988" s="25"/>
      <c r="V988" s="25"/>
      <c r="W988" s="25"/>
      <c r="X988" s="25"/>
      <c r="Y988" s="25"/>
      <c r="Z988" s="25"/>
      <c r="AA988" s="25"/>
      <c r="AB988" s="25"/>
      <c r="AC988" s="25"/>
      <c r="AD988" s="168"/>
    </row>
    <row r="989" spans="18:30" ht="69.75" customHeight="1" x14ac:dyDescent="0.25">
      <c r="R989" s="25"/>
      <c r="S989" s="25"/>
      <c r="T989" s="25"/>
      <c r="U989" s="25"/>
      <c r="V989" s="25"/>
      <c r="W989" s="25"/>
      <c r="X989" s="25"/>
      <c r="Y989" s="25"/>
      <c r="Z989" s="25"/>
      <c r="AA989" s="25"/>
      <c r="AB989" s="25"/>
      <c r="AC989" s="25"/>
      <c r="AD989" s="168"/>
    </row>
    <row r="990" spans="18:30" ht="69.75" customHeight="1" x14ac:dyDescent="0.25">
      <c r="R990" s="25"/>
      <c r="S990" s="25"/>
      <c r="T990" s="25"/>
      <c r="U990" s="25"/>
      <c r="V990" s="25"/>
      <c r="W990" s="25"/>
      <c r="X990" s="25"/>
      <c r="Y990" s="25"/>
      <c r="Z990" s="25"/>
      <c r="AA990" s="25"/>
      <c r="AB990" s="25"/>
      <c r="AC990" s="25"/>
      <c r="AD990" s="168"/>
    </row>
    <row r="991" spans="18:30" ht="69.75" customHeight="1" x14ac:dyDescent="0.25">
      <c r="R991" s="25"/>
      <c r="S991" s="25"/>
      <c r="T991" s="25"/>
      <c r="U991" s="25"/>
      <c r="V991" s="25"/>
      <c r="W991" s="25"/>
      <c r="X991" s="25"/>
      <c r="Y991" s="25"/>
      <c r="Z991" s="25"/>
      <c r="AA991" s="25"/>
      <c r="AB991" s="25"/>
      <c r="AC991" s="25"/>
      <c r="AD991" s="168"/>
    </row>
    <row r="992" spans="18:30" ht="69.75" customHeight="1" x14ac:dyDescent="0.25">
      <c r="R992" s="25"/>
      <c r="S992" s="25"/>
      <c r="T992" s="25"/>
      <c r="U992" s="25"/>
      <c r="V992" s="25"/>
      <c r="W992" s="25"/>
      <c r="X992" s="25"/>
      <c r="Y992" s="25"/>
      <c r="Z992" s="25"/>
      <c r="AA992" s="25"/>
      <c r="AB992" s="25"/>
      <c r="AC992" s="25"/>
      <c r="AD992" s="168"/>
    </row>
    <row r="993" spans="18:30" ht="69.75" customHeight="1" x14ac:dyDescent="0.25">
      <c r="R993" s="25"/>
      <c r="S993" s="25"/>
      <c r="T993" s="25"/>
      <c r="U993" s="25"/>
      <c r="V993" s="25"/>
      <c r="W993" s="25"/>
      <c r="X993" s="25"/>
      <c r="Y993" s="25"/>
      <c r="Z993" s="25"/>
      <c r="AA993" s="25"/>
      <c r="AB993" s="25"/>
      <c r="AC993" s="25"/>
      <c r="AD993" s="168"/>
    </row>
    <row r="994" spans="18:30" ht="69.75" customHeight="1" x14ac:dyDescent="0.25">
      <c r="R994" s="25"/>
      <c r="S994" s="25"/>
      <c r="T994" s="25"/>
      <c r="U994" s="25"/>
      <c r="V994" s="25"/>
      <c r="W994" s="25"/>
      <c r="X994" s="25"/>
      <c r="Y994" s="25"/>
      <c r="Z994" s="25"/>
      <c r="AA994" s="25"/>
      <c r="AB994" s="25"/>
      <c r="AC994" s="25"/>
      <c r="AD994" s="168"/>
    </row>
    <row r="995" spans="18:30" ht="69.75" customHeight="1" x14ac:dyDescent="0.25">
      <c r="R995" s="25"/>
      <c r="S995" s="25"/>
      <c r="T995" s="25"/>
      <c r="U995" s="25"/>
      <c r="V995" s="25"/>
      <c r="W995" s="25"/>
      <c r="X995" s="25"/>
      <c r="Y995" s="25"/>
      <c r="Z995" s="25"/>
      <c r="AA995" s="25"/>
      <c r="AB995" s="25"/>
      <c r="AC995" s="25"/>
      <c r="AD995" s="168"/>
    </row>
    <row r="996" spans="18:30" ht="69.75" customHeight="1" x14ac:dyDescent="0.25">
      <c r="R996" s="25"/>
      <c r="S996" s="25"/>
      <c r="T996" s="25"/>
      <c r="U996" s="25"/>
      <c r="V996" s="25"/>
      <c r="W996" s="25"/>
      <c r="X996" s="25"/>
      <c r="Y996" s="25"/>
      <c r="Z996" s="25"/>
      <c r="AA996" s="25"/>
      <c r="AB996" s="25"/>
      <c r="AC996" s="25"/>
      <c r="AD996" s="168"/>
    </row>
    <row r="997" spans="18:30" ht="69.75" customHeight="1" x14ac:dyDescent="0.25">
      <c r="R997" s="25"/>
      <c r="S997" s="25"/>
      <c r="T997" s="25"/>
      <c r="U997" s="25"/>
      <c r="V997" s="25"/>
      <c r="W997" s="25"/>
      <c r="X997" s="25"/>
      <c r="Y997" s="25"/>
      <c r="Z997" s="25"/>
      <c r="AA997" s="25"/>
      <c r="AB997" s="25"/>
      <c r="AC997" s="25"/>
      <c r="AD997" s="168"/>
    </row>
    <row r="998" spans="18:30" ht="69.75" customHeight="1" x14ac:dyDescent="0.25">
      <c r="R998" s="25"/>
      <c r="S998" s="25"/>
      <c r="T998" s="25"/>
      <c r="U998" s="25"/>
      <c r="V998" s="25"/>
      <c r="W998" s="25"/>
      <c r="X998" s="25"/>
      <c r="Y998" s="25"/>
      <c r="Z998" s="25"/>
      <c r="AA998" s="25"/>
      <c r="AB998" s="25"/>
      <c r="AC998" s="25"/>
      <c r="AD998" s="168"/>
    </row>
    <row r="999" spans="18:30" ht="69.75" customHeight="1" x14ac:dyDescent="0.25">
      <c r="R999" s="25"/>
      <c r="S999" s="25"/>
      <c r="T999" s="25"/>
      <c r="U999" s="25"/>
      <c r="V999" s="25"/>
      <c r="W999" s="25"/>
      <c r="X999" s="25"/>
      <c r="Y999" s="25"/>
      <c r="Z999" s="25"/>
      <c r="AA999" s="25"/>
      <c r="AB999" s="25"/>
      <c r="AC999" s="25"/>
      <c r="AD999" s="168"/>
    </row>
    <row r="1000" spans="18:30" ht="69.75" customHeight="1" x14ac:dyDescent="0.25">
      <c r="R1000" s="25"/>
      <c r="S1000" s="25"/>
      <c r="T1000" s="25"/>
      <c r="U1000" s="25"/>
      <c r="V1000" s="25"/>
      <c r="W1000" s="25"/>
      <c r="X1000" s="25"/>
      <c r="Y1000" s="25"/>
      <c r="Z1000" s="25"/>
      <c r="AA1000" s="25"/>
      <c r="AB1000" s="25"/>
      <c r="AC1000" s="25"/>
      <c r="AD1000" s="168"/>
    </row>
    <row r="1001" spans="18:30" ht="69.75" customHeight="1" x14ac:dyDescent="0.25">
      <c r="R1001" s="25"/>
      <c r="S1001" s="25"/>
      <c r="T1001" s="25"/>
      <c r="U1001" s="25"/>
      <c r="V1001" s="25"/>
      <c r="W1001" s="25"/>
      <c r="X1001" s="25"/>
      <c r="Y1001" s="25"/>
      <c r="Z1001" s="25"/>
      <c r="AA1001" s="25"/>
      <c r="AB1001" s="25"/>
      <c r="AC1001" s="25"/>
      <c r="AD1001" s="168"/>
    </row>
    <row r="1002" spans="18:30" ht="69.75" customHeight="1" x14ac:dyDescent="0.25">
      <c r="R1002" s="25"/>
      <c r="S1002" s="25"/>
      <c r="T1002" s="25"/>
      <c r="U1002" s="25"/>
      <c r="V1002" s="25"/>
      <c r="W1002" s="25"/>
      <c r="X1002" s="25"/>
      <c r="Y1002" s="25"/>
      <c r="Z1002" s="25"/>
      <c r="AA1002" s="25"/>
      <c r="AB1002" s="25"/>
      <c r="AC1002" s="25"/>
      <c r="AD1002" s="168"/>
    </row>
    <row r="1003" spans="18:30" ht="69.75" customHeight="1" x14ac:dyDescent="0.25">
      <c r="R1003" s="25"/>
      <c r="S1003" s="25"/>
      <c r="T1003" s="25"/>
      <c r="U1003" s="25"/>
      <c r="V1003" s="25"/>
      <c r="W1003" s="25"/>
      <c r="X1003" s="25"/>
      <c r="Y1003" s="25"/>
      <c r="Z1003" s="25"/>
      <c r="AA1003" s="25"/>
      <c r="AB1003" s="25"/>
      <c r="AC1003" s="25"/>
      <c r="AD1003" s="168"/>
    </row>
    <row r="1004" spans="18:30" ht="69.75" customHeight="1" x14ac:dyDescent="0.25">
      <c r="R1004" s="25"/>
      <c r="S1004" s="25"/>
      <c r="T1004" s="25"/>
      <c r="U1004" s="25"/>
      <c r="V1004" s="25"/>
      <c r="W1004" s="25"/>
      <c r="X1004" s="25"/>
      <c r="Y1004" s="25"/>
      <c r="Z1004" s="25"/>
      <c r="AA1004" s="25"/>
      <c r="AB1004" s="25"/>
      <c r="AC1004" s="25"/>
      <c r="AD1004" s="168"/>
    </row>
    <row r="1005" spans="18:30" ht="69.75" customHeight="1" x14ac:dyDescent="0.25">
      <c r="R1005" s="25"/>
      <c r="S1005" s="25"/>
      <c r="T1005" s="25"/>
      <c r="U1005" s="25"/>
      <c r="V1005" s="25"/>
      <c r="W1005" s="25"/>
      <c r="X1005" s="25"/>
      <c r="Y1005" s="25"/>
      <c r="Z1005" s="25"/>
      <c r="AA1005" s="25"/>
      <c r="AB1005" s="25"/>
      <c r="AC1005" s="25"/>
      <c r="AD1005" s="168"/>
    </row>
    <row r="1006" spans="18:30" ht="69.75" customHeight="1" x14ac:dyDescent="0.25">
      <c r="R1006" s="25"/>
      <c r="S1006" s="25"/>
      <c r="T1006" s="25"/>
      <c r="U1006" s="25"/>
      <c r="V1006" s="25"/>
      <c r="W1006" s="25"/>
      <c r="X1006" s="25"/>
      <c r="Y1006" s="25"/>
      <c r="Z1006" s="25"/>
      <c r="AA1006" s="25"/>
      <c r="AB1006" s="25"/>
      <c r="AC1006" s="25"/>
      <c r="AD1006" s="168"/>
    </row>
    <row r="1007" spans="18:30" ht="69.75" customHeight="1" x14ac:dyDescent="0.25">
      <c r="R1007" s="25"/>
      <c r="S1007" s="25"/>
      <c r="T1007" s="25"/>
      <c r="U1007" s="25"/>
      <c r="V1007" s="25"/>
      <c r="W1007" s="25"/>
      <c r="X1007" s="25"/>
      <c r="Y1007" s="25"/>
      <c r="Z1007" s="25"/>
      <c r="AA1007" s="25"/>
      <c r="AB1007" s="25"/>
      <c r="AC1007" s="25"/>
      <c r="AD1007" s="168"/>
    </row>
    <row r="1008" spans="18:30" ht="69.75" customHeight="1" x14ac:dyDescent="0.25">
      <c r="R1008" s="25"/>
      <c r="S1008" s="25"/>
      <c r="T1008" s="25"/>
      <c r="U1008" s="25"/>
      <c r="V1008" s="25"/>
      <c r="W1008" s="25"/>
      <c r="X1008" s="25"/>
      <c r="Y1008" s="25"/>
      <c r="Z1008" s="25"/>
      <c r="AA1008" s="25"/>
      <c r="AB1008" s="25"/>
      <c r="AC1008" s="25"/>
      <c r="AD1008" s="168"/>
    </row>
    <row r="1009" spans="18:30" ht="69.75" customHeight="1" x14ac:dyDescent="0.25">
      <c r="R1009" s="25"/>
      <c r="S1009" s="25"/>
      <c r="T1009" s="25"/>
      <c r="U1009" s="25"/>
      <c r="V1009" s="25"/>
      <c r="W1009" s="25"/>
      <c r="X1009" s="25"/>
      <c r="Y1009" s="25"/>
      <c r="Z1009" s="25"/>
      <c r="AA1009" s="25"/>
      <c r="AB1009" s="25"/>
      <c r="AC1009" s="25"/>
      <c r="AD1009" s="168"/>
    </row>
    <row r="1010" spans="18:30" ht="69.75" customHeight="1" x14ac:dyDescent="0.25">
      <c r="R1010" s="25"/>
      <c r="S1010" s="25"/>
      <c r="T1010" s="25"/>
      <c r="U1010" s="25"/>
      <c r="V1010" s="25"/>
      <c r="W1010" s="25"/>
      <c r="X1010" s="25"/>
      <c r="Y1010" s="25"/>
      <c r="Z1010" s="25"/>
      <c r="AA1010" s="25"/>
      <c r="AB1010" s="25"/>
      <c r="AC1010" s="25"/>
      <c r="AD1010" s="168"/>
    </row>
    <row r="1011" spans="18:30" ht="69.75" customHeight="1" x14ac:dyDescent="0.25">
      <c r="R1011" s="25"/>
      <c r="S1011" s="25"/>
      <c r="T1011" s="25"/>
      <c r="U1011" s="25"/>
      <c r="V1011" s="25"/>
      <c r="W1011" s="25"/>
      <c r="X1011" s="25"/>
      <c r="Y1011" s="25"/>
      <c r="Z1011" s="25"/>
      <c r="AA1011" s="25"/>
      <c r="AB1011" s="25"/>
      <c r="AC1011" s="25"/>
      <c r="AD1011" s="168"/>
    </row>
    <row r="1012" spans="18:30" ht="69.75" customHeight="1" x14ac:dyDescent="0.25">
      <c r="R1012" s="25"/>
      <c r="S1012" s="25"/>
      <c r="T1012" s="25"/>
      <c r="U1012" s="25"/>
      <c r="V1012" s="25"/>
      <c r="W1012" s="25"/>
      <c r="X1012" s="25"/>
      <c r="Y1012" s="25"/>
      <c r="Z1012" s="25"/>
      <c r="AA1012" s="25"/>
      <c r="AB1012" s="25"/>
      <c r="AC1012" s="25"/>
      <c r="AD1012" s="168"/>
    </row>
    <row r="1013" spans="18:30" ht="69.75" customHeight="1" x14ac:dyDescent="0.25">
      <c r="R1013" s="25"/>
      <c r="S1013" s="25"/>
      <c r="T1013" s="25"/>
      <c r="U1013" s="25"/>
      <c r="V1013" s="25"/>
      <c r="W1013" s="25"/>
      <c r="X1013" s="25"/>
      <c r="Y1013" s="25"/>
      <c r="Z1013" s="25"/>
      <c r="AA1013" s="25"/>
      <c r="AB1013" s="25"/>
      <c r="AC1013" s="25"/>
      <c r="AD1013" s="168"/>
    </row>
    <row r="1014" spans="18:30" ht="69.75" customHeight="1" x14ac:dyDescent="0.25">
      <c r="R1014" s="25"/>
      <c r="S1014" s="25"/>
      <c r="T1014" s="25"/>
      <c r="U1014" s="25"/>
      <c r="V1014" s="25"/>
      <c r="W1014" s="25"/>
      <c r="X1014" s="25"/>
      <c r="Y1014" s="25"/>
      <c r="Z1014" s="25"/>
      <c r="AA1014" s="25"/>
      <c r="AB1014" s="25"/>
      <c r="AC1014" s="25"/>
      <c r="AD1014" s="168"/>
    </row>
    <row r="1015" spans="18:30" ht="69.75" customHeight="1" x14ac:dyDescent="0.25">
      <c r="R1015" s="25"/>
      <c r="S1015" s="25"/>
      <c r="T1015" s="25"/>
      <c r="U1015" s="25"/>
      <c r="V1015" s="25"/>
      <c r="W1015" s="25"/>
      <c r="X1015" s="25"/>
      <c r="Y1015" s="25"/>
      <c r="Z1015" s="25"/>
      <c r="AA1015" s="25"/>
      <c r="AB1015" s="25"/>
      <c r="AC1015" s="25"/>
      <c r="AD1015" s="168"/>
    </row>
    <row r="1016" spans="18:30" ht="69.75" customHeight="1" x14ac:dyDescent="0.25">
      <c r="R1016" s="25"/>
      <c r="S1016" s="25"/>
      <c r="T1016" s="25"/>
      <c r="U1016" s="25"/>
      <c r="V1016" s="25"/>
      <c r="W1016" s="25"/>
      <c r="X1016" s="25"/>
      <c r="Y1016" s="25"/>
      <c r="Z1016" s="25"/>
      <c r="AA1016" s="25"/>
      <c r="AB1016" s="25"/>
      <c r="AC1016" s="25"/>
      <c r="AD1016" s="168"/>
    </row>
    <row r="1017" spans="18:30" ht="69.75" customHeight="1" x14ac:dyDescent="0.25">
      <c r="R1017" s="25"/>
      <c r="S1017" s="25"/>
      <c r="T1017" s="25"/>
      <c r="U1017" s="25"/>
      <c r="V1017" s="25"/>
      <c r="W1017" s="25"/>
      <c r="X1017" s="25"/>
      <c r="Y1017" s="25"/>
      <c r="Z1017" s="25"/>
      <c r="AA1017" s="25"/>
      <c r="AB1017" s="25"/>
      <c r="AC1017" s="25"/>
      <c r="AD1017" s="168"/>
    </row>
    <row r="1018" spans="18:30" ht="69.75" customHeight="1" x14ac:dyDescent="0.25">
      <c r="R1018" s="25"/>
      <c r="S1018" s="25"/>
      <c r="T1018" s="25"/>
      <c r="U1018" s="25"/>
      <c r="V1018" s="25"/>
      <c r="W1018" s="25"/>
      <c r="X1018" s="25"/>
      <c r="Y1018" s="25"/>
      <c r="Z1018" s="25"/>
      <c r="AA1018" s="25"/>
      <c r="AB1018" s="25"/>
      <c r="AC1018" s="25"/>
      <c r="AD1018" s="168"/>
    </row>
    <row r="1019" spans="18:30" ht="69.75" customHeight="1" x14ac:dyDescent="0.25">
      <c r="R1019" s="25"/>
      <c r="S1019" s="25"/>
      <c r="T1019" s="25"/>
      <c r="U1019" s="25"/>
      <c r="V1019" s="25"/>
      <c r="W1019" s="25"/>
      <c r="X1019" s="25"/>
      <c r="Y1019" s="25"/>
      <c r="Z1019" s="25"/>
      <c r="AA1019" s="25"/>
      <c r="AB1019" s="25"/>
      <c r="AC1019" s="25"/>
      <c r="AD1019" s="168"/>
    </row>
    <row r="1020" spans="18:30" ht="69.75" customHeight="1" x14ac:dyDescent="0.25">
      <c r="R1020" s="25"/>
      <c r="S1020" s="25"/>
      <c r="T1020" s="25"/>
      <c r="U1020" s="25"/>
      <c r="V1020" s="25"/>
      <c r="W1020" s="25"/>
      <c r="X1020" s="25"/>
      <c r="Y1020" s="25"/>
      <c r="Z1020" s="25"/>
      <c r="AA1020" s="25"/>
      <c r="AB1020" s="25"/>
      <c r="AC1020" s="25"/>
      <c r="AD1020" s="168"/>
    </row>
    <row r="1021" spans="18:30" ht="69.75" customHeight="1" x14ac:dyDescent="0.25">
      <c r="R1021" s="25"/>
      <c r="S1021" s="25"/>
      <c r="T1021" s="25"/>
      <c r="U1021" s="25"/>
      <c r="V1021" s="25"/>
      <c r="W1021" s="25"/>
      <c r="X1021" s="25"/>
      <c r="Y1021" s="25"/>
      <c r="Z1021" s="25"/>
      <c r="AA1021" s="25"/>
      <c r="AB1021" s="25"/>
      <c r="AC1021" s="25"/>
      <c r="AD1021" s="168"/>
    </row>
    <row r="1022" spans="18:30" ht="69.75" customHeight="1" x14ac:dyDescent="0.25">
      <c r="R1022" s="25"/>
      <c r="S1022" s="25"/>
      <c r="T1022" s="25"/>
      <c r="U1022" s="25"/>
      <c r="V1022" s="25"/>
      <c r="W1022" s="25"/>
      <c r="X1022" s="25"/>
      <c r="Y1022" s="25"/>
      <c r="Z1022" s="25"/>
      <c r="AA1022" s="25"/>
      <c r="AB1022" s="25"/>
      <c r="AC1022" s="25"/>
      <c r="AD1022" s="168"/>
    </row>
    <row r="1023" spans="18:30" ht="69.75" customHeight="1" x14ac:dyDescent="0.25">
      <c r="R1023" s="25"/>
      <c r="S1023" s="25"/>
      <c r="T1023" s="25"/>
      <c r="U1023" s="25"/>
      <c r="V1023" s="25"/>
      <c r="W1023" s="25"/>
      <c r="X1023" s="25"/>
      <c r="Y1023" s="25"/>
      <c r="Z1023" s="25"/>
      <c r="AA1023" s="25"/>
      <c r="AB1023" s="25"/>
      <c r="AC1023" s="25"/>
      <c r="AD1023" s="168"/>
    </row>
    <row r="1024" spans="18:30" ht="69.75" customHeight="1" x14ac:dyDescent="0.25">
      <c r="R1024" s="25"/>
      <c r="S1024" s="25"/>
      <c r="T1024" s="25"/>
      <c r="U1024" s="25"/>
      <c r="V1024" s="25"/>
      <c r="W1024" s="25"/>
      <c r="X1024" s="25"/>
      <c r="Y1024" s="25"/>
      <c r="Z1024" s="25"/>
      <c r="AA1024" s="25"/>
      <c r="AB1024" s="25"/>
      <c r="AC1024" s="25"/>
      <c r="AD1024" s="168"/>
    </row>
    <row r="1025" spans="18:30" ht="69.75" customHeight="1" x14ac:dyDescent="0.25">
      <c r="R1025" s="25"/>
      <c r="S1025" s="25"/>
      <c r="T1025" s="25"/>
      <c r="U1025" s="25"/>
      <c r="V1025" s="25"/>
      <c r="W1025" s="25"/>
      <c r="X1025" s="25"/>
      <c r="Y1025" s="25"/>
      <c r="Z1025" s="25"/>
      <c r="AA1025" s="25"/>
      <c r="AB1025" s="25"/>
      <c r="AC1025" s="25"/>
      <c r="AD1025" s="168"/>
    </row>
    <row r="1026" spans="18:30" ht="69.75" customHeight="1" x14ac:dyDescent="0.25">
      <c r="R1026" s="25"/>
      <c r="S1026" s="25"/>
      <c r="T1026" s="25"/>
      <c r="U1026" s="25"/>
      <c r="V1026" s="25"/>
      <c r="W1026" s="25"/>
      <c r="X1026" s="25"/>
      <c r="Y1026" s="25"/>
      <c r="Z1026" s="25"/>
      <c r="AA1026" s="25"/>
      <c r="AB1026" s="25"/>
      <c r="AC1026" s="25"/>
      <c r="AD1026" s="168"/>
    </row>
    <row r="1027" spans="18:30" ht="69.75" customHeight="1" x14ac:dyDescent="0.25">
      <c r="R1027" s="25"/>
      <c r="S1027" s="25"/>
      <c r="T1027" s="25"/>
      <c r="U1027" s="25"/>
      <c r="V1027" s="25"/>
      <c r="W1027" s="25"/>
      <c r="X1027" s="25"/>
      <c r="Y1027" s="25"/>
      <c r="Z1027" s="25"/>
      <c r="AA1027" s="25"/>
      <c r="AB1027" s="25"/>
      <c r="AC1027" s="25"/>
      <c r="AD1027" s="168"/>
    </row>
    <row r="1028" spans="18:30" ht="69.75" customHeight="1" x14ac:dyDescent="0.25">
      <c r="R1028" s="25"/>
      <c r="S1028" s="25"/>
      <c r="T1028" s="25"/>
      <c r="U1028" s="25"/>
      <c r="V1028" s="25"/>
      <c r="W1028" s="25"/>
      <c r="X1028" s="25"/>
      <c r="Y1028" s="25"/>
      <c r="Z1028" s="25"/>
      <c r="AA1028" s="25"/>
      <c r="AB1028" s="25"/>
      <c r="AC1028" s="25"/>
      <c r="AD1028" s="168"/>
    </row>
    <row r="1029" spans="18:30" ht="69.75" customHeight="1" x14ac:dyDescent="0.25">
      <c r="R1029" s="25"/>
      <c r="S1029" s="25"/>
      <c r="T1029" s="25"/>
      <c r="U1029" s="25"/>
      <c r="V1029" s="25"/>
      <c r="W1029" s="25"/>
      <c r="X1029" s="25"/>
      <c r="Y1029" s="25"/>
      <c r="Z1029" s="25"/>
      <c r="AA1029" s="25"/>
      <c r="AB1029" s="25"/>
      <c r="AC1029" s="25"/>
      <c r="AD1029" s="168"/>
    </row>
    <row r="1030" spans="18:30" ht="69.75" customHeight="1" x14ac:dyDescent="0.25">
      <c r="R1030" s="25"/>
      <c r="S1030" s="25"/>
      <c r="T1030" s="25"/>
      <c r="U1030" s="25"/>
      <c r="V1030" s="25"/>
      <c r="W1030" s="25"/>
      <c r="X1030" s="25"/>
      <c r="Y1030" s="25"/>
      <c r="Z1030" s="25"/>
      <c r="AA1030" s="25"/>
      <c r="AB1030" s="25"/>
      <c r="AC1030" s="25"/>
      <c r="AD1030" s="168"/>
    </row>
    <row r="1031" spans="18:30" ht="69.75" customHeight="1" x14ac:dyDescent="0.25">
      <c r="R1031" s="25"/>
      <c r="S1031" s="25"/>
      <c r="T1031" s="25"/>
      <c r="U1031" s="25"/>
      <c r="V1031" s="25"/>
      <c r="W1031" s="25"/>
      <c r="X1031" s="25"/>
      <c r="Y1031" s="25"/>
      <c r="Z1031" s="25"/>
      <c r="AA1031" s="25"/>
      <c r="AB1031" s="25"/>
      <c r="AC1031" s="25"/>
      <c r="AD1031" s="168"/>
    </row>
    <row r="1032" spans="18:30" ht="69.75" customHeight="1" x14ac:dyDescent="0.25">
      <c r="R1032" s="25"/>
      <c r="S1032" s="25"/>
      <c r="T1032" s="25"/>
      <c r="U1032" s="25"/>
      <c r="V1032" s="25"/>
      <c r="W1032" s="25"/>
      <c r="X1032" s="25"/>
      <c r="Y1032" s="25"/>
      <c r="Z1032" s="25"/>
      <c r="AA1032" s="25"/>
      <c r="AB1032" s="25"/>
      <c r="AC1032" s="25"/>
      <c r="AD1032" s="168"/>
    </row>
    <row r="1033" spans="18:30" ht="69.75" customHeight="1" x14ac:dyDescent="0.25">
      <c r="R1033" s="25"/>
      <c r="S1033" s="25"/>
      <c r="T1033" s="25"/>
      <c r="U1033" s="25"/>
      <c r="V1033" s="25"/>
      <c r="W1033" s="25"/>
      <c r="X1033" s="25"/>
      <c r="Y1033" s="25"/>
      <c r="Z1033" s="25"/>
      <c r="AA1033" s="25"/>
      <c r="AB1033" s="25"/>
      <c r="AC1033" s="25"/>
      <c r="AD1033" s="168"/>
    </row>
    <row r="1034" spans="18:30" ht="69.75" customHeight="1" x14ac:dyDescent="0.25">
      <c r="R1034" s="25"/>
      <c r="S1034" s="25"/>
      <c r="T1034" s="25"/>
      <c r="U1034" s="25"/>
      <c r="V1034" s="25"/>
      <c r="W1034" s="25"/>
      <c r="X1034" s="25"/>
      <c r="Y1034" s="25"/>
      <c r="Z1034" s="25"/>
      <c r="AA1034" s="25"/>
      <c r="AB1034" s="25"/>
      <c r="AC1034" s="25"/>
      <c r="AD1034" s="168"/>
    </row>
    <row r="1035" spans="18:30" ht="69.75" customHeight="1" x14ac:dyDescent="0.25">
      <c r="R1035" s="25"/>
      <c r="S1035" s="25"/>
      <c r="T1035" s="25"/>
      <c r="U1035" s="25"/>
      <c r="V1035" s="25"/>
      <c r="W1035" s="25"/>
      <c r="X1035" s="25"/>
      <c r="Y1035" s="25"/>
      <c r="Z1035" s="25"/>
      <c r="AA1035" s="25"/>
      <c r="AB1035" s="25"/>
      <c r="AC1035" s="25"/>
      <c r="AD1035" s="168"/>
    </row>
    <row r="1036" spans="18:30" ht="69.75" customHeight="1" x14ac:dyDescent="0.25">
      <c r="R1036" s="25"/>
      <c r="S1036" s="25"/>
      <c r="T1036" s="25"/>
      <c r="U1036" s="25"/>
      <c r="V1036" s="25"/>
      <c r="W1036" s="25"/>
      <c r="X1036" s="25"/>
      <c r="Y1036" s="25"/>
      <c r="Z1036" s="25"/>
      <c r="AA1036" s="25"/>
      <c r="AB1036" s="25"/>
      <c r="AC1036" s="25"/>
      <c r="AD1036" s="168"/>
    </row>
    <row r="1037" spans="18:30" ht="69.75" customHeight="1" x14ac:dyDescent="0.25">
      <c r="R1037" s="25"/>
      <c r="S1037" s="25"/>
      <c r="T1037" s="25"/>
      <c r="U1037" s="25"/>
      <c r="V1037" s="25"/>
      <c r="W1037" s="25"/>
      <c r="X1037" s="25"/>
      <c r="Y1037" s="25"/>
      <c r="Z1037" s="25"/>
      <c r="AA1037" s="25"/>
      <c r="AB1037" s="25"/>
      <c r="AC1037" s="25"/>
      <c r="AD1037" s="168"/>
    </row>
    <row r="1038" spans="18:30" ht="69.75" customHeight="1" x14ac:dyDescent="0.25">
      <c r="R1038" s="25"/>
      <c r="S1038" s="25"/>
      <c r="T1038" s="25"/>
      <c r="U1038" s="25"/>
      <c r="V1038" s="25"/>
      <c r="W1038" s="25"/>
      <c r="X1038" s="25"/>
      <c r="Y1038" s="25"/>
      <c r="Z1038" s="25"/>
      <c r="AA1038" s="25"/>
      <c r="AB1038" s="25"/>
      <c r="AC1038" s="25"/>
      <c r="AD1038" s="168"/>
    </row>
    <row r="1039" spans="18:30" ht="69.75" customHeight="1" x14ac:dyDescent="0.25">
      <c r="R1039" s="25"/>
      <c r="S1039" s="25"/>
      <c r="T1039" s="25"/>
      <c r="U1039" s="25"/>
      <c r="V1039" s="25"/>
      <c r="W1039" s="25"/>
      <c r="X1039" s="25"/>
      <c r="Y1039" s="25"/>
      <c r="Z1039" s="25"/>
      <c r="AA1039" s="25"/>
      <c r="AB1039" s="25"/>
      <c r="AC1039" s="25"/>
      <c r="AD1039" s="168"/>
    </row>
    <row r="1040" spans="18:30" ht="69.75" customHeight="1" x14ac:dyDescent="0.25">
      <c r="R1040" s="25"/>
      <c r="S1040" s="25"/>
      <c r="T1040" s="25"/>
      <c r="U1040" s="25"/>
      <c r="V1040" s="25"/>
      <c r="W1040" s="25"/>
      <c r="X1040" s="25"/>
      <c r="Y1040" s="25"/>
      <c r="Z1040" s="25"/>
      <c r="AA1040" s="25"/>
      <c r="AB1040" s="25"/>
      <c r="AC1040" s="25"/>
      <c r="AD1040" s="168"/>
    </row>
    <row r="1041" spans="18:30" ht="69.75" customHeight="1" x14ac:dyDescent="0.25">
      <c r="R1041" s="25"/>
      <c r="S1041" s="25"/>
      <c r="T1041" s="25"/>
      <c r="U1041" s="25"/>
      <c r="V1041" s="25"/>
      <c r="W1041" s="25"/>
      <c r="X1041" s="25"/>
      <c r="Y1041" s="25"/>
      <c r="Z1041" s="25"/>
      <c r="AA1041" s="25"/>
      <c r="AB1041" s="25"/>
      <c r="AC1041" s="25"/>
      <c r="AD1041" s="168"/>
    </row>
    <row r="1042" spans="18:30" ht="69.75" customHeight="1" x14ac:dyDescent="0.25">
      <c r="R1042" s="25"/>
      <c r="S1042" s="25"/>
      <c r="T1042" s="25"/>
      <c r="U1042" s="25"/>
      <c r="V1042" s="25"/>
      <c r="W1042" s="25"/>
      <c r="X1042" s="25"/>
      <c r="Y1042" s="25"/>
      <c r="Z1042" s="25"/>
      <c r="AA1042" s="25"/>
      <c r="AB1042" s="25"/>
      <c r="AC1042" s="25"/>
      <c r="AD1042" s="168"/>
    </row>
    <row r="1043" spans="18:30" ht="69.75" customHeight="1" x14ac:dyDescent="0.25">
      <c r="R1043" s="25"/>
      <c r="S1043" s="25"/>
      <c r="T1043" s="25"/>
      <c r="U1043" s="25"/>
      <c r="V1043" s="25"/>
      <c r="W1043" s="25"/>
      <c r="X1043" s="25"/>
      <c r="Y1043" s="25"/>
      <c r="Z1043" s="25"/>
      <c r="AA1043" s="25"/>
      <c r="AB1043" s="25"/>
      <c r="AC1043" s="25"/>
      <c r="AD1043" s="168"/>
    </row>
    <row r="1044" spans="18:30" ht="69.75" customHeight="1" x14ac:dyDescent="0.25">
      <c r="R1044" s="25"/>
      <c r="S1044" s="25"/>
      <c r="T1044" s="25"/>
      <c r="U1044" s="25"/>
      <c r="V1044" s="25"/>
      <c r="W1044" s="25"/>
      <c r="X1044" s="25"/>
      <c r="Y1044" s="25"/>
      <c r="Z1044" s="25"/>
      <c r="AA1044" s="25"/>
      <c r="AB1044" s="25"/>
      <c r="AC1044" s="25"/>
      <c r="AD1044" s="168"/>
    </row>
    <row r="1045" spans="18:30" ht="69.75" customHeight="1" x14ac:dyDescent="0.25">
      <c r="R1045" s="25"/>
      <c r="S1045" s="25"/>
      <c r="T1045" s="25"/>
      <c r="U1045" s="25"/>
      <c r="V1045" s="25"/>
      <c r="W1045" s="25"/>
      <c r="X1045" s="25"/>
      <c r="Y1045" s="25"/>
      <c r="Z1045" s="25"/>
      <c r="AA1045" s="25"/>
      <c r="AB1045" s="25"/>
      <c r="AC1045" s="25"/>
      <c r="AD1045" s="168"/>
    </row>
    <row r="1046" spans="18:30" ht="69.75" customHeight="1" x14ac:dyDescent="0.25">
      <c r="R1046" s="25"/>
      <c r="S1046" s="25"/>
      <c r="T1046" s="25"/>
      <c r="U1046" s="25"/>
      <c r="V1046" s="25"/>
      <c r="W1046" s="25"/>
      <c r="X1046" s="25"/>
      <c r="Y1046" s="25"/>
      <c r="Z1046" s="25"/>
      <c r="AA1046" s="25"/>
      <c r="AB1046" s="25"/>
      <c r="AC1046" s="25"/>
      <c r="AD1046" s="168"/>
    </row>
    <row r="1047" spans="18:30" ht="69.75" customHeight="1" x14ac:dyDescent="0.25">
      <c r="R1047" s="25"/>
      <c r="S1047" s="25"/>
      <c r="T1047" s="25"/>
      <c r="U1047" s="25"/>
      <c r="V1047" s="25"/>
      <c r="W1047" s="25"/>
      <c r="X1047" s="25"/>
      <c r="Y1047" s="25"/>
      <c r="Z1047" s="25"/>
      <c r="AA1047" s="25"/>
      <c r="AB1047" s="25"/>
      <c r="AC1047" s="25"/>
      <c r="AD1047" s="168"/>
    </row>
    <row r="1048" spans="18:30" ht="69.75" customHeight="1" x14ac:dyDescent="0.25">
      <c r="R1048" s="25"/>
      <c r="S1048" s="25"/>
      <c r="T1048" s="25"/>
      <c r="U1048" s="25"/>
      <c r="V1048" s="25"/>
      <c r="W1048" s="25"/>
      <c r="X1048" s="25"/>
      <c r="Y1048" s="25"/>
      <c r="Z1048" s="25"/>
      <c r="AA1048" s="25"/>
      <c r="AB1048" s="25"/>
      <c r="AC1048" s="25"/>
      <c r="AD1048" s="168"/>
    </row>
    <row r="1049" spans="18:30" ht="69.75" customHeight="1" x14ac:dyDescent="0.25">
      <c r="R1049" s="25"/>
      <c r="S1049" s="25"/>
      <c r="T1049" s="25"/>
      <c r="U1049" s="25"/>
      <c r="V1049" s="25"/>
      <c r="W1049" s="25"/>
      <c r="X1049" s="25"/>
      <c r="Y1049" s="25"/>
      <c r="Z1049" s="25"/>
      <c r="AA1049" s="25"/>
      <c r="AB1049" s="25"/>
      <c r="AC1049" s="25"/>
      <c r="AD1049" s="168"/>
    </row>
    <row r="1050" spans="18:30" ht="69.75" customHeight="1" x14ac:dyDescent="0.25">
      <c r="R1050" s="25"/>
      <c r="S1050" s="25"/>
      <c r="T1050" s="25"/>
      <c r="U1050" s="25"/>
      <c r="V1050" s="25"/>
      <c r="W1050" s="25"/>
      <c r="X1050" s="25"/>
      <c r="Y1050" s="25"/>
      <c r="Z1050" s="25"/>
      <c r="AA1050" s="25"/>
      <c r="AB1050" s="25"/>
      <c r="AC1050" s="25"/>
      <c r="AD1050" s="168"/>
    </row>
    <row r="1051" spans="18:30" ht="69.75" customHeight="1" x14ac:dyDescent="0.25">
      <c r="R1051" s="25"/>
      <c r="S1051" s="25"/>
      <c r="T1051" s="25"/>
      <c r="U1051" s="25"/>
      <c r="V1051" s="25"/>
      <c r="W1051" s="25"/>
      <c r="X1051" s="25"/>
      <c r="Y1051" s="25"/>
      <c r="Z1051" s="25"/>
      <c r="AA1051" s="25"/>
      <c r="AB1051" s="25"/>
      <c r="AC1051" s="25"/>
      <c r="AD1051" s="168"/>
    </row>
    <row r="1052" spans="18:30" ht="69.75" customHeight="1" x14ac:dyDescent="0.25">
      <c r="R1052" s="25"/>
      <c r="S1052" s="25"/>
      <c r="T1052" s="25"/>
      <c r="U1052" s="25"/>
      <c r="V1052" s="25"/>
      <c r="W1052" s="25"/>
      <c r="X1052" s="25"/>
      <c r="Y1052" s="25"/>
      <c r="Z1052" s="25"/>
      <c r="AA1052" s="25"/>
      <c r="AB1052" s="25"/>
      <c r="AC1052" s="25"/>
      <c r="AD1052" s="168"/>
    </row>
    <row r="1053" spans="18:30" ht="69.75" customHeight="1" x14ac:dyDescent="0.25">
      <c r="R1053" s="25"/>
      <c r="S1053" s="25"/>
      <c r="T1053" s="25"/>
      <c r="U1053" s="25"/>
      <c r="V1053" s="25"/>
      <c r="W1053" s="25"/>
      <c r="X1053" s="25"/>
      <c r="Y1053" s="25"/>
      <c r="Z1053" s="25"/>
      <c r="AA1053" s="25"/>
      <c r="AB1053" s="25"/>
      <c r="AC1053" s="25"/>
      <c r="AD1053" s="168"/>
    </row>
    <row r="1054" spans="18:30" ht="69.75" customHeight="1" x14ac:dyDescent="0.25">
      <c r="R1054" s="25"/>
      <c r="S1054" s="25"/>
      <c r="T1054" s="25"/>
      <c r="U1054" s="25"/>
      <c r="V1054" s="25"/>
      <c r="W1054" s="25"/>
      <c r="X1054" s="25"/>
      <c r="Y1054" s="25"/>
      <c r="Z1054" s="25"/>
      <c r="AA1054" s="25"/>
      <c r="AB1054" s="25"/>
      <c r="AC1054" s="25"/>
      <c r="AD1054" s="168"/>
    </row>
    <row r="1055" spans="18:30" ht="69.75" customHeight="1" x14ac:dyDescent="0.25">
      <c r="R1055" s="25"/>
      <c r="S1055" s="25"/>
      <c r="T1055" s="25"/>
      <c r="U1055" s="25"/>
      <c r="V1055" s="25"/>
      <c r="W1055" s="25"/>
      <c r="X1055" s="25"/>
      <c r="Y1055" s="25"/>
      <c r="Z1055" s="25"/>
      <c r="AA1055" s="25"/>
      <c r="AB1055" s="25"/>
      <c r="AC1055" s="25"/>
      <c r="AD1055" s="168"/>
    </row>
    <row r="1056" spans="18:30" ht="69.75" customHeight="1" x14ac:dyDescent="0.25">
      <c r="R1056" s="25"/>
      <c r="S1056" s="25"/>
      <c r="T1056" s="25"/>
      <c r="U1056" s="25"/>
      <c r="V1056" s="25"/>
      <c r="W1056" s="25"/>
      <c r="X1056" s="25"/>
      <c r="Y1056" s="25"/>
      <c r="Z1056" s="25"/>
      <c r="AA1056" s="25"/>
      <c r="AB1056" s="25"/>
      <c r="AC1056" s="25"/>
      <c r="AD1056" s="168"/>
    </row>
    <row r="1057" spans="18:30" ht="69.75" customHeight="1" x14ac:dyDescent="0.25">
      <c r="R1057" s="25"/>
      <c r="S1057" s="25"/>
      <c r="T1057" s="25"/>
      <c r="U1057" s="25"/>
      <c r="V1057" s="25"/>
      <c r="W1057" s="25"/>
      <c r="X1057" s="25"/>
      <c r="Y1057" s="25"/>
      <c r="Z1057" s="25"/>
      <c r="AA1057" s="25"/>
      <c r="AB1057" s="25"/>
      <c r="AC1057" s="25"/>
      <c r="AD1057" s="168"/>
    </row>
    <row r="1058" spans="18:30" ht="69.75" customHeight="1" x14ac:dyDescent="0.25">
      <c r="R1058" s="25"/>
      <c r="S1058" s="25"/>
      <c r="T1058" s="25"/>
      <c r="U1058" s="25"/>
      <c r="V1058" s="25"/>
      <c r="W1058" s="25"/>
      <c r="X1058" s="25"/>
      <c r="Y1058" s="25"/>
      <c r="Z1058" s="25"/>
      <c r="AA1058" s="25"/>
      <c r="AB1058" s="25"/>
      <c r="AC1058" s="25"/>
      <c r="AD1058" s="168"/>
    </row>
    <row r="1059" spans="18:30" ht="69.75" customHeight="1" x14ac:dyDescent="0.25">
      <c r="R1059" s="25"/>
      <c r="S1059" s="25"/>
      <c r="T1059" s="25"/>
      <c r="U1059" s="25"/>
      <c r="V1059" s="25"/>
      <c r="W1059" s="25"/>
      <c r="X1059" s="25"/>
      <c r="Y1059" s="25"/>
      <c r="Z1059" s="25"/>
      <c r="AA1059" s="25"/>
      <c r="AB1059" s="25"/>
      <c r="AC1059" s="25"/>
      <c r="AD1059" s="168"/>
    </row>
    <row r="1060" spans="18:30" ht="69.75" customHeight="1" x14ac:dyDescent="0.25">
      <c r="R1060" s="25"/>
      <c r="S1060" s="25"/>
      <c r="T1060" s="25"/>
      <c r="U1060" s="25"/>
      <c r="V1060" s="25"/>
      <c r="W1060" s="25"/>
      <c r="X1060" s="25"/>
      <c r="Y1060" s="25"/>
      <c r="Z1060" s="25"/>
      <c r="AA1060" s="25"/>
      <c r="AB1060" s="25"/>
      <c r="AC1060" s="25"/>
      <c r="AD1060" s="168"/>
    </row>
    <row r="1061" spans="18:30" ht="69.75" customHeight="1" x14ac:dyDescent="0.25">
      <c r="R1061" s="25"/>
      <c r="S1061" s="25"/>
      <c r="T1061" s="25"/>
      <c r="U1061" s="25"/>
      <c r="V1061" s="25"/>
      <c r="W1061" s="25"/>
      <c r="X1061" s="25"/>
      <c r="Y1061" s="25"/>
      <c r="Z1061" s="25"/>
      <c r="AA1061" s="25"/>
      <c r="AB1061" s="25"/>
      <c r="AC1061" s="25"/>
      <c r="AD1061" s="168"/>
    </row>
    <row r="1062" spans="18:30" ht="69.75" customHeight="1" x14ac:dyDescent="0.25">
      <c r="R1062" s="25"/>
      <c r="S1062" s="25"/>
      <c r="T1062" s="25"/>
      <c r="U1062" s="25"/>
      <c r="V1062" s="25"/>
      <c r="W1062" s="25"/>
      <c r="X1062" s="25"/>
      <c r="Y1062" s="25"/>
      <c r="Z1062" s="25"/>
      <c r="AA1062" s="25"/>
      <c r="AB1062" s="25"/>
      <c r="AC1062" s="25"/>
      <c r="AD1062" s="168"/>
    </row>
    <row r="1063" spans="18:30" ht="69.75" customHeight="1" x14ac:dyDescent="0.25">
      <c r="R1063" s="25"/>
      <c r="S1063" s="25"/>
      <c r="T1063" s="25"/>
      <c r="U1063" s="25"/>
      <c r="V1063" s="25"/>
      <c r="W1063" s="25"/>
      <c r="X1063" s="25"/>
      <c r="Y1063" s="25"/>
      <c r="Z1063" s="25"/>
      <c r="AA1063" s="25"/>
      <c r="AB1063" s="25"/>
      <c r="AC1063" s="25"/>
      <c r="AD1063" s="168"/>
    </row>
    <row r="1064" spans="18:30" ht="69.75" customHeight="1" x14ac:dyDescent="0.25">
      <c r="R1064" s="25"/>
      <c r="S1064" s="25"/>
      <c r="T1064" s="25"/>
      <c r="U1064" s="25"/>
      <c r="V1064" s="25"/>
      <c r="W1064" s="25"/>
      <c r="X1064" s="25"/>
      <c r="Y1064" s="25"/>
      <c r="Z1064" s="25"/>
      <c r="AA1064" s="25"/>
      <c r="AB1064" s="25"/>
      <c r="AC1064" s="25"/>
      <c r="AD1064" s="168"/>
    </row>
    <row r="1065" spans="18:30" ht="69.75" customHeight="1" x14ac:dyDescent="0.25">
      <c r="R1065" s="25"/>
      <c r="S1065" s="25"/>
      <c r="T1065" s="25"/>
      <c r="U1065" s="25"/>
      <c r="V1065" s="25"/>
      <c r="W1065" s="25"/>
      <c r="X1065" s="25"/>
      <c r="Y1065" s="25"/>
      <c r="Z1065" s="25"/>
      <c r="AA1065" s="25"/>
      <c r="AB1065" s="25"/>
      <c r="AC1065" s="25"/>
      <c r="AD1065" s="168"/>
    </row>
    <row r="1066" spans="18:30" ht="69.75" customHeight="1" x14ac:dyDescent="0.25">
      <c r="R1066" s="25"/>
      <c r="S1066" s="25"/>
      <c r="T1066" s="25"/>
      <c r="U1066" s="25"/>
      <c r="V1066" s="25"/>
      <c r="W1066" s="25"/>
      <c r="X1066" s="25"/>
      <c r="Y1066" s="25"/>
      <c r="Z1066" s="25"/>
      <c r="AA1066" s="25"/>
      <c r="AB1066" s="25"/>
      <c r="AC1066" s="25"/>
      <c r="AD1066" s="168"/>
    </row>
    <row r="1067" spans="18:30" ht="69.75" customHeight="1" x14ac:dyDescent="0.25">
      <c r="R1067" s="25"/>
      <c r="S1067" s="25"/>
      <c r="T1067" s="25"/>
      <c r="U1067" s="25"/>
      <c r="V1067" s="25"/>
      <c r="W1067" s="25"/>
      <c r="X1067" s="25"/>
      <c r="Y1067" s="25"/>
      <c r="Z1067" s="25"/>
      <c r="AA1067" s="25"/>
      <c r="AB1067" s="25"/>
      <c r="AC1067" s="25"/>
      <c r="AD1067" s="168"/>
    </row>
    <row r="1068" spans="18:30" ht="69.75" customHeight="1" x14ac:dyDescent="0.25">
      <c r="R1068" s="25"/>
      <c r="S1068" s="25"/>
      <c r="T1068" s="25"/>
      <c r="U1068" s="25"/>
      <c r="V1068" s="25"/>
      <c r="W1068" s="25"/>
      <c r="X1068" s="25"/>
      <c r="Y1068" s="25"/>
      <c r="Z1068" s="25"/>
      <c r="AA1068" s="25"/>
      <c r="AB1068" s="25"/>
      <c r="AC1068" s="25"/>
      <c r="AD1068" s="168"/>
    </row>
    <row r="1069" spans="18:30" ht="69.75" customHeight="1" x14ac:dyDescent="0.25">
      <c r="R1069" s="25"/>
      <c r="S1069" s="25"/>
      <c r="T1069" s="25"/>
      <c r="U1069" s="25"/>
      <c r="V1069" s="25"/>
      <c r="W1069" s="25"/>
      <c r="X1069" s="25"/>
      <c r="Y1069" s="25"/>
      <c r="Z1069" s="25"/>
      <c r="AA1069" s="25"/>
      <c r="AB1069" s="25"/>
      <c r="AC1069" s="25"/>
      <c r="AD1069" s="168"/>
    </row>
    <row r="1070" spans="18:30" ht="69.75" customHeight="1" x14ac:dyDescent="0.25">
      <c r="R1070" s="25"/>
      <c r="S1070" s="25"/>
      <c r="T1070" s="25"/>
      <c r="U1070" s="25"/>
      <c r="V1070" s="25"/>
      <c r="W1070" s="25"/>
      <c r="X1070" s="25"/>
      <c r="Y1070" s="25"/>
      <c r="Z1070" s="25"/>
      <c r="AA1070" s="25"/>
      <c r="AB1070" s="25"/>
      <c r="AC1070" s="25"/>
      <c r="AD1070" s="168"/>
    </row>
    <row r="1071" spans="18:30" ht="69.75" customHeight="1" x14ac:dyDescent="0.25">
      <c r="R1071" s="25"/>
      <c r="S1071" s="25"/>
      <c r="T1071" s="25"/>
      <c r="U1071" s="25"/>
      <c r="V1071" s="25"/>
      <c r="W1071" s="25"/>
      <c r="X1071" s="25"/>
      <c r="Y1071" s="25"/>
      <c r="Z1071" s="25"/>
      <c r="AA1071" s="25"/>
      <c r="AB1071" s="25"/>
      <c r="AC1071" s="25"/>
      <c r="AD1071" s="168"/>
    </row>
    <row r="1072" spans="18:30" ht="69.75" customHeight="1" x14ac:dyDescent="0.25">
      <c r="R1072" s="25"/>
      <c r="S1072" s="25"/>
      <c r="T1072" s="25"/>
      <c r="U1072" s="25"/>
      <c r="V1072" s="25"/>
      <c r="W1072" s="25"/>
      <c r="X1072" s="25"/>
      <c r="Y1072" s="25"/>
      <c r="Z1072" s="25"/>
      <c r="AA1072" s="25"/>
      <c r="AB1072" s="25"/>
      <c r="AC1072" s="25"/>
      <c r="AD1072" s="168"/>
    </row>
    <row r="1073" spans="18:30" ht="69.75" customHeight="1" x14ac:dyDescent="0.25">
      <c r="R1073" s="25"/>
      <c r="S1073" s="25"/>
      <c r="T1073" s="25"/>
      <c r="U1073" s="25"/>
      <c r="V1073" s="25"/>
      <c r="W1073" s="25"/>
      <c r="X1073" s="25"/>
      <c r="Y1073" s="25"/>
      <c r="Z1073" s="25"/>
      <c r="AA1073" s="25"/>
      <c r="AB1073" s="25"/>
      <c r="AC1073" s="25"/>
      <c r="AD1073" s="168"/>
    </row>
    <row r="1074" spans="18:30" ht="69.75" customHeight="1" x14ac:dyDescent="0.25">
      <c r="R1074" s="25"/>
      <c r="S1074" s="25"/>
      <c r="T1074" s="25"/>
      <c r="U1074" s="25"/>
      <c r="V1074" s="25"/>
      <c r="W1074" s="25"/>
      <c r="X1074" s="25"/>
      <c r="Y1074" s="25"/>
      <c r="Z1074" s="25"/>
      <c r="AA1074" s="25"/>
      <c r="AB1074" s="25"/>
      <c r="AC1074" s="25"/>
      <c r="AD1074" s="168"/>
    </row>
    <row r="1075" spans="18:30" ht="69.75" customHeight="1" x14ac:dyDescent="0.25">
      <c r="R1075" s="25"/>
      <c r="S1075" s="25"/>
      <c r="T1075" s="25"/>
      <c r="U1075" s="25"/>
      <c r="V1075" s="25"/>
      <c r="W1075" s="25"/>
      <c r="X1075" s="25"/>
      <c r="Y1075" s="25"/>
      <c r="Z1075" s="25"/>
      <c r="AA1075" s="25"/>
      <c r="AB1075" s="25"/>
      <c r="AC1075" s="25"/>
      <c r="AD1075" s="168"/>
    </row>
    <row r="1076" spans="18:30" ht="69.75" customHeight="1" x14ac:dyDescent="0.25">
      <c r="R1076" s="25"/>
      <c r="S1076" s="25"/>
      <c r="T1076" s="25"/>
      <c r="U1076" s="25"/>
      <c r="V1076" s="25"/>
      <c r="W1076" s="25"/>
      <c r="X1076" s="25"/>
      <c r="Y1076" s="25"/>
      <c r="Z1076" s="25"/>
      <c r="AA1076" s="25"/>
      <c r="AB1076" s="25"/>
      <c r="AC1076" s="25"/>
      <c r="AD1076" s="168"/>
    </row>
    <row r="1077" spans="18:30" ht="69.75" customHeight="1" x14ac:dyDescent="0.25">
      <c r="R1077" s="25"/>
      <c r="S1077" s="25"/>
      <c r="T1077" s="25"/>
      <c r="U1077" s="25"/>
      <c r="V1077" s="25"/>
      <c r="W1077" s="25"/>
      <c r="X1077" s="25"/>
      <c r="Y1077" s="25"/>
      <c r="Z1077" s="25"/>
      <c r="AA1077" s="25"/>
      <c r="AB1077" s="25"/>
      <c r="AC1077" s="25"/>
      <c r="AD1077" s="168"/>
    </row>
    <row r="1078" spans="18:30" ht="69.75" customHeight="1" x14ac:dyDescent="0.25">
      <c r="R1078" s="25"/>
      <c r="S1078" s="25"/>
      <c r="T1078" s="25"/>
      <c r="U1078" s="25"/>
      <c r="V1078" s="25"/>
      <c r="W1078" s="25"/>
      <c r="X1078" s="25"/>
      <c r="Y1078" s="25"/>
      <c r="Z1078" s="25"/>
      <c r="AA1078" s="25"/>
      <c r="AB1078" s="25"/>
      <c r="AC1078" s="25"/>
      <c r="AD1078" s="168"/>
    </row>
    <row r="1079" spans="18:30" ht="69.75" customHeight="1" x14ac:dyDescent="0.25">
      <c r="R1079" s="25"/>
      <c r="S1079" s="25"/>
      <c r="T1079" s="25"/>
      <c r="U1079" s="25"/>
      <c r="V1079" s="25"/>
      <c r="W1079" s="25"/>
      <c r="X1079" s="25"/>
      <c r="Y1079" s="25"/>
      <c r="Z1079" s="25"/>
      <c r="AA1079" s="25"/>
      <c r="AB1079" s="25"/>
      <c r="AC1079" s="25"/>
      <c r="AD1079" s="168"/>
    </row>
    <row r="1080" spans="18:30" ht="69.75" customHeight="1" x14ac:dyDescent="0.25">
      <c r="R1080" s="25"/>
      <c r="S1080" s="25"/>
      <c r="T1080" s="25"/>
      <c r="U1080" s="25"/>
      <c r="V1080" s="25"/>
      <c r="W1080" s="25"/>
      <c r="X1080" s="25"/>
      <c r="Y1080" s="25"/>
      <c r="Z1080" s="25"/>
      <c r="AA1080" s="25"/>
      <c r="AB1080" s="25"/>
      <c r="AC1080" s="25"/>
      <c r="AD1080" s="168"/>
    </row>
    <row r="1081" spans="18:30" ht="69.75" customHeight="1" x14ac:dyDescent="0.25">
      <c r="R1081" s="25"/>
      <c r="S1081" s="25"/>
      <c r="T1081" s="25"/>
      <c r="U1081" s="25"/>
      <c r="V1081" s="25"/>
      <c r="W1081" s="25"/>
      <c r="X1081" s="25"/>
      <c r="Y1081" s="25"/>
      <c r="Z1081" s="25"/>
      <c r="AA1081" s="25"/>
      <c r="AB1081" s="25"/>
      <c r="AC1081" s="25"/>
      <c r="AD1081" s="168"/>
    </row>
    <row r="1082" spans="18:30" ht="69.75" customHeight="1" x14ac:dyDescent="0.25">
      <c r="R1082" s="25"/>
      <c r="S1082" s="25"/>
      <c r="T1082" s="25"/>
      <c r="U1082" s="25"/>
      <c r="V1082" s="25"/>
      <c r="W1082" s="25"/>
      <c r="X1082" s="25"/>
      <c r="Y1082" s="25"/>
      <c r="Z1082" s="25"/>
      <c r="AA1082" s="25"/>
      <c r="AB1082" s="25"/>
      <c r="AC1082" s="25"/>
      <c r="AD1082" s="168"/>
    </row>
    <row r="1083" spans="18:30" ht="69.75" customHeight="1" x14ac:dyDescent="0.25">
      <c r="R1083" s="25"/>
      <c r="S1083" s="25"/>
      <c r="T1083" s="25"/>
      <c r="U1083" s="25"/>
      <c r="V1083" s="25"/>
      <c r="W1083" s="25"/>
      <c r="X1083" s="25"/>
      <c r="Y1083" s="25"/>
      <c r="Z1083" s="25"/>
      <c r="AA1083" s="25"/>
      <c r="AB1083" s="25"/>
      <c r="AC1083" s="25"/>
      <c r="AD1083" s="168"/>
    </row>
    <row r="1084" spans="18:30" ht="69.75" customHeight="1" x14ac:dyDescent="0.25">
      <c r="R1084" s="25"/>
      <c r="S1084" s="25"/>
      <c r="T1084" s="25"/>
      <c r="U1084" s="25"/>
      <c r="V1084" s="25"/>
      <c r="W1084" s="25"/>
      <c r="X1084" s="25"/>
      <c r="Y1084" s="25"/>
      <c r="Z1084" s="25"/>
      <c r="AA1084" s="25"/>
      <c r="AB1084" s="25"/>
      <c r="AC1084" s="25"/>
      <c r="AD1084" s="168"/>
    </row>
    <row r="1085" spans="18:30" ht="69.75" customHeight="1" x14ac:dyDescent="0.25">
      <c r="R1085" s="25"/>
      <c r="S1085" s="25"/>
      <c r="T1085" s="25"/>
      <c r="U1085" s="25"/>
      <c r="V1085" s="25"/>
      <c r="W1085" s="25"/>
      <c r="X1085" s="25"/>
      <c r="Y1085" s="25"/>
      <c r="Z1085" s="25"/>
      <c r="AA1085" s="25"/>
      <c r="AB1085" s="25"/>
      <c r="AC1085" s="25"/>
      <c r="AD1085" s="168"/>
    </row>
    <row r="1086" spans="18:30" ht="69.75" customHeight="1" x14ac:dyDescent="0.25">
      <c r="R1086" s="25"/>
      <c r="S1086" s="25"/>
      <c r="T1086" s="25"/>
      <c r="U1086" s="25"/>
      <c r="V1086" s="25"/>
      <c r="W1086" s="25"/>
      <c r="X1086" s="25"/>
      <c r="Y1086" s="25"/>
      <c r="Z1086" s="25"/>
      <c r="AA1086" s="25"/>
      <c r="AB1086" s="25"/>
      <c r="AC1086" s="25"/>
      <c r="AD1086" s="168"/>
    </row>
    <row r="1087" spans="18:30" ht="69.75" customHeight="1" x14ac:dyDescent="0.25">
      <c r="R1087" s="25"/>
      <c r="S1087" s="25"/>
      <c r="T1087" s="25"/>
      <c r="U1087" s="25"/>
      <c r="V1087" s="25"/>
      <c r="W1087" s="25"/>
      <c r="X1087" s="25"/>
      <c r="Y1087" s="25"/>
      <c r="Z1087" s="25"/>
      <c r="AA1087" s="25"/>
      <c r="AB1087" s="25"/>
      <c r="AC1087" s="25"/>
      <c r="AD1087" s="168"/>
    </row>
    <row r="1088" spans="18:30" ht="69.75" customHeight="1" x14ac:dyDescent="0.25">
      <c r="R1088" s="25"/>
      <c r="S1088" s="25"/>
      <c r="T1088" s="25"/>
      <c r="U1088" s="25"/>
      <c r="V1088" s="25"/>
      <c r="W1088" s="25"/>
      <c r="X1088" s="25"/>
      <c r="Y1088" s="25"/>
      <c r="Z1088" s="25"/>
      <c r="AA1088" s="25"/>
      <c r="AB1088" s="25"/>
      <c r="AC1088" s="25"/>
      <c r="AD1088" s="168"/>
    </row>
    <row r="1089" spans="18:30" ht="69.75" customHeight="1" x14ac:dyDescent="0.25">
      <c r="R1089" s="25"/>
      <c r="S1089" s="25"/>
      <c r="T1089" s="25"/>
      <c r="U1089" s="25"/>
      <c r="V1089" s="25"/>
      <c r="W1089" s="25"/>
      <c r="X1089" s="25"/>
      <c r="Y1089" s="25"/>
      <c r="Z1089" s="25"/>
      <c r="AA1089" s="25"/>
      <c r="AB1089" s="25"/>
      <c r="AC1089" s="25"/>
      <c r="AD1089" s="168"/>
    </row>
    <row r="1090" spans="18:30" ht="69.75" customHeight="1" x14ac:dyDescent="0.25">
      <c r="R1090" s="25"/>
      <c r="S1090" s="25"/>
      <c r="T1090" s="25"/>
      <c r="U1090" s="25"/>
      <c r="V1090" s="25"/>
      <c r="W1090" s="25"/>
      <c r="X1090" s="25"/>
      <c r="Y1090" s="25"/>
      <c r="Z1090" s="25"/>
      <c r="AA1090" s="25"/>
      <c r="AB1090" s="25"/>
      <c r="AC1090" s="25"/>
      <c r="AD1090" s="168"/>
    </row>
    <row r="1091" spans="18:30" ht="69.75" customHeight="1" x14ac:dyDescent="0.25">
      <c r="R1091" s="25"/>
      <c r="S1091" s="25"/>
      <c r="T1091" s="25"/>
      <c r="U1091" s="25"/>
      <c r="V1091" s="25"/>
      <c r="W1091" s="25"/>
      <c r="X1091" s="25"/>
      <c r="Y1091" s="25"/>
      <c r="Z1091" s="25"/>
      <c r="AA1091" s="25"/>
      <c r="AB1091" s="25"/>
      <c r="AC1091" s="25"/>
      <c r="AD1091" s="168"/>
    </row>
    <row r="1092" spans="18:30" ht="69.75" customHeight="1" x14ac:dyDescent="0.25">
      <c r="R1092" s="25"/>
      <c r="S1092" s="25"/>
      <c r="T1092" s="25"/>
      <c r="U1092" s="25"/>
      <c r="V1092" s="25"/>
      <c r="W1092" s="25"/>
      <c r="X1092" s="25"/>
      <c r="Y1092" s="25"/>
      <c r="Z1092" s="25"/>
      <c r="AA1092" s="25"/>
      <c r="AB1092" s="25"/>
      <c r="AC1092" s="25"/>
      <c r="AD1092" s="168"/>
    </row>
    <row r="1093" spans="18:30" ht="69.75" customHeight="1" x14ac:dyDescent="0.25">
      <c r="R1093" s="25"/>
      <c r="S1093" s="25"/>
      <c r="T1093" s="25"/>
      <c r="U1093" s="25"/>
      <c r="V1093" s="25"/>
      <c r="W1093" s="25"/>
      <c r="X1093" s="25"/>
      <c r="Y1093" s="25"/>
      <c r="Z1093" s="25"/>
      <c r="AA1093" s="25"/>
      <c r="AB1093" s="25"/>
      <c r="AC1093" s="25"/>
      <c r="AD1093" s="168"/>
    </row>
    <row r="1094" spans="18:30" ht="69.75" customHeight="1" x14ac:dyDescent="0.25">
      <c r="R1094" s="25"/>
      <c r="S1094" s="25"/>
      <c r="T1094" s="25"/>
      <c r="U1094" s="25"/>
      <c r="V1094" s="25"/>
      <c r="W1094" s="25"/>
      <c r="X1094" s="25"/>
      <c r="Y1094" s="25"/>
      <c r="Z1094" s="25"/>
      <c r="AA1094" s="25"/>
      <c r="AB1094" s="25"/>
      <c r="AC1094" s="25"/>
      <c r="AD1094" s="168"/>
    </row>
    <row r="1095" spans="18:30" ht="69.75" customHeight="1" x14ac:dyDescent="0.25">
      <c r="R1095" s="25"/>
      <c r="S1095" s="25"/>
      <c r="T1095" s="25"/>
      <c r="U1095" s="25"/>
      <c r="V1095" s="25"/>
      <c r="W1095" s="25"/>
      <c r="X1095" s="25"/>
      <c r="Y1095" s="25"/>
      <c r="Z1095" s="25"/>
      <c r="AA1095" s="25"/>
      <c r="AB1095" s="25"/>
      <c r="AC1095" s="25"/>
      <c r="AD1095" s="168"/>
    </row>
    <row r="1096" spans="18:30" ht="69.75" customHeight="1" x14ac:dyDescent="0.25">
      <c r="R1096" s="25"/>
      <c r="S1096" s="25"/>
      <c r="T1096" s="25"/>
      <c r="U1096" s="25"/>
      <c r="V1096" s="25"/>
      <c r="W1096" s="25"/>
      <c r="X1096" s="25"/>
      <c r="Y1096" s="25"/>
      <c r="Z1096" s="25"/>
      <c r="AA1096" s="25"/>
      <c r="AB1096" s="25"/>
      <c r="AC1096" s="25"/>
      <c r="AD1096" s="168"/>
    </row>
    <row r="1097" spans="18:30" ht="69.75" customHeight="1" x14ac:dyDescent="0.25">
      <c r="R1097" s="25"/>
      <c r="S1097" s="25"/>
      <c r="T1097" s="25"/>
      <c r="U1097" s="25"/>
      <c r="V1097" s="25"/>
      <c r="W1097" s="25"/>
      <c r="X1097" s="25"/>
      <c r="Y1097" s="25"/>
      <c r="Z1097" s="25"/>
      <c r="AA1097" s="25"/>
      <c r="AB1097" s="25"/>
      <c r="AC1097" s="25"/>
      <c r="AD1097" s="168"/>
    </row>
    <row r="1098" spans="18:30" ht="69.75" customHeight="1" x14ac:dyDescent="0.25">
      <c r="R1098" s="25"/>
      <c r="S1098" s="25"/>
      <c r="T1098" s="25"/>
      <c r="U1098" s="25"/>
      <c r="V1098" s="25"/>
      <c r="W1098" s="25"/>
      <c r="X1098" s="25"/>
      <c r="Y1098" s="25"/>
      <c r="Z1098" s="25"/>
      <c r="AA1098" s="25"/>
      <c r="AB1098" s="25"/>
      <c r="AC1098" s="25"/>
      <c r="AD1098" s="168"/>
    </row>
    <row r="1099" spans="18:30" ht="69.75" customHeight="1" x14ac:dyDescent="0.25">
      <c r="R1099" s="25"/>
      <c r="S1099" s="25"/>
      <c r="T1099" s="25"/>
      <c r="U1099" s="25"/>
      <c r="V1099" s="25"/>
      <c r="W1099" s="25"/>
      <c r="X1099" s="25"/>
      <c r="Y1099" s="25"/>
      <c r="Z1099" s="25"/>
      <c r="AA1099" s="25"/>
      <c r="AB1099" s="25"/>
      <c r="AC1099" s="25"/>
      <c r="AD1099" s="168"/>
    </row>
    <row r="1100" spans="18:30" ht="69.75" customHeight="1" x14ac:dyDescent="0.25">
      <c r="R1100" s="25"/>
      <c r="S1100" s="25"/>
      <c r="T1100" s="25"/>
      <c r="U1100" s="25"/>
      <c r="V1100" s="25"/>
      <c r="W1100" s="25"/>
      <c r="X1100" s="25"/>
      <c r="Y1100" s="25"/>
      <c r="Z1100" s="25"/>
      <c r="AA1100" s="25"/>
      <c r="AB1100" s="25"/>
      <c r="AC1100" s="25"/>
      <c r="AD1100" s="168"/>
    </row>
    <row r="1101" spans="18:30" ht="69.75" customHeight="1" x14ac:dyDescent="0.25">
      <c r="R1101" s="25"/>
      <c r="S1101" s="25"/>
      <c r="T1101" s="25"/>
      <c r="U1101" s="25"/>
      <c r="V1101" s="25"/>
      <c r="W1101" s="25"/>
      <c r="X1101" s="25"/>
      <c r="Y1101" s="25"/>
      <c r="Z1101" s="25"/>
      <c r="AA1101" s="25"/>
      <c r="AB1101" s="25"/>
      <c r="AC1101" s="25"/>
      <c r="AD1101" s="168"/>
    </row>
    <row r="1102" spans="18:30" ht="69.75" customHeight="1" x14ac:dyDescent="0.25">
      <c r="R1102" s="25"/>
      <c r="S1102" s="25"/>
      <c r="T1102" s="25"/>
      <c r="U1102" s="25"/>
      <c r="V1102" s="25"/>
      <c r="W1102" s="25"/>
      <c r="X1102" s="25"/>
      <c r="Y1102" s="25"/>
      <c r="Z1102" s="25"/>
      <c r="AA1102" s="25"/>
      <c r="AB1102" s="25"/>
      <c r="AC1102" s="25"/>
      <c r="AD1102" s="168"/>
    </row>
    <row r="1103" spans="18:30" ht="69.75" customHeight="1" x14ac:dyDescent="0.25">
      <c r="R1103" s="25"/>
      <c r="S1103" s="25"/>
      <c r="T1103" s="25"/>
      <c r="U1103" s="25"/>
      <c r="V1103" s="25"/>
      <c r="W1103" s="25"/>
      <c r="X1103" s="25"/>
      <c r="Y1103" s="25"/>
      <c r="Z1103" s="25"/>
      <c r="AA1103" s="25"/>
      <c r="AB1103" s="25"/>
      <c r="AC1103" s="25"/>
      <c r="AD1103" s="168"/>
    </row>
    <row r="1104" spans="18:30" ht="69.75" customHeight="1" x14ac:dyDescent="0.25">
      <c r="R1104" s="25"/>
      <c r="S1104" s="25"/>
      <c r="T1104" s="25"/>
      <c r="U1104" s="25"/>
      <c r="V1104" s="25"/>
      <c r="W1104" s="25"/>
      <c r="X1104" s="25"/>
      <c r="Y1104" s="25"/>
      <c r="Z1104" s="25"/>
      <c r="AA1104" s="25"/>
      <c r="AB1104" s="25"/>
      <c r="AC1104" s="25"/>
      <c r="AD1104" s="168"/>
    </row>
    <row r="1105" spans="18:30" ht="69.75" customHeight="1" x14ac:dyDescent="0.25">
      <c r="R1105" s="25"/>
      <c r="S1105" s="25"/>
      <c r="T1105" s="25"/>
      <c r="U1105" s="25"/>
      <c r="V1105" s="25"/>
      <c r="W1105" s="25"/>
      <c r="X1105" s="25"/>
      <c r="Y1105" s="25"/>
      <c r="Z1105" s="25"/>
      <c r="AA1105" s="25"/>
      <c r="AB1105" s="25"/>
      <c r="AC1105" s="25"/>
      <c r="AD1105" s="168"/>
    </row>
    <row r="1106" spans="18:30" ht="69.75" customHeight="1" x14ac:dyDescent="0.25">
      <c r="R1106" s="25"/>
      <c r="S1106" s="25"/>
      <c r="T1106" s="25"/>
      <c r="U1106" s="25"/>
      <c r="V1106" s="25"/>
      <c r="W1106" s="25"/>
      <c r="X1106" s="25"/>
      <c r="Y1106" s="25"/>
      <c r="Z1106" s="25"/>
      <c r="AA1106" s="25"/>
      <c r="AB1106" s="25"/>
      <c r="AC1106" s="25"/>
      <c r="AD1106" s="168"/>
    </row>
    <row r="1107" spans="18:30" ht="69.75" customHeight="1" x14ac:dyDescent="0.25">
      <c r="R1107" s="25"/>
      <c r="S1107" s="25"/>
      <c r="T1107" s="25"/>
      <c r="U1107" s="25"/>
      <c r="V1107" s="25"/>
      <c r="W1107" s="25"/>
      <c r="X1107" s="25"/>
      <c r="Y1107" s="25"/>
      <c r="Z1107" s="25"/>
      <c r="AA1107" s="25"/>
      <c r="AB1107" s="25"/>
      <c r="AC1107" s="25"/>
      <c r="AD1107" s="168"/>
    </row>
    <row r="1108" spans="18:30" ht="69.75" customHeight="1" x14ac:dyDescent="0.25">
      <c r="R1108" s="25"/>
      <c r="S1108" s="25"/>
      <c r="T1108" s="25"/>
      <c r="U1108" s="25"/>
      <c r="V1108" s="25"/>
      <c r="W1108" s="25"/>
      <c r="X1108" s="25"/>
      <c r="Y1108" s="25"/>
      <c r="Z1108" s="25"/>
      <c r="AA1108" s="25"/>
      <c r="AB1108" s="25"/>
      <c r="AC1108" s="25"/>
      <c r="AD1108" s="168"/>
    </row>
    <row r="1109" spans="18:30" ht="69.75" customHeight="1" x14ac:dyDescent="0.25">
      <c r="R1109" s="25"/>
      <c r="S1109" s="25"/>
      <c r="T1109" s="25"/>
      <c r="U1109" s="25"/>
      <c r="V1109" s="25"/>
      <c r="W1109" s="25"/>
      <c r="X1109" s="25"/>
      <c r="Y1109" s="25"/>
      <c r="Z1109" s="25"/>
      <c r="AA1109" s="25"/>
      <c r="AB1109" s="25"/>
      <c r="AC1109" s="25"/>
      <c r="AD1109" s="168"/>
    </row>
    <row r="1110" spans="18:30" ht="69.75" customHeight="1" x14ac:dyDescent="0.25">
      <c r="R1110" s="25"/>
      <c r="S1110" s="25"/>
      <c r="T1110" s="25"/>
      <c r="U1110" s="25"/>
      <c r="V1110" s="25"/>
      <c r="W1110" s="25"/>
      <c r="X1110" s="25"/>
      <c r="Y1110" s="25"/>
      <c r="Z1110" s="25"/>
      <c r="AA1110" s="25"/>
      <c r="AB1110" s="25"/>
      <c r="AC1110" s="25"/>
      <c r="AD1110" s="168"/>
    </row>
    <row r="1111" spans="18:30" ht="69.75" customHeight="1" x14ac:dyDescent="0.25">
      <c r="R1111" s="25"/>
      <c r="S1111" s="25"/>
      <c r="T1111" s="25"/>
      <c r="U1111" s="25"/>
      <c r="V1111" s="25"/>
      <c r="W1111" s="25"/>
      <c r="X1111" s="25"/>
      <c r="Y1111" s="25"/>
      <c r="Z1111" s="25"/>
      <c r="AA1111" s="25"/>
      <c r="AB1111" s="25"/>
      <c r="AC1111" s="25"/>
      <c r="AD1111" s="168"/>
    </row>
    <row r="1112" spans="18:30" ht="69.75" customHeight="1" x14ac:dyDescent="0.25">
      <c r="R1112" s="25"/>
      <c r="S1112" s="25"/>
      <c r="T1112" s="25"/>
      <c r="U1112" s="25"/>
      <c r="V1112" s="25"/>
      <c r="W1112" s="25"/>
      <c r="X1112" s="25"/>
      <c r="Y1112" s="25"/>
      <c r="Z1112" s="25"/>
      <c r="AA1112" s="25"/>
      <c r="AB1112" s="25"/>
      <c r="AC1112" s="25"/>
      <c r="AD1112" s="168"/>
    </row>
    <row r="1113" spans="18:30" ht="69.75" customHeight="1" x14ac:dyDescent="0.25">
      <c r="R1113" s="25"/>
      <c r="S1113" s="25"/>
      <c r="T1113" s="25"/>
      <c r="U1113" s="25"/>
      <c r="V1113" s="25"/>
      <c r="W1113" s="25"/>
      <c r="X1113" s="25"/>
      <c r="Y1113" s="25"/>
      <c r="Z1113" s="25"/>
      <c r="AA1113" s="25"/>
      <c r="AB1113" s="25"/>
      <c r="AC1113" s="25"/>
      <c r="AD1113" s="168"/>
    </row>
    <row r="1114" spans="18:30" ht="69.75" customHeight="1" x14ac:dyDescent="0.25">
      <c r="R1114" s="25"/>
      <c r="S1114" s="25"/>
      <c r="T1114" s="25"/>
      <c r="U1114" s="25"/>
      <c r="V1114" s="25"/>
      <c r="W1114" s="25"/>
      <c r="X1114" s="25"/>
      <c r="Y1114" s="25"/>
      <c r="Z1114" s="25"/>
      <c r="AA1114" s="25"/>
      <c r="AB1114" s="25"/>
      <c r="AC1114" s="25"/>
      <c r="AD1114" s="168"/>
    </row>
    <row r="1115" spans="18:30" ht="69.75" customHeight="1" x14ac:dyDescent="0.25">
      <c r="R1115" s="25"/>
      <c r="S1115" s="25"/>
      <c r="T1115" s="25"/>
      <c r="U1115" s="25"/>
      <c r="V1115" s="25"/>
      <c r="W1115" s="25"/>
      <c r="X1115" s="25"/>
      <c r="Y1115" s="25"/>
      <c r="Z1115" s="25"/>
      <c r="AA1115" s="25"/>
      <c r="AB1115" s="25"/>
      <c r="AC1115" s="25"/>
      <c r="AD1115" s="168"/>
    </row>
    <row r="1116" spans="18:30" ht="69.75" customHeight="1" x14ac:dyDescent="0.25">
      <c r="R1116" s="25"/>
      <c r="S1116" s="25"/>
      <c r="T1116" s="25"/>
      <c r="U1116" s="25"/>
      <c r="V1116" s="25"/>
      <c r="W1116" s="25"/>
      <c r="X1116" s="25"/>
      <c r="Y1116" s="25"/>
      <c r="Z1116" s="25"/>
      <c r="AA1116" s="25"/>
      <c r="AB1116" s="25"/>
      <c r="AC1116" s="25"/>
      <c r="AD1116" s="168"/>
    </row>
    <row r="1117" spans="18:30" ht="69.75" customHeight="1" x14ac:dyDescent="0.25">
      <c r="R1117" s="25"/>
      <c r="S1117" s="25"/>
      <c r="T1117" s="25"/>
      <c r="U1117" s="25"/>
      <c r="V1117" s="25"/>
      <c r="W1117" s="25"/>
      <c r="X1117" s="25"/>
      <c r="Y1117" s="25"/>
      <c r="Z1117" s="25"/>
      <c r="AA1117" s="25"/>
      <c r="AB1117" s="25"/>
      <c r="AC1117" s="25"/>
      <c r="AD1117" s="168"/>
    </row>
    <row r="1118" spans="18:30" ht="69.75" customHeight="1" x14ac:dyDescent="0.25">
      <c r="R1118" s="25"/>
      <c r="S1118" s="25"/>
      <c r="T1118" s="25"/>
      <c r="U1118" s="25"/>
      <c r="V1118" s="25"/>
      <c r="W1118" s="25"/>
      <c r="X1118" s="25"/>
      <c r="Y1118" s="25"/>
      <c r="Z1118" s="25"/>
      <c r="AA1118" s="25"/>
      <c r="AB1118" s="25"/>
      <c r="AC1118" s="25"/>
      <c r="AD1118" s="168"/>
    </row>
    <row r="1119" spans="18:30" ht="69.75" customHeight="1" x14ac:dyDescent="0.25">
      <c r="R1119" s="25"/>
      <c r="S1119" s="25"/>
      <c r="T1119" s="25"/>
      <c r="U1119" s="25"/>
      <c r="V1119" s="25"/>
      <c r="W1119" s="25"/>
      <c r="X1119" s="25"/>
      <c r="Y1119" s="25"/>
      <c r="Z1119" s="25"/>
      <c r="AA1119" s="25"/>
      <c r="AB1119" s="25"/>
      <c r="AC1119" s="25"/>
      <c r="AD1119" s="168"/>
    </row>
    <row r="1120" spans="18:30" ht="69.75" customHeight="1" x14ac:dyDescent="0.25">
      <c r="R1120" s="25"/>
      <c r="S1120" s="25"/>
      <c r="T1120" s="25"/>
      <c r="U1120" s="25"/>
      <c r="V1120" s="25"/>
      <c r="W1120" s="25"/>
      <c r="X1120" s="25"/>
      <c r="Y1120" s="25"/>
      <c r="Z1120" s="25"/>
      <c r="AA1120" s="25"/>
      <c r="AB1120" s="25"/>
      <c r="AC1120" s="25"/>
      <c r="AD1120" s="168"/>
    </row>
    <row r="1121" spans="18:30" ht="69.75" customHeight="1" x14ac:dyDescent="0.25">
      <c r="R1121" s="25"/>
      <c r="S1121" s="25"/>
      <c r="T1121" s="25"/>
      <c r="U1121" s="25"/>
      <c r="V1121" s="25"/>
      <c r="W1121" s="25"/>
      <c r="X1121" s="25"/>
      <c r="Y1121" s="25"/>
      <c r="Z1121" s="25"/>
      <c r="AA1121" s="25"/>
      <c r="AB1121" s="25"/>
      <c r="AC1121" s="25"/>
      <c r="AD1121" s="168"/>
    </row>
    <row r="1122" spans="18:30" ht="69.75" customHeight="1" x14ac:dyDescent="0.25">
      <c r="R1122" s="25"/>
      <c r="S1122" s="25"/>
      <c r="T1122" s="25"/>
      <c r="U1122" s="25"/>
      <c r="V1122" s="25"/>
      <c r="W1122" s="25"/>
      <c r="X1122" s="25"/>
      <c r="Y1122" s="25"/>
      <c r="Z1122" s="25"/>
      <c r="AA1122" s="25"/>
      <c r="AB1122" s="25"/>
      <c r="AC1122" s="25"/>
      <c r="AD1122" s="168"/>
    </row>
    <row r="1123" spans="18:30" ht="69.75" customHeight="1" x14ac:dyDescent="0.25">
      <c r="R1123" s="25"/>
      <c r="S1123" s="25"/>
      <c r="T1123" s="25"/>
      <c r="U1123" s="25"/>
      <c r="V1123" s="25"/>
      <c r="W1123" s="25"/>
      <c r="X1123" s="25"/>
      <c r="Y1123" s="25"/>
      <c r="Z1123" s="25"/>
      <c r="AA1123" s="25"/>
      <c r="AB1123" s="25"/>
      <c r="AC1123" s="25"/>
      <c r="AD1123" s="168"/>
    </row>
    <row r="1124" spans="18:30" ht="69.75" customHeight="1" x14ac:dyDescent="0.25">
      <c r="R1124" s="25"/>
      <c r="S1124" s="25"/>
      <c r="T1124" s="25"/>
      <c r="U1124" s="25"/>
      <c r="V1124" s="25"/>
      <c r="W1124" s="25"/>
      <c r="X1124" s="25"/>
      <c r="Y1124" s="25"/>
      <c r="Z1124" s="25"/>
      <c r="AA1124" s="25"/>
      <c r="AB1124" s="25"/>
      <c r="AC1124" s="25"/>
      <c r="AD1124" s="168"/>
    </row>
    <row r="1125" spans="18:30" ht="69.75" customHeight="1" x14ac:dyDescent="0.25">
      <c r="R1125" s="25"/>
      <c r="S1125" s="25"/>
      <c r="T1125" s="25"/>
      <c r="U1125" s="25"/>
      <c r="V1125" s="25"/>
      <c r="W1125" s="25"/>
      <c r="X1125" s="25"/>
      <c r="Y1125" s="25"/>
      <c r="Z1125" s="25"/>
      <c r="AA1125" s="25"/>
      <c r="AB1125" s="25"/>
      <c r="AC1125" s="25"/>
      <c r="AD1125" s="168"/>
    </row>
    <row r="1126" spans="18:30" ht="69.75" customHeight="1" x14ac:dyDescent="0.25">
      <c r="R1126" s="25"/>
      <c r="S1126" s="25"/>
      <c r="T1126" s="25"/>
      <c r="U1126" s="25"/>
      <c r="V1126" s="25"/>
      <c r="W1126" s="25"/>
      <c r="X1126" s="25"/>
      <c r="Y1126" s="25"/>
      <c r="Z1126" s="25"/>
      <c r="AA1126" s="25"/>
      <c r="AB1126" s="25"/>
      <c r="AC1126" s="25"/>
      <c r="AD1126" s="168"/>
    </row>
    <row r="1127" spans="18:30" ht="69.75" customHeight="1" x14ac:dyDescent="0.25">
      <c r="R1127" s="25"/>
      <c r="S1127" s="25"/>
      <c r="T1127" s="25"/>
      <c r="U1127" s="25"/>
      <c r="V1127" s="25"/>
      <c r="W1127" s="25"/>
      <c r="X1127" s="25"/>
      <c r="Y1127" s="25"/>
      <c r="Z1127" s="25"/>
      <c r="AA1127" s="25"/>
      <c r="AB1127" s="25"/>
      <c r="AC1127" s="25"/>
      <c r="AD1127" s="168"/>
    </row>
    <row r="1128" spans="18:30" ht="69.75" customHeight="1" x14ac:dyDescent="0.25">
      <c r="R1128" s="25"/>
      <c r="S1128" s="25"/>
      <c r="T1128" s="25"/>
      <c r="U1128" s="25"/>
      <c r="V1128" s="25"/>
      <c r="W1128" s="25"/>
      <c r="X1128" s="25"/>
      <c r="Y1128" s="25"/>
      <c r="Z1128" s="25"/>
      <c r="AA1128" s="25"/>
      <c r="AB1128" s="25"/>
      <c r="AC1128" s="25"/>
      <c r="AD1128" s="168"/>
    </row>
    <row r="1129" spans="18:30" ht="69.75" customHeight="1" x14ac:dyDescent="0.25">
      <c r="R1129" s="25"/>
      <c r="S1129" s="25"/>
      <c r="T1129" s="25"/>
      <c r="U1129" s="25"/>
      <c r="V1129" s="25"/>
      <c r="W1129" s="25"/>
      <c r="X1129" s="25"/>
      <c r="Y1129" s="25"/>
      <c r="Z1129" s="25"/>
      <c r="AA1129" s="25"/>
      <c r="AB1129" s="25"/>
      <c r="AC1129" s="25"/>
      <c r="AD1129" s="168"/>
    </row>
    <row r="1130" spans="18:30" ht="69.75" customHeight="1" x14ac:dyDescent="0.25">
      <c r="R1130" s="25"/>
      <c r="S1130" s="25"/>
      <c r="T1130" s="25"/>
      <c r="U1130" s="25"/>
      <c r="V1130" s="25"/>
      <c r="W1130" s="25"/>
      <c r="X1130" s="25"/>
      <c r="Y1130" s="25"/>
      <c r="Z1130" s="25"/>
      <c r="AA1130" s="25"/>
      <c r="AB1130" s="25"/>
      <c r="AC1130" s="25"/>
      <c r="AD1130" s="168"/>
    </row>
    <row r="1131" spans="18:30" ht="69.75" customHeight="1" x14ac:dyDescent="0.25">
      <c r="R1131" s="25"/>
      <c r="S1131" s="25"/>
      <c r="T1131" s="25"/>
      <c r="U1131" s="25"/>
      <c r="V1131" s="25"/>
      <c r="W1131" s="25"/>
      <c r="X1131" s="25"/>
      <c r="Y1131" s="25"/>
      <c r="Z1131" s="25"/>
      <c r="AA1131" s="25"/>
      <c r="AB1131" s="25"/>
      <c r="AC1131" s="25"/>
      <c r="AD1131" s="168"/>
    </row>
    <row r="1132" spans="18:30" ht="69.75" customHeight="1" x14ac:dyDescent="0.25">
      <c r="R1132" s="25"/>
      <c r="S1132" s="25"/>
      <c r="T1132" s="25"/>
      <c r="U1132" s="25"/>
      <c r="V1132" s="25"/>
      <c r="W1132" s="25"/>
      <c r="X1132" s="25"/>
      <c r="Y1132" s="25"/>
      <c r="Z1132" s="25"/>
      <c r="AA1132" s="25"/>
      <c r="AB1132" s="25"/>
      <c r="AC1132" s="25"/>
      <c r="AD1132" s="168"/>
    </row>
    <row r="1133" spans="18:30" ht="69.75" customHeight="1" x14ac:dyDescent="0.25">
      <c r="R1133" s="25"/>
      <c r="S1133" s="25"/>
      <c r="T1133" s="25"/>
      <c r="U1133" s="25"/>
      <c r="V1133" s="25"/>
      <c r="W1133" s="25"/>
      <c r="X1133" s="25"/>
      <c r="Y1133" s="25"/>
      <c r="Z1133" s="25"/>
      <c r="AA1133" s="25"/>
      <c r="AB1133" s="25"/>
      <c r="AC1133" s="25"/>
      <c r="AD1133" s="168"/>
    </row>
    <row r="1134" spans="18:30" ht="69.75" customHeight="1" x14ac:dyDescent="0.25">
      <c r="R1134" s="25"/>
      <c r="S1134" s="25"/>
      <c r="T1134" s="25"/>
      <c r="U1134" s="25"/>
      <c r="V1134" s="25"/>
      <c r="W1134" s="25"/>
      <c r="X1134" s="25"/>
      <c r="Y1134" s="25"/>
      <c r="Z1134" s="25"/>
      <c r="AA1134" s="25"/>
      <c r="AB1134" s="25"/>
      <c r="AC1134" s="25"/>
      <c r="AD1134" s="168"/>
    </row>
    <row r="1135" spans="18:30" ht="69.75" customHeight="1" x14ac:dyDescent="0.25">
      <c r="R1135" s="25"/>
      <c r="S1135" s="25"/>
      <c r="T1135" s="25"/>
      <c r="U1135" s="25"/>
      <c r="V1135" s="25"/>
      <c r="W1135" s="25"/>
      <c r="X1135" s="25"/>
      <c r="Y1135" s="25"/>
      <c r="Z1135" s="25"/>
      <c r="AA1135" s="25"/>
      <c r="AB1135" s="25"/>
      <c r="AC1135" s="25"/>
      <c r="AD1135" s="168"/>
    </row>
    <row r="1136" spans="18:30" ht="69.75" customHeight="1" x14ac:dyDescent="0.25">
      <c r="R1136" s="25"/>
      <c r="S1136" s="25"/>
      <c r="T1136" s="25"/>
      <c r="U1136" s="25"/>
      <c r="V1136" s="25"/>
      <c r="W1136" s="25"/>
      <c r="X1136" s="25"/>
      <c r="Y1136" s="25"/>
      <c r="Z1136" s="25"/>
      <c r="AA1136" s="25"/>
      <c r="AB1136" s="25"/>
      <c r="AC1136" s="25"/>
      <c r="AD1136" s="168"/>
    </row>
    <row r="1137" spans="18:30" ht="69.75" customHeight="1" x14ac:dyDescent="0.25">
      <c r="R1137" s="25"/>
      <c r="S1137" s="25"/>
      <c r="T1137" s="25"/>
      <c r="U1137" s="25"/>
      <c r="V1137" s="25"/>
      <c r="W1137" s="25"/>
      <c r="X1137" s="25"/>
      <c r="Y1137" s="25"/>
      <c r="Z1137" s="25"/>
      <c r="AA1137" s="25"/>
      <c r="AB1137" s="25"/>
      <c r="AC1137" s="25"/>
      <c r="AD1137" s="168"/>
    </row>
    <row r="1138" spans="18:30" ht="69.75" customHeight="1" x14ac:dyDescent="0.25">
      <c r="R1138" s="25"/>
      <c r="S1138" s="25"/>
      <c r="T1138" s="25"/>
      <c r="U1138" s="25"/>
      <c r="V1138" s="25"/>
      <c r="W1138" s="25"/>
      <c r="X1138" s="25"/>
      <c r="Y1138" s="25"/>
      <c r="Z1138" s="25"/>
      <c r="AA1138" s="25"/>
      <c r="AB1138" s="25"/>
      <c r="AC1138" s="25"/>
      <c r="AD1138" s="168"/>
    </row>
    <row r="1139" spans="18:30" ht="69.75" customHeight="1" x14ac:dyDescent="0.25">
      <c r="R1139" s="25"/>
      <c r="S1139" s="25"/>
      <c r="T1139" s="25"/>
      <c r="U1139" s="25"/>
      <c r="V1139" s="25"/>
      <c r="W1139" s="25"/>
      <c r="X1139" s="25"/>
      <c r="Y1139" s="25"/>
      <c r="Z1139" s="25"/>
      <c r="AA1139" s="25"/>
      <c r="AB1139" s="25"/>
      <c r="AC1139" s="25"/>
      <c r="AD1139" s="168"/>
    </row>
    <row r="1140" spans="18:30" ht="69.75" customHeight="1" x14ac:dyDescent="0.25">
      <c r="R1140" s="25"/>
      <c r="S1140" s="25"/>
      <c r="T1140" s="25"/>
      <c r="U1140" s="25"/>
      <c r="V1140" s="25"/>
      <c r="W1140" s="25"/>
      <c r="X1140" s="25"/>
      <c r="Y1140" s="25"/>
      <c r="Z1140" s="25"/>
      <c r="AA1140" s="25"/>
      <c r="AB1140" s="25"/>
      <c r="AC1140" s="25"/>
      <c r="AD1140" s="168"/>
    </row>
    <row r="1141" spans="18:30" ht="69.75" customHeight="1" x14ac:dyDescent="0.25">
      <c r="R1141" s="25"/>
      <c r="S1141" s="25"/>
      <c r="T1141" s="25"/>
      <c r="U1141" s="25"/>
      <c r="V1141" s="25"/>
      <c r="W1141" s="25"/>
      <c r="X1141" s="25"/>
      <c r="Y1141" s="25"/>
      <c r="Z1141" s="25"/>
      <c r="AA1141" s="25"/>
      <c r="AB1141" s="25"/>
      <c r="AC1141" s="25"/>
      <c r="AD1141" s="168"/>
    </row>
    <row r="1142" spans="18:30" ht="69.75" customHeight="1" x14ac:dyDescent="0.25">
      <c r="R1142" s="25"/>
      <c r="S1142" s="25"/>
      <c r="T1142" s="25"/>
      <c r="U1142" s="25"/>
      <c r="V1142" s="25"/>
      <c r="W1142" s="25"/>
      <c r="X1142" s="25"/>
      <c r="Y1142" s="25"/>
      <c r="Z1142" s="25"/>
      <c r="AA1142" s="25"/>
      <c r="AB1142" s="25"/>
      <c r="AC1142" s="25"/>
      <c r="AD1142" s="168"/>
    </row>
    <row r="1143" spans="18:30" ht="69.75" customHeight="1" x14ac:dyDescent="0.25">
      <c r="R1143" s="25"/>
      <c r="S1143" s="25"/>
      <c r="T1143" s="25"/>
      <c r="U1143" s="25"/>
      <c r="V1143" s="25"/>
      <c r="W1143" s="25"/>
      <c r="X1143" s="25"/>
      <c r="Y1143" s="25"/>
      <c r="Z1143" s="25"/>
      <c r="AA1143" s="25"/>
      <c r="AB1143" s="25"/>
      <c r="AC1143" s="25"/>
      <c r="AD1143" s="168"/>
    </row>
    <row r="1144" spans="18:30" ht="69.75" customHeight="1" x14ac:dyDescent="0.25">
      <c r="R1144" s="25"/>
      <c r="S1144" s="25"/>
      <c r="T1144" s="25"/>
      <c r="U1144" s="25"/>
      <c r="V1144" s="25"/>
      <c r="W1144" s="25"/>
      <c r="X1144" s="25"/>
      <c r="Y1144" s="25"/>
      <c r="Z1144" s="25"/>
      <c r="AA1144" s="25"/>
      <c r="AB1144" s="25"/>
      <c r="AC1144" s="25"/>
      <c r="AD1144" s="168"/>
    </row>
    <row r="1145" spans="18:30" ht="69.75" customHeight="1" x14ac:dyDescent="0.25">
      <c r="R1145" s="25"/>
      <c r="S1145" s="25"/>
      <c r="T1145" s="25"/>
      <c r="U1145" s="25"/>
      <c r="V1145" s="25"/>
      <c r="W1145" s="25"/>
      <c r="X1145" s="25"/>
      <c r="Y1145" s="25"/>
      <c r="Z1145" s="25"/>
      <c r="AA1145" s="25"/>
      <c r="AB1145" s="25"/>
      <c r="AC1145" s="25"/>
      <c r="AD1145" s="168"/>
    </row>
    <row r="1146" spans="18:30" ht="69.75" customHeight="1" x14ac:dyDescent="0.25">
      <c r="R1146" s="25"/>
      <c r="S1146" s="25"/>
      <c r="T1146" s="25"/>
      <c r="U1146" s="25"/>
      <c r="V1146" s="25"/>
      <c r="W1146" s="25"/>
      <c r="X1146" s="25"/>
      <c r="Y1146" s="25"/>
      <c r="Z1146" s="25"/>
      <c r="AA1146" s="25"/>
      <c r="AB1146" s="25"/>
      <c r="AC1146" s="25"/>
      <c r="AD1146" s="168"/>
    </row>
    <row r="1147" spans="18:30" ht="69.75" customHeight="1" x14ac:dyDescent="0.25">
      <c r="R1147" s="25"/>
      <c r="S1147" s="25"/>
      <c r="T1147" s="25"/>
      <c r="U1147" s="25"/>
      <c r="V1147" s="25"/>
      <c r="W1147" s="25"/>
      <c r="X1147" s="25"/>
      <c r="Y1147" s="25"/>
      <c r="Z1147" s="25"/>
      <c r="AA1147" s="25"/>
      <c r="AB1147" s="25"/>
      <c r="AC1147" s="25"/>
      <c r="AD1147" s="168"/>
    </row>
    <row r="1148" spans="18:30" ht="69.75" customHeight="1" x14ac:dyDescent="0.25">
      <c r="R1148" s="25"/>
      <c r="S1148" s="25"/>
      <c r="T1148" s="25"/>
      <c r="U1148" s="25"/>
      <c r="V1148" s="25"/>
      <c r="W1148" s="25"/>
      <c r="X1148" s="25"/>
      <c r="Y1148" s="25"/>
      <c r="Z1148" s="25"/>
      <c r="AA1148" s="25"/>
      <c r="AB1148" s="25"/>
      <c r="AC1148" s="25"/>
      <c r="AD1148" s="168"/>
    </row>
    <row r="1149" spans="18:30" ht="69.75" customHeight="1" x14ac:dyDescent="0.25">
      <c r="R1149" s="25"/>
      <c r="S1149" s="25"/>
      <c r="T1149" s="25"/>
      <c r="U1149" s="25"/>
      <c r="V1149" s="25"/>
      <c r="W1149" s="25"/>
      <c r="X1149" s="25"/>
      <c r="Y1149" s="25"/>
      <c r="Z1149" s="25"/>
      <c r="AA1149" s="25"/>
      <c r="AB1149" s="25"/>
      <c r="AC1149" s="25"/>
      <c r="AD1149" s="168"/>
    </row>
    <row r="1150" spans="18:30" ht="69.75" customHeight="1" x14ac:dyDescent="0.25">
      <c r="R1150" s="25"/>
      <c r="S1150" s="25"/>
      <c r="T1150" s="25"/>
      <c r="U1150" s="25"/>
      <c r="V1150" s="25"/>
      <c r="W1150" s="25"/>
      <c r="X1150" s="25"/>
      <c r="Y1150" s="25"/>
      <c r="Z1150" s="25"/>
      <c r="AA1150" s="25"/>
      <c r="AB1150" s="25"/>
      <c r="AC1150" s="25"/>
      <c r="AD1150" s="168"/>
    </row>
    <row r="1151" spans="18:30" ht="69.75" customHeight="1" x14ac:dyDescent="0.25">
      <c r="R1151" s="25"/>
      <c r="S1151" s="25"/>
      <c r="T1151" s="25"/>
      <c r="U1151" s="25"/>
      <c r="V1151" s="25"/>
      <c r="W1151" s="25"/>
      <c r="X1151" s="25"/>
      <c r="Y1151" s="25"/>
      <c r="Z1151" s="25"/>
      <c r="AA1151" s="25"/>
      <c r="AB1151" s="25"/>
      <c r="AC1151" s="25"/>
      <c r="AD1151" s="168"/>
    </row>
    <row r="1152" spans="18:30" ht="69.75" customHeight="1" x14ac:dyDescent="0.25">
      <c r="R1152" s="25"/>
      <c r="S1152" s="25"/>
      <c r="T1152" s="25"/>
      <c r="U1152" s="25"/>
      <c r="V1152" s="25"/>
      <c r="W1152" s="25"/>
      <c r="X1152" s="25"/>
      <c r="Y1152" s="25"/>
      <c r="Z1152" s="25"/>
      <c r="AA1152" s="25"/>
      <c r="AB1152" s="25"/>
      <c r="AC1152" s="25"/>
      <c r="AD1152" s="168"/>
    </row>
    <row r="1153" spans="18:30" ht="69.75" customHeight="1" x14ac:dyDescent="0.25">
      <c r="R1153" s="25"/>
      <c r="S1153" s="25"/>
      <c r="T1153" s="25"/>
      <c r="U1153" s="25"/>
      <c r="V1153" s="25"/>
      <c r="W1153" s="25"/>
      <c r="X1153" s="25"/>
      <c r="Y1153" s="25"/>
      <c r="Z1153" s="25"/>
      <c r="AA1153" s="25"/>
      <c r="AB1153" s="25"/>
      <c r="AC1153" s="25"/>
      <c r="AD1153" s="168"/>
    </row>
    <row r="1154" spans="18:30" ht="69.75" customHeight="1" x14ac:dyDescent="0.25">
      <c r="R1154" s="25"/>
      <c r="S1154" s="25"/>
      <c r="T1154" s="25"/>
      <c r="U1154" s="25"/>
      <c r="V1154" s="25"/>
      <c r="W1154" s="25"/>
      <c r="X1154" s="25"/>
      <c r="Y1154" s="25"/>
      <c r="Z1154" s="25"/>
      <c r="AA1154" s="25"/>
      <c r="AB1154" s="25"/>
      <c r="AC1154" s="25"/>
      <c r="AD1154" s="168"/>
    </row>
    <row r="1155" spans="18:30" ht="69.75" customHeight="1" x14ac:dyDescent="0.25">
      <c r="R1155" s="25"/>
      <c r="S1155" s="25"/>
      <c r="T1155" s="25"/>
      <c r="U1155" s="25"/>
      <c r="V1155" s="25"/>
      <c r="W1155" s="25"/>
      <c r="X1155" s="25"/>
      <c r="Y1155" s="25"/>
      <c r="Z1155" s="25"/>
      <c r="AA1155" s="25"/>
      <c r="AB1155" s="25"/>
      <c r="AC1155" s="25"/>
      <c r="AD1155" s="168"/>
    </row>
    <row r="1156" spans="18:30" ht="69.75" customHeight="1" x14ac:dyDescent="0.25">
      <c r="R1156" s="25"/>
      <c r="S1156" s="25"/>
      <c r="T1156" s="25"/>
      <c r="U1156" s="25"/>
      <c r="V1156" s="25"/>
      <c r="W1156" s="25"/>
      <c r="X1156" s="25"/>
      <c r="Y1156" s="25"/>
      <c r="Z1156" s="25"/>
      <c r="AA1156" s="25"/>
      <c r="AB1156" s="25"/>
      <c r="AC1156" s="25"/>
      <c r="AD1156" s="168"/>
    </row>
    <row r="1157" spans="18:30" ht="69.75" customHeight="1" x14ac:dyDescent="0.25">
      <c r="R1157" s="25"/>
      <c r="S1157" s="25"/>
      <c r="T1157" s="25"/>
      <c r="U1157" s="25"/>
      <c r="V1157" s="25"/>
      <c r="W1157" s="25"/>
      <c r="X1157" s="25"/>
      <c r="Y1157" s="25"/>
      <c r="Z1157" s="25"/>
      <c r="AA1157" s="25"/>
      <c r="AB1157" s="25"/>
      <c r="AC1157" s="25"/>
      <c r="AD1157" s="168"/>
    </row>
    <row r="1158" spans="18:30" ht="69.75" customHeight="1" x14ac:dyDescent="0.25">
      <c r="R1158" s="25"/>
      <c r="S1158" s="25"/>
      <c r="T1158" s="25"/>
      <c r="U1158" s="25"/>
      <c r="V1158" s="25"/>
      <c r="W1158" s="25"/>
      <c r="X1158" s="25"/>
      <c r="Y1158" s="25"/>
      <c r="Z1158" s="25"/>
      <c r="AA1158" s="25"/>
      <c r="AB1158" s="25"/>
      <c r="AC1158" s="25"/>
      <c r="AD1158" s="168"/>
    </row>
    <row r="1159" spans="18:30" ht="69.75" customHeight="1" x14ac:dyDescent="0.25">
      <c r="R1159" s="25"/>
      <c r="S1159" s="25"/>
      <c r="T1159" s="25"/>
      <c r="U1159" s="25"/>
      <c r="V1159" s="25"/>
      <c r="W1159" s="25"/>
      <c r="X1159" s="25"/>
      <c r="Y1159" s="25"/>
      <c r="Z1159" s="25"/>
      <c r="AA1159" s="25"/>
      <c r="AB1159" s="25"/>
      <c r="AC1159" s="25"/>
      <c r="AD1159" s="168"/>
    </row>
    <row r="1160" spans="18:30" ht="69.75" customHeight="1" x14ac:dyDescent="0.25">
      <c r="R1160" s="25"/>
      <c r="S1160" s="25"/>
      <c r="T1160" s="25"/>
      <c r="U1160" s="25"/>
      <c r="V1160" s="25"/>
      <c r="W1160" s="25"/>
      <c r="X1160" s="25"/>
      <c r="Y1160" s="25"/>
      <c r="Z1160" s="25"/>
      <c r="AA1160" s="25"/>
      <c r="AB1160" s="25"/>
      <c r="AC1160" s="25"/>
      <c r="AD1160" s="168"/>
    </row>
    <row r="1161" spans="18:30" ht="69.75" customHeight="1" x14ac:dyDescent="0.25">
      <c r="R1161" s="25"/>
      <c r="S1161" s="25"/>
      <c r="T1161" s="25"/>
      <c r="U1161" s="25"/>
      <c r="V1161" s="25"/>
      <c r="W1161" s="25"/>
      <c r="X1161" s="25"/>
      <c r="Y1161" s="25"/>
      <c r="Z1161" s="25"/>
      <c r="AA1161" s="25"/>
      <c r="AB1161" s="25"/>
      <c r="AC1161" s="25"/>
      <c r="AD1161" s="168"/>
    </row>
    <row r="1162" spans="18:30" ht="69.75" customHeight="1" x14ac:dyDescent="0.25">
      <c r="R1162" s="25"/>
      <c r="S1162" s="25"/>
      <c r="T1162" s="25"/>
      <c r="U1162" s="25"/>
      <c r="V1162" s="25"/>
      <c r="W1162" s="25"/>
      <c r="X1162" s="25"/>
      <c r="Y1162" s="25"/>
      <c r="Z1162" s="25"/>
      <c r="AA1162" s="25"/>
      <c r="AB1162" s="25"/>
      <c r="AC1162" s="25"/>
      <c r="AD1162" s="168"/>
    </row>
    <row r="1163" spans="18:30" ht="69.75" customHeight="1" x14ac:dyDescent="0.25">
      <c r="R1163" s="25"/>
      <c r="S1163" s="25"/>
      <c r="T1163" s="25"/>
      <c r="U1163" s="25"/>
      <c r="V1163" s="25"/>
      <c r="W1163" s="25"/>
      <c r="X1163" s="25"/>
      <c r="Y1163" s="25"/>
      <c r="Z1163" s="25"/>
      <c r="AA1163" s="25"/>
      <c r="AB1163" s="25"/>
      <c r="AC1163" s="25"/>
      <c r="AD1163" s="168"/>
    </row>
    <row r="1164" spans="18:30" ht="69.75" customHeight="1" x14ac:dyDescent="0.25">
      <c r="R1164" s="25"/>
      <c r="S1164" s="25"/>
      <c r="T1164" s="25"/>
      <c r="U1164" s="25"/>
      <c r="V1164" s="25"/>
      <c r="W1164" s="25"/>
      <c r="X1164" s="25"/>
      <c r="Y1164" s="25"/>
      <c r="Z1164" s="25"/>
      <c r="AA1164" s="25"/>
      <c r="AB1164" s="25"/>
      <c r="AC1164" s="25"/>
      <c r="AD1164" s="168"/>
    </row>
    <row r="1165" spans="18:30" ht="69.75" customHeight="1" x14ac:dyDescent="0.25">
      <c r="R1165" s="25"/>
      <c r="S1165" s="25"/>
      <c r="T1165" s="25"/>
      <c r="U1165" s="25"/>
      <c r="V1165" s="25"/>
      <c r="W1165" s="25"/>
      <c r="X1165" s="25"/>
      <c r="Y1165" s="25"/>
      <c r="Z1165" s="25"/>
      <c r="AA1165" s="25"/>
      <c r="AB1165" s="25"/>
      <c r="AC1165" s="25"/>
      <c r="AD1165" s="168"/>
    </row>
    <row r="1166" spans="18:30" ht="69.75" customHeight="1" x14ac:dyDescent="0.25">
      <c r="R1166" s="25"/>
      <c r="S1166" s="25"/>
      <c r="T1166" s="25"/>
      <c r="U1166" s="25"/>
      <c r="V1166" s="25"/>
      <c r="W1166" s="25"/>
      <c r="X1166" s="25"/>
      <c r="Y1166" s="25"/>
      <c r="Z1166" s="25"/>
      <c r="AA1166" s="25"/>
      <c r="AB1166" s="25"/>
      <c r="AC1166" s="25"/>
      <c r="AD1166" s="168"/>
    </row>
    <row r="1167" spans="18:30" ht="69.75" customHeight="1" x14ac:dyDescent="0.25">
      <c r="R1167" s="25"/>
      <c r="S1167" s="25"/>
      <c r="T1167" s="25"/>
      <c r="U1167" s="25"/>
      <c r="V1167" s="25"/>
      <c r="W1167" s="25"/>
      <c r="X1167" s="25"/>
      <c r="Y1167" s="25"/>
      <c r="Z1167" s="25"/>
      <c r="AA1167" s="25"/>
      <c r="AB1167" s="25"/>
      <c r="AC1167" s="25"/>
      <c r="AD1167" s="168"/>
    </row>
    <row r="1168" spans="18:30" ht="69.75" customHeight="1" x14ac:dyDescent="0.25">
      <c r="R1168" s="25"/>
      <c r="S1168" s="25"/>
      <c r="T1168" s="25"/>
      <c r="U1168" s="25"/>
      <c r="V1168" s="25"/>
      <c r="W1168" s="25"/>
      <c r="X1168" s="25"/>
      <c r="Y1168" s="25"/>
      <c r="Z1168" s="25"/>
      <c r="AA1168" s="25"/>
      <c r="AB1168" s="25"/>
      <c r="AC1168" s="25"/>
      <c r="AD1168" s="168"/>
    </row>
    <row r="1169" spans="18:30" ht="69.75" customHeight="1" x14ac:dyDescent="0.25">
      <c r="R1169" s="25"/>
      <c r="S1169" s="25"/>
      <c r="T1169" s="25"/>
      <c r="U1169" s="25"/>
      <c r="V1169" s="25"/>
      <c r="W1169" s="25"/>
      <c r="X1169" s="25"/>
      <c r="Y1169" s="25"/>
      <c r="Z1169" s="25"/>
      <c r="AA1169" s="25"/>
      <c r="AB1169" s="25"/>
      <c r="AC1169" s="25"/>
      <c r="AD1169" s="168"/>
    </row>
    <row r="1170" spans="18:30" ht="69.75" customHeight="1" x14ac:dyDescent="0.25">
      <c r="R1170" s="25"/>
      <c r="S1170" s="25"/>
      <c r="T1170" s="25"/>
      <c r="U1170" s="25"/>
      <c r="V1170" s="25"/>
      <c r="W1170" s="25"/>
      <c r="X1170" s="25"/>
      <c r="Y1170" s="25"/>
      <c r="Z1170" s="25"/>
      <c r="AA1170" s="25"/>
      <c r="AB1170" s="25"/>
      <c r="AC1170" s="25"/>
      <c r="AD1170" s="168"/>
    </row>
    <row r="1171" spans="18:30" ht="69.75" customHeight="1" x14ac:dyDescent="0.25">
      <c r="R1171" s="25"/>
      <c r="S1171" s="25"/>
      <c r="T1171" s="25"/>
      <c r="U1171" s="25"/>
      <c r="V1171" s="25"/>
      <c r="W1171" s="25"/>
      <c r="X1171" s="25"/>
      <c r="Y1171" s="25"/>
      <c r="Z1171" s="25"/>
      <c r="AA1171" s="25"/>
      <c r="AB1171" s="25"/>
      <c r="AC1171" s="25"/>
      <c r="AD1171" s="168"/>
    </row>
    <row r="1172" spans="18:30" ht="69.75" customHeight="1" x14ac:dyDescent="0.25">
      <c r="R1172" s="25"/>
      <c r="S1172" s="25"/>
      <c r="T1172" s="25"/>
      <c r="U1172" s="25"/>
      <c r="V1172" s="25"/>
      <c r="W1172" s="25"/>
      <c r="X1172" s="25"/>
      <c r="Y1172" s="25"/>
      <c r="Z1172" s="25"/>
      <c r="AA1172" s="25"/>
      <c r="AB1172" s="25"/>
      <c r="AC1172" s="25"/>
      <c r="AD1172" s="168"/>
    </row>
    <row r="1173" spans="18:30" ht="69.75" customHeight="1" x14ac:dyDescent="0.25">
      <c r="R1173" s="25"/>
      <c r="S1173" s="25"/>
      <c r="T1173" s="25"/>
      <c r="U1173" s="25"/>
      <c r="V1173" s="25"/>
      <c r="W1173" s="25"/>
      <c r="X1173" s="25"/>
      <c r="Y1173" s="25"/>
      <c r="Z1173" s="25"/>
      <c r="AA1173" s="25"/>
      <c r="AB1173" s="25"/>
      <c r="AC1173" s="25"/>
      <c r="AD1173" s="168"/>
    </row>
    <row r="1174" spans="18:30" ht="69.75" customHeight="1" x14ac:dyDescent="0.25">
      <c r="R1174" s="25"/>
      <c r="S1174" s="25"/>
      <c r="T1174" s="25"/>
      <c r="U1174" s="25"/>
      <c r="V1174" s="25"/>
      <c r="W1174" s="25"/>
      <c r="X1174" s="25"/>
      <c r="Y1174" s="25"/>
      <c r="Z1174" s="25"/>
      <c r="AA1174" s="25"/>
      <c r="AB1174" s="25"/>
      <c r="AC1174" s="25"/>
      <c r="AD1174" s="168"/>
    </row>
    <row r="1175" spans="18:30" ht="69.75" customHeight="1" x14ac:dyDescent="0.25">
      <c r="R1175" s="25"/>
      <c r="S1175" s="25"/>
      <c r="T1175" s="25"/>
      <c r="U1175" s="25"/>
      <c r="V1175" s="25"/>
      <c r="W1175" s="25"/>
      <c r="X1175" s="25"/>
      <c r="Y1175" s="25"/>
      <c r="Z1175" s="25"/>
      <c r="AA1175" s="25"/>
      <c r="AB1175" s="25"/>
      <c r="AC1175" s="25"/>
      <c r="AD1175" s="168"/>
    </row>
    <row r="1176" spans="18:30" ht="69.75" customHeight="1" x14ac:dyDescent="0.25">
      <c r="R1176" s="25"/>
      <c r="S1176" s="25"/>
      <c r="T1176" s="25"/>
      <c r="U1176" s="25"/>
      <c r="V1176" s="25"/>
      <c r="W1176" s="25"/>
      <c r="X1176" s="25"/>
      <c r="Y1176" s="25"/>
      <c r="Z1176" s="25"/>
      <c r="AA1176" s="25"/>
      <c r="AB1176" s="25"/>
      <c r="AC1176" s="25"/>
      <c r="AD1176" s="168"/>
    </row>
    <row r="1177" spans="18:30" ht="69.75" customHeight="1" x14ac:dyDescent="0.25">
      <c r="R1177" s="25"/>
      <c r="S1177" s="25"/>
      <c r="T1177" s="25"/>
      <c r="U1177" s="25"/>
      <c r="V1177" s="25"/>
      <c r="W1177" s="25"/>
      <c r="X1177" s="25"/>
      <c r="Y1177" s="25"/>
      <c r="Z1177" s="25"/>
      <c r="AA1177" s="25"/>
      <c r="AB1177" s="25"/>
      <c r="AC1177" s="25"/>
      <c r="AD1177" s="168"/>
    </row>
    <row r="1178" spans="18:30" ht="69.75" customHeight="1" x14ac:dyDescent="0.25">
      <c r="R1178" s="25"/>
      <c r="S1178" s="25"/>
      <c r="T1178" s="25"/>
      <c r="U1178" s="25"/>
      <c r="V1178" s="25"/>
      <c r="W1178" s="25"/>
      <c r="X1178" s="25"/>
      <c r="Y1178" s="25"/>
      <c r="Z1178" s="25"/>
      <c r="AA1178" s="25"/>
      <c r="AB1178" s="25"/>
      <c r="AC1178" s="25"/>
      <c r="AD1178" s="168"/>
    </row>
    <row r="1179" spans="18:30" ht="69.75" customHeight="1" x14ac:dyDescent="0.25">
      <c r="R1179" s="25"/>
      <c r="S1179" s="25"/>
      <c r="T1179" s="25"/>
      <c r="U1179" s="25"/>
      <c r="V1179" s="25"/>
      <c r="W1179" s="25"/>
      <c r="X1179" s="25"/>
      <c r="Y1179" s="25"/>
      <c r="Z1179" s="25"/>
      <c r="AA1179" s="25"/>
      <c r="AB1179" s="25"/>
      <c r="AC1179" s="25"/>
      <c r="AD1179" s="168"/>
    </row>
    <row r="1180" spans="18:30" ht="69.75" customHeight="1" x14ac:dyDescent="0.25">
      <c r="R1180" s="25"/>
      <c r="S1180" s="25"/>
      <c r="T1180" s="25"/>
      <c r="U1180" s="25"/>
      <c r="V1180" s="25"/>
      <c r="W1180" s="25"/>
      <c r="X1180" s="25"/>
      <c r="Y1180" s="25"/>
      <c r="Z1180" s="25"/>
      <c r="AA1180" s="25"/>
      <c r="AB1180" s="25"/>
      <c r="AC1180" s="25"/>
      <c r="AD1180" s="168"/>
    </row>
    <row r="1181" spans="18:30" ht="69.75" customHeight="1" x14ac:dyDescent="0.25">
      <c r="R1181" s="25"/>
      <c r="S1181" s="25"/>
      <c r="T1181" s="25"/>
      <c r="U1181" s="25"/>
      <c r="V1181" s="25"/>
      <c r="W1181" s="25"/>
      <c r="X1181" s="25"/>
      <c r="Y1181" s="25"/>
      <c r="Z1181" s="25"/>
      <c r="AA1181" s="25"/>
      <c r="AB1181" s="25"/>
      <c r="AC1181" s="25"/>
      <c r="AD1181" s="168"/>
    </row>
    <row r="1182" spans="18:30" ht="69.75" customHeight="1" x14ac:dyDescent="0.25">
      <c r="R1182" s="25"/>
      <c r="S1182" s="25"/>
      <c r="T1182" s="25"/>
      <c r="U1182" s="25"/>
      <c r="V1182" s="25"/>
      <c r="W1182" s="25"/>
      <c r="X1182" s="25"/>
      <c r="Y1182" s="25"/>
      <c r="Z1182" s="25"/>
      <c r="AA1182" s="25"/>
      <c r="AB1182" s="25"/>
      <c r="AC1182" s="25"/>
      <c r="AD1182" s="168"/>
    </row>
    <row r="1183" spans="18:30" ht="69.75" customHeight="1" x14ac:dyDescent="0.25">
      <c r="R1183" s="25"/>
      <c r="S1183" s="25"/>
      <c r="T1183" s="25"/>
      <c r="U1183" s="25"/>
      <c r="V1183" s="25"/>
      <c r="W1183" s="25"/>
      <c r="X1183" s="25"/>
      <c r="Y1183" s="25"/>
      <c r="Z1183" s="25"/>
      <c r="AA1183" s="25"/>
      <c r="AB1183" s="25"/>
      <c r="AC1183" s="25"/>
      <c r="AD1183" s="168"/>
    </row>
    <row r="1184" spans="18:30" ht="69.75" customHeight="1" x14ac:dyDescent="0.25">
      <c r="R1184" s="25"/>
      <c r="S1184" s="25"/>
      <c r="T1184" s="25"/>
      <c r="U1184" s="25"/>
      <c r="V1184" s="25"/>
      <c r="W1184" s="25"/>
      <c r="X1184" s="25"/>
      <c r="Y1184" s="25"/>
      <c r="Z1184" s="25"/>
      <c r="AA1184" s="25"/>
      <c r="AB1184" s="25"/>
      <c r="AC1184" s="25"/>
      <c r="AD1184" s="168"/>
    </row>
    <row r="1185" spans="18:30" ht="69.75" customHeight="1" x14ac:dyDescent="0.25">
      <c r="R1185" s="25"/>
      <c r="S1185" s="25"/>
      <c r="T1185" s="25"/>
      <c r="U1185" s="25"/>
      <c r="V1185" s="25"/>
      <c r="W1185" s="25"/>
      <c r="X1185" s="25"/>
      <c r="Y1185" s="25"/>
      <c r="Z1185" s="25"/>
      <c r="AA1185" s="25"/>
      <c r="AB1185" s="25"/>
      <c r="AC1185" s="25"/>
      <c r="AD1185" s="168"/>
    </row>
    <row r="1186" spans="18:30" ht="69.75" customHeight="1" x14ac:dyDescent="0.25">
      <c r="R1186" s="25"/>
      <c r="S1186" s="25"/>
      <c r="T1186" s="25"/>
      <c r="U1186" s="25"/>
      <c r="V1186" s="25"/>
      <c r="W1186" s="25"/>
      <c r="X1186" s="25"/>
      <c r="Y1186" s="25"/>
      <c r="Z1186" s="25"/>
      <c r="AA1186" s="25"/>
      <c r="AB1186" s="25"/>
      <c r="AC1186" s="25"/>
      <c r="AD1186" s="168"/>
    </row>
    <row r="1187" spans="18:30" ht="69.75" customHeight="1" x14ac:dyDescent="0.25">
      <c r="R1187" s="25"/>
      <c r="S1187" s="25"/>
      <c r="T1187" s="25"/>
      <c r="U1187" s="25"/>
      <c r="V1187" s="25"/>
      <c r="W1187" s="25"/>
      <c r="X1187" s="25"/>
      <c r="Y1187" s="25"/>
      <c r="Z1187" s="25"/>
      <c r="AA1187" s="25"/>
      <c r="AB1187" s="25"/>
      <c r="AC1187" s="25"/>
      <c r="AD1187" s="168"/>
    </row>
    <row r="1188" spans="18:30" ht="69.75" customHeight="1" x14ac:dyDescent="0.25">
      <c r="R1188" s="25"/>
      <c r="S1188" s="25"/>
      <c r="T1188" s="25"/>
      <c r="U1188" s="25"/>
      <c r="V1188" s="25"/>
      <c r="W1188" s="25"/>
      <c r="X1188" s="25"/>
      <c r="Y1188" s="25"/>
      <c r="Z1188" s="25"/>
      <c r="AA1188" s="25"/>
      <c r="AB1188" s="25"/>
      <c r="AC1188" s="25"/>
      <c r="AD1188" s="168"/>
    </row>
    <row r="1189" spans="18:30" ht="69.75" customHeight="1" x14ac:dyDescent="0.25">
      <c r="R1189" s="25"/>
      <c r="S1189" s="25"/>
      <c r="T1189" s="25"/>
      <c r="U1189" s="25"/>
      <c r="V1189" s="25"/>
      <c r="W1189" s="25"/>
      <c r="X1189" s="25"/>
      <c r="Y1189" s="25"/>
      <c r="Z1189" s="25"/>
      <c r="AA1189" s="25"/>
      <c r="AB1189" s="25"/>
      <c r="AC1189" s="25"/>
      <c r="AD1189" s="168"/>
    </row>
    <row r="1190" spans="18:30" ht="69.75" customHeight="1" x14ac:dyDescent="0.25">
      <c r="R1190" s="25"/>
      <c r="S1190" s="25"/>
      <c r="T1190" s="25"/>
      <c r="U1190" s="25"/>
      <c r="V1190" s="25"/>
      <c r="W1190" s="25"/>
      <c r="X1190" s="25"/>
      <c r="Y1190" s="25"/>
      <c r="Z1190" s="25"/>
      <c r="AA1190" s="25"/>
      <c r="AB1190" s="25"/>
      <c r="AC1190" s="25"/>
      <c r="AD1190" s="168"/>
    </row>
    <row r="1191" spans="18:30" ht="69.75" customHeight="1" x14ac:dyDescent="0.25">
      <c r="R1191" s="25"/>
      <c r="S1191" s="25"/>
      <c r="T1191" s="25"/>
      <c r="U1191" s="25"/>
      <c r="V1191" s="25"/>
      <c r="W1191" s="25"/>
      <c r="X1191" s="25"/>
      <c r="Y1191" s="25"/>
      <c r="Z1191" s="25"/>
      <c r="AA1191" s="25"/>
      <c r="AB1191" s="25"/>
      <c r="AC1191" s="25"/>
      <c r="AD1191" s="168"/>
    </row>
    <row r="1192" spans="18:30" ht="69.75" customHeight="1" x14ac:dyDescent="0.25">
      <c r="R1192" s="25"/>
      <c r="S1192" s="25"/>
      <c r="T1192" s="25"/>
      <c r="U1192" s="25"/>
      <c r="V1192" s="25"/>
      <c r="W1192" s="25"/>
      <c r="X1192" s="25"/>
      <c r="Y1192" s="25"/>
      <c r="Z1192" s="25"/>
      <c r="AA1192" s="25"/>
      <c r="AB1192" s="25"/>
      <c r="AC1192" s="25"/>
      <c r="AD1192" s="168"/>
    </row>
    <row r="1193" spans="18:30" ht="69.75" customHeight="1" x14ac:dyDescent="0.25">
      <c r="R1193" s="25"/>
      <c r="S1193" s="25"/>
      <c r="T1193" s="25"/>
      <c r="U1193" s="25"/>
      <c r="V1193" s="25"/>
      <c r="W1193" s="25"/>
      <c r="X1193" s="25"/>
      <c r="Y1193" s="25"/>
      <c r="Z1193" s="25"/>
      <c r="AA1193" s="25"/>
      <c r="AB1193" s="25"/>
      <c r="AC1193" s="25"/>
      <c r="AD1193" s="168"/>
    </row>
    <row r="1194" spans="18:30" ht="69.75" customHeight="1" x14ac:dyDescent="0.25">
      <c r="R1194" s="25"/>
      <c r="S1194" s="25"/>
      <c r="T1194" s="25"/>
      <c r="U1194" s="25"/>
      <c r="V1194" s="25"/>
      <c r="W1194" s="25"/>
      <c r="X1194" s="25"/>
      <c r="Y1194" s="25"/>
      <c r="Z1194" s="25"/>
      <c r="AA1194" s="25"/>
      <c r="AB1194" s="25"/>
      <c r="AC1194" s="25"/>
      <c r="AD1194" s="168"/>
    </row>
    <row r="1195" spans="18:30" ht="69.75" customHeight="1" x14ac:dyDescent="0.25">
      <c r="R1195" s="25"/>
      <c r="S1195" s="25"/>
      <c r="T1195" s="25"/>
      <c r="U1195" s="25"/>
      <c r="V1195" s="25"/>
      <c r="W1195" s="25"/>
      <c r="X1195" s="25"/>
      <c r="Y1195" s="25"/>
      <c r="Z1195" s="25"/>
      <c r="AA1195" s="25"/>
      <c r="AB1195" s="25"/>
      <c r="AC1195" s="25"/>
      <c r="AD1195" s="168"/>
    </row>
    <row r="1196" spans="18:30" ht="69.75" customHeight="1" x14ac:dyDescent="0.25">
      <c r="R1196" s="25"/>
      <c r="S1196" s="25"/>
      <c r="T1196" s="25"/>
      <c r="U1196" s="25"/>
      <c r="V1196" s="25"/>
      <c r="W1196" s="25"/>
      <c r="X1196" s="25"/>
      <c r="Y1196" s="25"/>
      <c r="Z1196" s="25"/>
      <c r="AA1196" s="25"/>
      <c r="AB1196" s="25"/>
      <c r="AC1196" s="25"/>
      <c r="AD1196" s="168"/>
    </row>
    <row r="1197" spans="18:30" ht="69.75" customHeight="1" x14ac:dyDescent="0.25">
      <c r="R1197" s="25"/>
      <c r="S1197" s="25"/>
      <c r="T1197" s="25"/>
      <c r="U1197" s="25"/>
      <c r="V1197" s="25"/>
      <c r="W1197" s="25"/>
      <c r="X1197" s="25"/>
      <c r="Y1197" s="25"/>
      <c r="Z1197" s="25"/>
      <c r="AA1197" s="25"/>
      <c r="AB1197" s="25"/>
      <c r="AC1197" s="25"/>
      <c r="AD1197" s="168"/>
    </row>
    <row r="1198" spans="18:30" ht="69.75" customHeight="1" x14ac:dyDescent="0.25">
      <c r="R1198" s="25"/>
      <c r="S1198" s="25"/>
      <c r="T1198" s="25"/>
      <c r="U1198" s="25"/>
      <c r="V1198" s="25"/>
      <c r="W1198" s="25"/>
      <c r="X1198" s="25"/>
      <c r="Y1198" s="25"/>
      <c r="Z1198" s="25"/>
      <c r="AA1198" s="25"/>
      <c r="AB1198" s="25"/>
      <c r="AC1198" s="25"/>
      <c r="AD1198" s="168"/>
    </row>
    <row r="1199" spans="18:30" ht="69.75" customHeight="1" x14ac:dyDescent="0.25">
      <c r="R1199" s="25"/>
      <c r="S1199" s="25"/>
      <c r="T1199" s="25"/>
      <c r="U1199" s="25"/>
      <c r="V1199" s="25"/>
      <c r="W1199" s="25"/>
      <c r="X1199" s="25"/>
      <c r="Y1199" s="25"/>
      <c r="Z1199" s="25"/>
      <c r="AA1199" s="25"/>
      <c r="AB1199" s="25"/>
      <c r="AC1199" s="25"/>
      <c r="AD1199" s="168"/>
    </row>
    <row r="1200" spans="18:30" ht="69.75" customHeight="1" x14ac:dyDescent="0.25">
      <c r="R1200" s="25"/>
      <c r="S1200" s="25"/>
      <c r="T1200" s="25"/>
      <c r="U1200" s="25"/>
      <c r="V1200" s="25"/>
      <c r="W1200" s="25"/>
      <c r="X1200" s="25"/>
      <c r="Y1200" s="25"/>
      <c r="Z1200" s="25"/>
      <c r="AA1200" s="25"/>
      <c r="AB1200" s="25"/>
      <c r="AC1200" s="25"/>
      <c r="AD1200" s="168"/>
    </row>
    <row r="1201" spans="18:30" ht="69.75" customHeight="1" x14ac:dyDescent="0.25">
      <c r="R1201" s="25"/>
      <c r="S1201" s="25"/>
      <c r="T1201" s="25"/>
      <c r="U1201" s="25"/>
      <c r="V1201" s="25"/>
      <c r="W1201" s="25"/>
      <c r="X1201" s="25"/>
      <c r="Y1201" s="25"/>
      <c r="Z1201" s="25"/>
      <c r="AA1201" s="25"/>
      <c r="AB1201" s="25"/>
      <c r="AC1201" s="25"/>
      <c r="AD1201" s="168"/>
    </row>
    <row r="1202" spans="18:30" ht="69.75" customHeight="1" x14ac:dyDescent="0.25">
      <c r="R1202" s="25"/>
      <c r="S1202" s="25"/>
      <c r="T1202" s="25"/>
      <c r="U1202" s="25"/>
      <c r="V1202" s="25"/>
      <c r="W1202" s="25"/>
      <c r="X1202" s="25"/>
      <c r="Y1202" s="25"/>
      <c r="Z1202" s="25"/>
      <c r="AA1202" s="25"/>
      <c r="AB1202" s="25"/>
      <c r="AC1202" s="25"/>
      <c r="AD1202" s="168"/>
    </row>
    <row r="1203" spans="18:30" ht="69.75" customHeight="1" x14ac:dyDescent="0.25">
      <c r="R1203" s="25"/>
      <c r="S1203" s="25"/>
      <c r="T1203" s="25"/>
      <c r="U1203" s="25"/>
      <c r="V1203" s="25"/>
      <c r="W1203" s="25"/>
      <c r="X1203" s="25"/>
      <c r="Y1203" s="25"/>
      <c r="Z1203" s="25"/>
      <c r="AA1203" s="25"/>
      <c r="AB1203" s="25"/>
      <c r="AC1203" s="25"/>
      <c r="AD1203" s="168"/>
    </row>
    <row r="1204" spans="18:30" ht="69.75" customHeight="1" x14ac:dyDescent="0.25">
      <c r="R1204" s="25"/>
      <c r="S1204" s="25"/>
      <c r="T1204" s="25"/>
      <c r="U1204" s="25"/>
      <c r="V1204" s="25"/>
      <c r="W1204" s="25"/>
      <c r="X1204" s="25"/>
      <c r="Y1204" s="25"/>
      <c r="Z1204" s="25"/>
      <c r="AA1204" s="25"/>
      <c r="AB1204" s="25"/>
      <c r="AC1204" s="25"/>
      <c r="AD1204" s="168"/>
    </row>
    <row r="1205" spans="18:30" ht="69.75" customHeight="1" x14ac:dyDescent="0.25">
      <c r="R1205" s="25"/>
      <c r="S1205" s="25"/>
      <c r="T1205" s="25"/>
      <c r="U1205" s="25"/>
      <c r="V1205" s="25"/>
      <c r="W1205" s="25"/>
      <c r="X1205" s="25"/>
      <c r="Y1205" s="25"/>
      <c r="Z1205" s="25"/>
      <c r="AA1205" s="25"/>
      <c r="AB1205" s="25"/>
      <c r="AC1205" s="25"/>
      <c r="AD1205" s="168"/>
    </row>
    <row r="1206" spans="18:30" ht="69.75" customHeight="1" x14ac:dyDescent="0.25">
      <c r="R1206" s="25"/>
      <c r="S1206" s="25"/>
      <c r="T1206" s="25"/>
      <c r="U1206" s="25"/>
      <c r="V1206" s="25"/>
      <c r="W1206" s="25"/>
      <c r="X1206" s="25"/>
      <c r="Y1206" s="25"/>
      <c r="Z1206" s="25"/>
      <c r="AA1206" s="25"/>
      <c r="AB1206" s="25"/>
      <c r="AC1206" s="25"/>
      <c r="AD1206" s="168"/>
    </row>
    <row r="1207" spans="18:30" ht="69.75" customHeight="1" x14ac:dyDescent="0.25">
      <c r="R1207" s="25"/>
      <c r="S1207" s="25"/>
      <c r="T1207" s="25"/>
      <c r="U1207" s="25"/>
      <c r="V1207" s="25"/>
      <c r="W1207" s="25"/>
      <c r="X1207" s="25"/>
      <c r="Y1207" s="25"/>
      <c r="Z1207" s="25"/>
      <c r="AA1207" s="25"/>
      <c r="AB1207" s="25"/>
      <c r="AC1207" s="25"/>
      <c r="AD1207" s="168"/>
    </row>
    <row r="1208" spans="18:30" ht="69.75" customHeight="1" x14ac:dyDescent="0.25">
      <c r="R1208" s="25"/>
      <c r="S1208" s="25"/>
      <c r="T1208" s="25"/>
      <c r="U1208" s="25"/>
      <c r="V1208" s="25"/>
      <c r="W1208" s="25"/>
      <c r="X1208" s="25"/>
      <c r="Y1208" s="25"/>
      <c r="Z1208" s="25"/>
      <c r="AA1208" s="25"/>
      <c r="AB1208" s="25"/>
      <c r="AC1208" s="25"/>
      <c r="AD1208" s="168"/>
    </row>
    <row r="1209" spans="18:30" ht="69.75" customHeight="1" x14ac:dyDescent="0.25">
      <c r="R1209" s="25"/>
      <c r="S1209" s="25"/>
      <c r="T1209" s="25"/>
      <c r="U1209" s="25"/>
      <c r="V1209" s="25"/>
      <c r="W1209" s="25"/>
      <c r="X1209" s="25"/>
      <c r="Y1209" s="25"/>
      <c r="Z1209" s="25"/>
      <c r="AA1209" s="25"/>
      <c r="AB1209" s="25"/>
      <c r="AC1209" s="25"/>
      <c r="AD1209" s="168"/>
    </row>
    <row r="1210" spans="18:30" ht="69.75" customHeight="1" x14ac:dyDescent="0.25">
      <c r="R1210" s="25"/>
      <c r="S1210" s="25"/>
      <c r="T1210" s="25"/>
      <c r="U1210" s="25"/>
      <c r="V1210" s="25"/>
      <c r="W1210" s="25"/>
      <c r="X1210" s="25"/>
      <c r="Y1210" s="25"/>
      <c r="Z1210" s="25"/>
      <c r="AA1210" s="25"/>
      <c r="AB1210" s="25"/>
      <c r="AC1210" s="25"/>
      <c r="AD1210" s="168"/>
    </row>
    <row r="1211" spans="18:30" ht="69.75" customHeight="1" x14ac:dyDescent="0.25">
      <c r="R1211" s="25"/>
      <c r="S1211" s="25"/>
      <c r="T1211" s="25"/>
      <c r="U1211" s="25"/>
      <c r="V1211" s="25"/>
      <c r="W1211" s="25"/>
      <c r="X1211" s="25"/>
      <c r="Y1211" s="25"/>
      <c r="Z1211" s="25"/>
      <c r="AA1211" s="25"/>
      <c r="AB1211" s="25"/>
      <c r="AC1211" s="25"/>
      <c r="AD1211" s="168"/>
    </row>
    <row r="1212" spans="18:30" ht="69.75" customHeight="1" x14ac:dyDescent="0.25">
      <c r="R1212" s="25"/>
      <c r="S1212" s="25"/>
      <c r="T1212" s="25"/>
      <c r="U1212" s="25"/>
      <c r="V1212" s="25"/>
      <c r="W1212" s="25"/>
      <c r="X1212" s="25"/>
      <c r="Y1212" s="25"/>
      <c r="Z1212" s="25"/>
      <c r="AA1212" s="25"/>
      <c r="AB1212" s="25"/>
      <c r="AC1212" s="25"/>
      <c r="AD1212" s="168"/>
    </row>
    <row r="1213" spans="18:30" ht="69.75" customHeight="1" x14ac:dyDescent="0.25">
      <c r="R1213" s="25"/>
      <c r="S1213" s="25"/>
      <c r="T1213" s="25"/>
      <c r="U1213" s="25"/>
      <c r="V1213" s="25"/>
      <c r="W1213" s="25"/>
      <c r="X1213" s="25"/>
      <c r="Y1213" s="25"/>
      <c r="Z1213" s="25"/>
      <c r="AA1213" s="25"/>
      <c r="AB1213" s="25"/>
      <c r="AC1213" s="25"/>
      <c r="AD1213" s="168"/>
    </row>
    <row r="1214" spans="18:30" ht="69.75" customHeight="1" x14ac:dyDescent="0.25">
      <c r="R1214" s="25"/>
      <c r="S1214" s="25"/>
      <c r="T1214" s="25"/>
      <c r="U1214" s="25"/>
      <c r="V1214" s="25"/>
      <c r="W1214" s="25"/>
      <c r="X1214" s="25"/>
      <c r="Y1214" s="25"/>
      <c r="Z1214" s="25"/>
      <c r="AA1214" s="25"/>
      <c r="AB1214" s="25"/>
      <c r="AC1214" s="25"/>
      <c r="AD1214" s="168"/>
    </row>
    <row r="1215" spans="18:30" ht="69.75" customHeight="1" x14ac:dyDescent="0.25">
      <c r="R1215" s="25"/>
      <c r="S1215" s="25"/>
      <c r="T1215" s="25"/>
      <c r="U1215" s="25"/>
      <c r="V1215" s="25"/>
      <c r="W1215" s="25"/>
      <c r="X1215" s="25"/>
      <c r="Y1215" s="25"/>
      <c r="Z1215" s="25"/>
      <c r="AA1215" s="25"/>
      <c r="AB1215" s="25"/>
      <c r="AC1215" s="25"/>
      <c r="AD1215" s="168"/>
    </row>
    <row r="1216" spans="18:30" ht="69.75" customHeight="1" x14ac:dyDescent="0.25">
      <c r="R1216" s="25"/>
      <c r="S1216" s="25"/>
      <c r="T1216" s="25"/>
      <c r="U1216" s="25"/>
      <c r="V1216" s="25"/>
      <c r="W1216" s="25"/>
      <c r="X1216" s="25"/>
      <c r="Y1216" s="25"/>
      <c r="Z1216" s="25"/>
      <c r="AA1216" s="25"/>
      <c r="AB1216" s="25"/>
      <c r="AC1216" s="25"/>
      <c r="AD1216" s="168"/>
    </row>
    <row r="1217" spans="18:30" ht="69.75" customHeight="1" x14ac:dyDescent="0.25">
      <c r="R1217" s="25"/>
      <c r="S1217" s="25"/>
      <c r="T1217" s="25"/>
      <c r="U1217" s="25"/>
      <c r="V1217" s="25"/>
      <c r="W1217" s="25"/>
      <c r="X1217" s="25"/>
      <c r="Y1217" s="25"/>
      <c r="Z1217" s="25"/>
      <c r="AA1217" s="25"/>
      <c r="AB1217" s="25"/>
      <c r="AC1217" s="25"/>
      <c r="AD1217" s="168"/>
    </row>
    <row r="1218" spans="18:30" ht="69.75" customHeight="1" x14ac:dyDescent="0.25">
      <c r="R1218" s="25"/>
      <c r="S1218" s="25"/>
      <c r="T1218" s="25"/>
      <c r="U1218" s="25"/>
      <c r="V1218" s="25"/>
      <c r="W1218" s="25"/>
      <c r="X1218" s="25"/>
      <c r="Y1218" s="25"/>
      <c r="Z1218" s="25"/>
      <c r="AA1218" s="25"/>
      <c r="AB1218" s="25"/>
      <c r="AC1218" s="25"/>
      <c r="AD1218" s="168"/>
    </row>
    <row r="1219" spans="18:30" ht="69.75" customHeight="1" x14ac:dyDescent="0.25">
      <c r="R1219" s="25"/>
      <c r="S1219" s="25"/>
      <c r="T1219" s="25"/>
      <c r="U1219" s="25"/>
      <c r="V1219" s="25"/>
      <c r="W1219" s="25"/>
      <c r="X1219" s="25"/>
      <c r="Y1219" s="25"/>
      <c r="Z1219" s="25"/>
      <c r="AA1219" s="25"/>
      <c r="AB1219" s="25"/>
      <c r="AC1219" s="25"/>
      <c r="AD1219" s="168"/>
    </row>
    <row r="1220" spans="18:30" ht="69.75" customHeight="1" x14ac:dyDescent="0.25">
      <c r="R1220" s="25"/>
      <c r="S1220" s="25"/>
      <c r="T1220" s="25"/>
      <c r="U1220" s="25"/>
      <c r="V1220" s="25"/>
      <c r="W1220" s="25"/>
      <c r="X1220" s="25"/>
      <c r="Y1220" s="25"/>
      <c r="Z1220" s="25"/>
      <c r="AA1220" s="25"/>
      <c r="AB1220" s="25"/>
      <c r="AC1220" s="25"/>
      <c r="AD1220" s="168"/>
    </row>
    <row r="1221" spans="18:30" ht="69.75" customHeight="1" x14ac:dyDescent="0.25">
      <c r="R1221" s="25"/>
      <c r="S1221" s="25"/>
      <c r="T1221" s="25"/>
      <c r="U1221" s="25"/>
      <c r="V1221" s="25"/>
      <c r="W1221" s="25"/>
      <c r="X1221" s="25"/>
      <c r="Y1221" s="25"/>
      <c r="Z1221" s="25"/>
      <c r="AA1221" s="25"/>
      <c r="AB1221" s="25"/>
      <c r="AC1221" s="25"/>
      <c r="AD1221" s="168"/>
    </row>
    <row r="1222" spans="18:30" ht="69.75" customHeight="1" x14ac:dyDescent="0.25">
      <c r="R1222" s="25"/>
      <c r="S1222" s="25"/>
      <c r="T1222" s="25"/>
      <c r="U1222" s="25"/>
      <c r="V1222" s="25"/>
      <c r="W1222" s="25"/>
      <c r="X1222" s="25"/>
      <c r="Y1222" s="25"/>
      <c r="Z1222" s="25"/>
      <c r="AA1222" s="25"/>
      <c r="AB1222" s="25"/>
      <c r="AC1222" s="25"/>
      <c r="AD1222" s="168"/>
    </row>
    <row r="1223" spans="18:30" ht="69.75" customHeight="1" x14ac:dyDescent="0.25">
      <c r="R1223" s="25"/>
      <c r="S1223" s="25"/>
      <c r="T1223" s="25"/>
      <c r="U1223" s="25"/>
      <c r="V1223" s="25"/>
      <c r="W1223" s="25"/>
      <c r="X1223" s="25"/>
      <c r="Y1223" s="25"/>
      <c r="Z1223" s="25"/>
      <c r="AA1223" s="25"/>
      <c r="AB1223" s="25"/>
      <c r="AC1223" s="25"/>
      <c r="AD1223" s="168"/>
    </row>
    <row r="1224" spans="18:30" ht="69.75" customHeight="1" x14ac:dyDescent="0.25">
      <c r="R1224" s="25"/>
      <c r="S1224" s="25"/>
      <c r="T1224" s="25"/>
      <c r="U1224" s="25"/>
      <c r="V1224" s="25"/>
      <c r="W1224" s="25"/>
      <c r="X1224" s="25"/>
      <c r="Y1224" s="25"/>
      <c r="Z1224" s="25"/>
      <c r="AA1224" s="25"/>
      <c r="AB1224" s="25"/>
      <c r="AC1224" s="25"/>
      <c r="AD1224" s="168"/>
    </row>
    <row r="1225" spans="18:30" ht="69.75" customHeight="1" x14ac:dyDescent="0.25">
      <c r="R1225" s="25"/>
      <c r="S1225" s="25"/>
      <c r="T1225" s="25"/>
      <c r="U1225" s="25"/>
      <c r="V1225" s="25"/>
      <c r="W1225" s="25"/>
      <c r="X1225" s="25"/>
      <c r="Y1225" s="25"/>
      <c r="Z1225" s="25"/>
      <c r="AA1225" s="25"/>
      <c r="AB1225" s="25"/>
      <c r="AC1225" s="25"/>
      <c r="AD1225" s="168"/>
    </row>
    <row r="1226" spans="18:30" ht="69.75" customHeight="1" x14ac:dyDescent="0.25">
      <c r="R1226" s="25"/>
      <c r="S1226" s="25"/>
      <c r="T1226" s="25"/>
      <c r="U1226" s="25"/>
      <c r="V1226" s="25"/>
      <c r="W1226" s="25"/>
      <c r="X1226" s="25"/>
      <c r="Y1226" s="25"/>
      <c r="Z1226" s="25"/>
      <c r="AA1226" s="25"/>
      <c r="AB1226" s="25"/>
      <c r="AC1226" s="25"/>
      <c r="AD1226" s="168"/>
    </row>
    <row r="1227" spans="18:30" ht="69.75" customHeight="1" x14ac:dyDescent="0.25">
      <c r="R1227" s="25"/>
      <c r="S1227" s="25"/>
      <c r="T1227" s="25"/>
      <c r="U1227" s="25"/>
      <c r="V1227" s="25"/>
      <c r="W1227" s="25"/>
      <c r="X1227" s="25"/>
      <c r="Y1227" s="25"/>
      <c r="Z1227" s="25"/>
      <c r="AA1227" s="25"/>
      <c r="AB1227" s="25"/>
      <c r="AC1227" s="25"/>
      <c r="AD1227" s="168"/>
    </row>
    <row r="1228" spans="18:30" ht="69.75" customHeight="1" x14ac:dyDescent="0.25">
      <c r="R1228" s="25"/>
      <c r="S1228" s="25"/>
      <c r="T1228" s="25"/>
      <c r="U1228" s="25"/>
      <c r="V1228" s="25"/>
      <c r="W1228" s="25"/>
      <c r="X1228" s="25"/>
      <c r="Y1228" s="25"/>
      <c r="Z1228" s="25"/>
      <c r="AA1228" s="25"/>
      <c r="AB1228" s="25"/>
      <c r="AC1228" s="25"/>
      <c r="AD1228" s="168"/>
    </row>
    <row r="1229" spans="18:30" ht="69.75" customHeight="1" x14ac:dyDescent="0.25">
      <c r="R1229" s="25"/>
      <c r="S1229" s="25"/>
      <c r="T1229" s="25"/>
      <c r="U1229" s="25"/>
      <c r="V1229" s="25"/>
      <c r="W1229" s="25"/>
      <c r="X1229" s="25"/>
      <c r="Y1229" s="25"/>
      <c r="Z1229" s="25"/>
      <c r="AA1229" s="25"/>
      <c r="AB1229" s="25"/>
      <c r="AC1229" s="25"/>
      <c r="AD1229" s="168"/>
    </row>
    <row r="1230" spans="18:30" ht="69.75" customHeight="1" x14ac:dyDescent="0.25">
      <c r="R1230" s="25"/>
      <c r="S1230" s="25"/>
      <c r="T1230" s="25"/>
      <c r="U1230" s="25"/>
      <c r="V1230" s="25"/>
      <c r="W1230" s="25"/>
      <c r="X1230" s="25"/>
      <c r="Y1230" s="25"/>
      <c r="Z1230" s="25"/>
      <c r="AA1230" s="25"/>
      <c r="AB1230" s="25"/>
      <c r="AC1230" s="25"/>
      <c r="AD1230" s="168"/>
    </row>
    <row r="1231" spans="18:30" ht="69.75" customHeight="1" x14ac:dyDescent="0.25">
      <c r="R1231" s="25"/>
      <c r="S1231" s="25"/>
      <c r="T1231" s="25"/>
      <c r="U1231" s="25"/>
      <c r="V1231" s="25"/>
      <c r="W1231" s="25"/>
      <c r="X1231" s="25"/>
      <c r="Y1231" s="25"/>
      <c r="Z1231" s="25"/>
      <c r="AA1231" s="25"/>
      <c r="AB1231" s="25"/>
      <c r="AC1231" s="25"/>
      <c r="AD1231" s="168"/>
    </row>
    <row r="1232" spans="18:30" ht="69.75" customHeight="1" x14ac:dyDescent="0.25">
      <c r="R1232" s="25"/>
      <c r="S1232" s="25"/>
      <c r="T1232" s="25"/>
      <c r="U1232" s="25"/>
      <c r="V1232" s="25"/>
      <c r="W1232" s="25"/>
      <c r="X1232" s="25"/>
      <c r="Y1232" s="25"/>
      <c r="Z1232" s="25"/>
      <c r="AA1232" s="25"/>
      <c r="AB1232" s="25"/>
      <c r="AC1232" s="25"/>
      <c r="AD1232" s="168"/>
    </row>
    <row r="1233" spans="18:30" ht="69.75" customHeight="1" x14ac:dyDescent="0.25">
      <c r="R1233" s="25"/>
      <c r="S1233" s="25"/>
      <c r="T1233" s="25"/>
      <c r="U1233" s="25"/>
      <c r="V1233" s="25"/>
      <c r="W1233" s="25"/>
      <c r="X1233" s="25"/>
      <c r="Y1233" s="25"/>
      <c r="Z1233" s="25"/>
      <c r="AA1233" s="25"/>
      <c r="AB1233" s="25"/>
      <c r="AC1233" s="25"/>
      <c r="AD1233" s="168"/>
    </row>
    <row r="1234" spans="18:30" ht="69.75" customHeight="1" x14ac:dyDescent="0.25">
      <c r="R1234" s="25"/>
      <c r="S1234" s="25"/>
      <c r="T1234" s="25"/>
      <c r="U1234" s="25"/>
      <c r="V1234" s="25"/>
      <c r="W1234" s="25"/>
      <c r="X1234" s="25"/>
      <c r="Y1234" s="25"/>
      <c r="Z1234" s="25"/>
      <c r="AA1234" s="25"/>
      <c r="AB1234" s="25"/>
      <c r="AC1234" s="25"/>
      <c r="AD1234" s="168"/>
    </row>
    <row r="1235" spans="18:30" ht="69.75" customHeight="1" x14ac:dyDescent="0.25">
      <c r="R1235" s="25"/>
      <c r="S1235" s="25"/>
      <c r="T1235" s="25"/>
      <c r="U1235" s="25"/>
      <c r="V1235" s="25"/>
      <c r="W1235" s="25"/>
      <c r="X1235" s="25"/>
      <c r="Y1235" s="25"/>
      <c r="Z1235" s="25"/>
      <c r="AA1235" s="25"/>
      <c r="AB1235" s="25"/>
      <c r="AC1235" s="25"/>
      <c r="AD1235" s="168"/>
    </row>
    <row r="1236" spans="18:30" ht="69.75" customHeight="1" x14ac:dyDescent="0.25">
      <c r="R1236" s="25"/>
      <c r="S1236" s="25"/>
      <c r="T1236" s="25"/>
      <c r="U1236" s="25"/>
      <c r="V1236" s="25"/>
      <c r="W1236" s="25"/>
      <c r="X1236" s="25"/>
      <c r="Y1236" s="25"/>
      <c r="Z1236" s="25"/>
      <c r="AA1236" s="25"/>
      <c r="AB1236" s="25"/>
      <c r="AC1236" s="25"/>
      <c r="AD1236" s="168"/>
    </row>
    <row r="1237" spans="18:30" ht="69.75" customHeight="1" x14ac:dyDescent="0.25">
      <c r="R1237" s="25"/>
      <c r="S1237" s="25"/>
      <c r="T1237" s="25"/>
      <c r="U1237" s="25"/>
      <c r="V1237" s="25"/>
      <c r="W1237" s="25"/>
      <c r="X1237" s="25"/>
      <c r="Y1237" s="25"/>
      <c r="Z1237" s="25"/>
      <c r="AA1237" s="25"/>
      <c r="AB1237" s="25"/>
      <c r="AC1237" s="25"/>
      <c r="AD1237" s="168"/>
    </row>
    <row r="1238" spans="18:30" ht="69.75" customHeight="1" x14ac:dyDescent="0.25">
      <c r="R1238" s="25"/>
      <c r="S1238" s="25"/>
      <c r="T1238" s="25"/>
      <c r="U1238" s="25"/>
      <c r="V1238" s="25"/>
      <c r="W1238" s="25"/>
      <c r="X1238" s="25"/>
      <c r="Y1238" s="25"/>
      <c r="Z1238" s="25"/>
      <c r="AA1238" s="25"/>
      <c r="AB1238" s="25"/>
      <c r="AC1238" s="25"/>
      <c r="AD1238" s="168"/>
    </row>
    <row r="1239" spans="18:30" ht="69.75" customHeight="1" x14ac:dyDescent="0.25">
      <c r="R1239" s="25"/>
      <c r="S1239" s="25"/>
      <c r="T1239" s="25"/>
      <c r="U1239" s="25"/>
      <c r="V1239" s="25"/>
      <c r="W1239" s="25"/>
      <c r="X1239" s="25"/>
      <c r="Y1239" s="25"/>
      <c r="Z1239" s="25"/>
      <c r="AA1239" s="25"/>
      <c r="AB1239" s="25"/>
      <c r="AC1239" s="25"/>
      <c r="AD1239" s="168"/>
    </row>
    <row r="1240" spans="18:30" ht="69.75" customHeight="1" x14ac:dyDescent="0.25">
      <c r="R1240" s="25"/>
      <c r="S1240" s="25"/>
      <c r="T1240" s="25"/>
      <c r="U1240" s="25"/>
      <c r="V1240" s="25"/>
      <c r="W1240" s="25"/>
      <c r="X1240" s="25"/>
      <c r="Y1240" s="25"/>
      <c r="Z1240" s="25"/>
      <c r="AA1240" s="25"/>
      <c r="AB1240" s="25"/>
      <c r="AC1240" s="25"/>
      <c r="AD1240" s="168"/>
    </row>
    <row r="1241" spans="18:30" ht="69.75" customHeight="1" x14ac:dyDescent="0.25">
      <c r="R1241" s="25"/>
      <c r="S1241" s="25"/>
      <c r="T1241" s="25"/>
      <c r="U1241" s="25"/>
      <c r="V1241" s="25"/>
      <c r="W1241" s="25"/>
      <c r="X1241" s="25"/>
      <c r="Y1241" s="25"/>
      <c r="Z1241" s="25"/>
      <c r="AA1241" s="25"/>
      <c r="AB1241" s="25"/>
      <c r="AC1241" s="25"/>
      <c r="AD1241" s="168"/>
    </row>
    <row r="1242" spans="18:30" ht="69.75" customHeight="1" x14ac:dyDescent="0.25">
      <c r="R1242" s="25"/>
      <c r="S1242" s="25"/>
      <c r="T1242" s="25"/>
      <c r="U1242" s="25"/>
      <c r="V1242" s="25"/>
      <c r="W1242" s="25"/>
      <c r="X1242" s="25"/>
      <c r="Y1242" s="25"/>
      <c r="Z1242" s="25"/>
      <c r="AA1242" s="25"/>
      <c r="AB1242" s="25"/>
      <c r="AC1242" s="25"/>
      <c r="AD1242" s="168"/>
    </row>
    <row r="1243" spans="18:30" ht="69.75" customHeight="1" x14ac:dyDescent="0.25">
      <c r="R1243" s="25"/>
      <c r="S1243" s="25"/>
      <c r="T1243" s="25"/>
      <c r="U1243" s="25"/>
      <c r="V1243" s="25"/>
      <c r="W1243" s="25"/>
      <c r="X1243" s="25"/>
      <c r="Y1243" s="25"/>
      <c r="Z1243" s="25"/>
      <c r="AA1243" s="25"/>
      <c r="AB1243" s="25"/>
      <c r="AC1243" s="25"/>
      <c r="AD1243" s="168"/>
    </row>
    <row r="1244" spans="18:30" ht="69.75" customHeight="1" x14ac:dyDescent="0.25">
      <c r="R1244" s="25"/>
      <c r="S1244" s="25"/>
      <c r="T1244" s="25"/>
      <c r="U1244" s="25"/>
      <c r="V1244" s="25"/>
      <c r="W1244" s="25"/>
      <c r="X1244" s="25"/>
      <c r="Y1244" s="25"/>
      <c r="Z1244" s="25"/>
      <c r="AA1244" s="25"/>
      <c r="AB1244" s="25"/>
      <c r="AC1244" s="25"/>
      <c r="AD1244" s="168"/>
    </row>
    <row r="1245" spans="18:30" ht="69.75" customHeight="1" x14ac:dyDescent="0.25">
      <c r="R1245" s="25"/>
      <c r="S1245" s="25"/>
      <c r="T1245" s="25"/>
      <c r="U1245" s="25"/>
      <c r="V1245" s="25"/>
      <c r="W1245" s="25"/>
      <c r="X1245" s="25"/>
      <c r="Y1245" s="25"/>
      <c r="Z1245" s="25"/>
      <c r="AA1245" s="25"/>
      <c r="AB1245" s="25"/>
      <c r="AC1245" s="25"/>
      <c r="AD1245" s="168"/>
    </row>
    <row r="1246" spans="18:30" ht="69.75" customHeight="1" x14ac:dyDescent="0.25">
      <c r="R1246" s="25"/>
      <c r="S1246" s="25"/>
      <c r="T1246" s="25"/>
      <c r="U1246" s="25"/>
      <c r="V1246" s="25"/>
      <c r="W1246" s="25"/>
      <c r="X1246" s="25"/>
      <c r="Y1246" s="25"/>
      <c r="Z1246" s="25"/>
      <c r="AA1246" s="25"/>
      <c r="AB1246" s="25"/>
      <c r="AC1246" s="25"/>
      <c r="AD1246" s="168"/>
    </row>
    <row r="1247" spans="18:30" ht="69.75" customHeight="1" x14ac:dyDescent="0.25">
      <c r="R1247" s="25"/>
      <c r="S1247" s="25"/>
      <c r="T1247" s="25"/>
      <c r="U1247" s="25"/>
      <c r="V1247" s="25"/>
      <c r="W1247" s="25"/>
      <c r="X1247" s="25"/>
      <c r="Y1247" s="25"/>
      <c r="Z1247" s="25"/>
      <c r="AA1247" s="25"/>
      <c r="AB1247" s="25"/>
      <c r="AC1247" s="25"/>
      <c r="AD1247" s="168"/>
    </row>
    <row r="1248" spans="18:30" ht="69.75" customHeight="1" x14ac:dyDescent="0.25">
      <c r="R1248" s="25"/>
      <c r="S1248" s="25"/>
      <c r="T1248" s="25"/>
      <c r="U1248" s="25"/>
      <c r="V1248" s="25"/>
      <c r="W1248" s="25"/>
      <c r="X1248" s="25"/>
      <c r="Y1248" s="25"/>
      <c r="Z1248" s="25"/>
      <c r="AA1248" s="25"/>
      <c r="AB1248" s="25"/>
      <c r="AC1248" s="25"/>
      <c r="AD1248" s="168"/>
    </row>
    <row r="1249" spans="18:30" ht="69.75" customHeight="1" x14ac:dyDescent="0.25">
      <c r="R1249" s="25"/>
      <c r="S1249" s="25"/>
      <c r="T1249" s="25"/>
      <c r="U1249" s="25"/>
      <c r="V1249" s="25"/>
      <c r="W1249" s="25"/>
      <c r="X1249" s="25"/>
      <c r="Y1249" s="25"/>
      <c r="Z1249" s="25"/>
      <c r="AA1249" s="25"/>
      <c r="AB1249" s="25"/>
      <c r="AC1249" s="25"/>
      <c r="AD1249" s="168"/>
    </row>
    <row r="1250" spans="18:30" ht="69.75" customHeight="1" x14ac:dyDescent="0.25">
      <c r="R1250" s="25"/>
      <c r="S1250" s="25"/>
      <c r="T1250" s="25"/>
      <c r="U1250" s="25"/>
      <c r="V1250" s="25"/>
      <c r="W1250" s="25"/>
      <c r="X1250" s="25"/>
      <c r="Y1250" s="25"/>
      <c r="Z1250" s="25"/>
      <c r="AA1250" s="25"/>
      <c r="AB1250" s="25"/>
      <c r="AC1250" s="25"/>
      <c r="AD1250" s="168"/>
    </row>
    <row r="1251" spans="18:30" ht="69.75" customHeight="1" x14ac:dyDescent="0.25">
      <c r="R1251" s="25"/>
      <c r="S1251" s="25"/>
      <c r="T1251" s="25"/>
      <c r="U1251" s="25"/>
      <c r="V1251" s="25"/>
      <c r="W1251" s="25"/>
      <c r="X1251" s="25"/>
      <c r="Y1251" s="25"/>
      <c r="Z1251" s="25"/>
      <c r="AA1251" s="25"/>
      <c r="AB1251" s="25"/>
      <c r="AC1251" s="25"/>
      <c r="AD1251" s="168"/>
    </row>
    <row r="1252" spans="18:30" ht="69.75" customHeight="1" x14ac:dyDescent="0.25">
      <c r="R1252" s="25"/>
      <c r="S1252" s="25"/>
      <c r="T1252" s="25"/>
      <c r="U1252" s="25"/>
      <c r="V1252" s="25"/>
      <c r="W1252" s="25"/>
      <c r="X1252" s="25"/>
      <c r="Y1252" s="25"/>
      <c r="Z1252" s="25"/>
      <c r="AA1252" s="25"/>
      <c r="AB1252" s="25"/>
      <c r="AC1252" s="25"/>
      <c r="AD1252" s="168"/>
    </row>
    <row r="1253" spans="18:30" ht="69.75" customHeight="1" x14ac:dyDescent="0.25">
      <c r="R1253" s="25"/>
      <c r="S1253" s="25"/>
      <c r="T1253" s="25"/>
      <c r="U1253" s="25"/>
      <c r="V1253" s="25"/>
      <c r="W1253" s="25"/>
      <c r="X1253" s="25"/>
      <c r="Y1253" s="25"/>
      <c r="Z1253" s="25"/>
      <c r="AA1253" s="25"/>
      <c r="AB1253" s="25"/>
      <c r="AC1253" s="25"/>
      <c r="AD1253" s="168"/>
    </row>
    <row r="1254" spans="18:30" ht="69.75" customHeight="1" x14ac:dyDescent="0.25">
      <c r="R1254" s="25"/>
      <c r="S1254" s="25"/>
      <c r="T1254" s="25"/>
      <c r="U1254" s="25"/>
      <c r="V1254" s="25"/>
      <c r="W1254" s="25"/>
      <c r="X1254" s="25"/>
      <c r="Y1254" s="25"/>
      <c r="Z1254" s="25"/>
      <c r="AA1254" s="25"/>
      <c r="AB1254" s="25"/>
      <c r="AC1254" s="25"/>
      <c r="AD1254" s="168"/>
    </row>
    <row r="1255" spans="18:30" ht="69.75" customHeight="1" x14ac:dyDescent="0.25">
      <c r="R1255" s="25"/>
      <c r="S1255" s="25"/>
      <c r="T1255" s="25"/>
      <c r="U1255" s="25"/>
      <c r="V1255" s="25"/>
      <c r="W1255" s="25"/>
      <c r="X1255" s="25"/>
      <c r="Y1255" s="25"/>
      <c r="Z1255" s="25"/>
      <c r="AA1255" s="25"/>
      <c r="AB1255" s="25"/>
      <c r="AC1255" s="25"/>
      <c r="AD1255" s="168"/>
    </row>
    <row r="1256" spans="18:30" ht="69.75" customHeight="1" x14ac:dyDescent="0.25">
      <c r="R1256" s="25"/>
      <c r="S1256" s="25"/>
      <c r="T1256" s="25"/>
      <c r="U1256" s="25"/>
      <c r="V1256" s="25"/>
      <c r="W1256" s="25"/>
      <c r="X1256" s="25"/>
      <c r="Y1256" s="25"/>
      <c r="Z1256" s="25"/>
      <c r="AA1256" s="25"/>
      <c r="AB1256" s="25"/>
      <c r="AC1256" s="25"/>
      <c r="AD1256" s="168"/>
    </row>
    <row r="1257" spans="18:30" ht="69.75" customHeight="1" x14ac:dyDescent="0.25">
      <c r="R1257" s="25"/>
      <c r="S1257" s="25"/>
      <c r="T1257" s="25"/>
      <c r="U1257" s="25"/>
      <c r="V1257" s="25"/>
      <c r="W1257" s="25"/>
      <c r="X1257" s="25"/>
      <c r="Y1257" s="25"/>
      <c r="Z1257" s="25"/>
      <c r="AA1257" s="25"/>
      <c r="AB1257" s="25"/>
      <c r="AC1257" s="25"/>
      <c r="AD1257" s="168"/>
    </row>
    <row r="1258" spans="18:30" ht="69.75" customHeight="1" x14ac:dyDescent="0.25">
      <c r="R1258" s="25"/>
      <c r="S1258" s="25"/>
      <c r="T1258" s="25"/>
      <c r="U1258" s="25"/>
      <c r="V1258" s="25"/>
      <c r="W1258" s="25"/>
      <c r="X1258" s="25"/>
      <c r="Y1258" s="25"/>
      <c r="Z1258" s="25"/>
      <c r="AA1258" s="25"/>
      <c r="AB1258" s="25"/>
      <c r="AC1258" s="25"/>
      <c r="AD1258" s="168"/>
    </row>
    <row r="1259" spans="18:30" ht="69.75" customHeight="1" x14ac:dyDescent="0.25">
      <c r="R1259" s="25"/>
      <c r="S1259" s="25"/>
      <c r="T1259" s="25"/>
      <c r="U1259" s="25"/>
      <c r="V1259" s="25"/>
      <c r="W1259" s="25"/>
      <c r="X1259" s="25"/>
      <c r="Y1259" s="25"/>
      <c r="Z1259" s="25"/>
      <c r="AA1259" s="25"/>
      <c r="AB1259" s="25"/>
      <c r="AC1259" s="25"/>
      <c r="AD1259" s="168"/>
    </row>
    <row r="1260" spans="18:30" ht="69.75" customHeight="1" x14ac:dyDescent="0.25">
      <c r="R1260" s="25"/>
      <c r="S1260" s="25"/>
      <c r="T1260" s="25"/>
      <c r="U1260" s="25"/>
      <c r="V1260" s="25"/>
      <c r="W1260" s="25"/>
      <c r="X1260" s="25"/>
      <c r="Y1260" s="25"/>
      <c r="Z1260" s="25"/>
      <c r="AA1260" s="25"/>
      <c r="AB1260" s="25"/>
      <c r="AC1260" s="25"/>
      <c r="AD1260" s="168"/>
    </row>
    <row r="1261" spans="18:30" ht="69.75" customHeight="1" x14ac:dyDescent="0.25">
      <c r="R1261" s="25"/>
      <c r="S1261" s="25"/>
      <c r="T1261" s="25"/>
      <c r="U1261" s="25"/>
      <c r="V1261" s="25"/>
      <c r="W1261" s="25"/>
      <c r="X1261" s="25"/>
      <c r="Y1261" s="25"/>
      <c r="Z1261" s="25"/>
      <c r="AA1261" s="25"/>
      <c r="AB1261" s="25"/>
      <c r="AC1261" s="25"/>
      <c r="AD1261" s="168"/>
    </row>
    <row r="1262" spans="18:30" ht="69.75" customHeight="1" x14ac:dyDescent="0.25">
      <c r="R1262" s="25"/>
      <c r="S1262" s="25"/>
      <c r="T1262" s="25"/>
      <c r="U1262" s="25"/>
      <c r="V1262" s="25"/>
      <c r="W1262" s="25"/>
      <c r="X1262" s="25"/>
      <c r="Y1262" s="25"/>
      <c r="Z1262" s="25"/>
      <c r="AA1262" s="25"/>
      <c r="AB1262" s="25"/>
      <c r="AC1262" s="25"/>
      <c r="AD1262" s="168"/>
    </row>
    <row r="1263" spans="18:30" ht="69.75" customHeight="1" x14ac:dyDescent="0.25">
      <c r="R1263" s="25"/>
      <c r="S1263" s="25"/>
      <c r="T1263" s="25"/>
      <c r="U1263" s="25"/>
      <c r="V1263" s="25"/>
      <c r="W1263" s="25"/>
      <c r="X1263" s="25"/>
      <c r="Y1263" s="25"/>
      <c r="Z1263" s="25"/>
      <c r="AA1263" s="25"/>
      <c r="AB1263" s="25"/>
      <c r="AC1263" s="25"/>
      <c r="AD1263" s="168"/>
    </row>
    <row r="1264" spans="18:30" ht="69.75" customHeight="1" x14ac:dyDescent="0.25">
      <c r="R1264" s="25"/>
      <c r="S1264" s="25"/>
      <c r="T1264" s="25"/>
      <c r="U1264" s="25"/>
      <c r="V1264" s="25"/>
      <c r="W1264" s="25"/>
      <c r="X1264" s="25"/>
      <c r="Y1264" s="25"/>
      <c r="Z1264" s="25"/>
      <c r="AA1264" s="25"/>
      <c r="AB1264" s="25"/>
      <c r="AC1264" s="25"/>
      <c r="AD1264" s="168"/>
    </row>
    <row r="1265" spans="18:30" ht="69.75" customHeight="1" x14ac:dyDescent="0.25">
      <c r="R1265" s="25"/>
      <c r="S1265" s="25"/>
      <c r="T1265" s="25"/>
      <c r="U1265" s="25"/>
      <c r="V1265" s="25"/>
      <c r="W1265" s="25"/>
      <c r="X1265" s="25"/>
      <c r="Y1265" s="25"/>
      <c r="Z1265" s="25"/>
      <c r="AA1265" s="25"/>
      <c r="AB1265" s="25"/>
      <c r="AC1265" s="25"/>
      <c r="AD1265" s="168"/>
    </row>
    <row r="1266" spans="18:30" ht="69.75" customHeight="1" x14ac:dyDescent="0.25">
      <c r="R1266" s="25"/>
      <c r="S1266" s="25"/>
      <c r="T1266" s="25"/>
      <c r="U1266" s="25"/>
      <c r="V1266" s="25"/>
      <c r="W1266" s="25"/>
      <c r="X1266" s="25"/>
      <c r="Y1266" s="25"/>
      <c r="Z1266" s="25"/>
      <c r="AA1266" s="25"/>
      <c r="AB1266" s="25"/>
      <c r="AC1266" s="25"/>
      <c r="AD1266" s="168"/>
    </row>
    <row r="1267" spans="18:30" ht="69.75" customHeight="1" x14ac:dyDescent="0.25">
      <c r="R1267" s="25"/>
      <c r="S1267" s="25"/>
      <c r="T1267" s="25"/>
      <c r="U1267" s="25"/>
      <c r="V1267" s="25"/>
      <c r="W1267" s="25"/>
      <c r="X1267" s="25"/>
      <c r="Y1267" s="25"/>
      <c r="Z1267" s="25"/>
      <c r="AA1267" s="25"/>
      <c r="AB1267" s="25"/>
      <c r="AC1267" s="25"/>
      <c r="AD1267" s="168"/>
    </row>
    <row r="1268" spans="18:30" ht="69.75" customHeight="1" x14ac:dyDescent="0.25">
      <c r="R1268" s="25"/>
      <c r="S1268" s="25"/>
      <c r="T1268" s="25"/>
      <c r="U1268" s="25"/>
      <c r="V1268" s="25"/>
      <c r="W1268" s="25"/>
      <c r="X1268" s="25"/>
      <c r="Y1268" s="25"/>
      <c r="Z1268" s="25"/>
      <c r="AA1268" s="25"/>
      <c r="AB1268" s="25"/>
      <c r="AC1268" s="25"/>
      <c r="AD1268" s="168"/>
    </row>
    <row r="1269" spans="18:30" ht="69.75" customHeight="1" x14ac:dyDescent="0.25">
      <c r="R1269" s="25"/>
      <c r="S1269" s="25"/>
      <c r="T1269" s="25"/>
      <c r="U1269" s="25"/>
      <c r="V1269" s="25"/>
      <c r="W1269" s="25"/>
      <c r="X1269" s="25"/>
      <c r="Y1269" s="25"/>
      <c r="Z1269" s="25"/>
      <c r="AA1269" s="25"/>
      <c r="AB1269" s="25"/>
      <c r="AC1269" s="25"/>
      <c r="AD1269" s="168"/>
    </row>
    <row r="1270" spans="18:30" ht="69.75" customHeight="1" x14ac:dyDescent="0.25">
      <c r="R1270" s="25"/>
      <c r="S1270" s="25"/>
      <c r="T1270" s="25"/>
      <c r="U1270" s="25"/>
      <c r="V1270" s="25"/>
      <c r="W1270" s="25"/>
      <c r="X1270" s="25"/>
      <c r="Y1270" s="25"/>
      <c r="Z1270" s="25"/>
      <c r="AA1270" s="25"/>
      <c r="AB1270" s="25"/>
      <c r="AC1270" s="25"/>
      <c r="AD1270" s="168"/>
    </row>
    <row r="1271" spans="18:30" ht="69.75" customHeight="1" x14ac:dyDescent="0.25">
      <c r="R1271" s="25"/>
      <c r="S1271" s="25"/>
      <c r="T1271" s="25"/>
      <c r="U1271" s="25"/>
      <c r="V1271" s="25"/>
      <c r="W1271" s="25"/>
      <c r="X1271" s="25"/>
      <c r="Y1271" s="25"/>
      <c r="Z1271" s="25"/>
      <c r="AA1271" s="25"/>
      <c r="AB1271" s="25"/>
      <c r="AC1271" s="25"/>
      <c r="AD1271" s="168"/>
    </row>
    <row r="1272" spans="18:30" ht="69.75" customHeight="1" x14ac:dyDescent="0.25">
      <c r="R1272" s="25"/>
      <c r="S1272" s="25"/>
      <c r="T1272" s="25"/>
      <c r="U1272" s="25"/>
      <c r="V1272" s="25"/>
      <c r="W1272" s="25"/>
      <c r="X1272" s="25"/>
      <c r="Y1272" s="25"/>
      <c r="Z1272" s="25"/>
      <c r="AA1272" s="25"/>
      <c r="AB1272" s="25"/>
      <c r="AC1272" s="25"/>
      <c r="AD1272" s="168"/>
    </row>
    <row r="1273" spans="18:30" ht="69.75" customHeight="1" x14ac:dyDescent="0.25">
      <c r="R1273" s="25"/>
      <c r="S1273" s="25"/>
      <c r="T1273" s="25"/>
      <c r="U1273" s="25"/>
      <c r="V1273" s="25"/>
      <c r="W1273" s="25"/>
      <c r="X1273" s="25"/>
      <c r="Y1273" s="25"/>
      <c r="Z1273" s="25"/>
      <c r="AA1273" s="25"/>
      <c r="AB1273" s="25"/>
      <c r="AC1273" s="25"/>
      <c r="AD1273" s="168"/>
    </row>
    <row r="1274" spans="18:30" ht="69.75" customHeight="1" x14ac:dyDescent="0.25">
      <c r="R1274" s="25"/>
      <c r="S1274" s="25"/>
      <c r="T1274" s="25"/>
      <c r="U1274" s="25"/>
      <c r="V1274" s="25"/>
      <c r="W1274" s="25"/>
      <c r="X1274" s="25"/>
      <c r="Y1274" s="25"/>
      <c r="Z1274" s="25"/>
      <c r="AA1274" s="25"/>
      <c r="AB1274" s="25"/>
      <c r="AC1274" s="25"/>
      <c r="AD1274" s="168"/>
    </row>
    <row r="1275" spans="18:30" ht="69.75" customHeight="1" x14ac:dyDescent="0.25">
      <c r="R1275" s="25"/>
      <c r="S1275" s="25"/>
      <c r="T1275" s="25"/>
      <c r="U1275" s="25"/>
      <c r="V1275" s="25"/>
      <c r="W1275" s="25"/>
      <c r="X1275" s="25"/>
      <c r="Y1275" s="25"/>
      <c r="Z1275" s="25"/>
      <c r="AA1275" s="25"/>
      <c r="AB1275" s="25"/>
      <c r="AC1275" s="25"/>
      <c r="AD1275" s="168"/>
    </row>
    <row r="1276" spans="18:30" ht="69.75" customHeight="1" x14ac:dyDescent="0.25">
      <c r="R1276" s="25"/>
      <c r="S1276" s="25"/>
      <c r="T1276" s="25"/>
      <c r="U1276" s="25"/>
      <c r="V1276" s="25"/>
      <c r="W1276" s="25"/>
      <c r="X1276" s="25"/>
      <c r="Y1276" s="25"/>
      <c r="Z1276" s="25"/>
      <c r="AA1276" s="25"/>
      <c r="AB1276" s="25"/>
      <c r="AC1276" s="25"/>
      <c r="AD1276" s="168"/>
    </row>
    <row r="1277" spans="18:30" ht="69.75" customHeight="1" x14ac:dyDescent="0.25">
      <c r="R1277" s="25"/>
      <c r="S1277" s="25"/>
      <c r="T1277" s="25"/>
      <c r="U1277" s="25"/>
      <c r="V1277" s="25"/>
      <c r="W1277" s="25"/>
      <c r="X1277" s="25"/>
      <c r="Y1277" s="25"/>
      <c r="Z1277" s="25"/>
      <c r="AA1277" s="25"/>
      <c r="AB1277" s="25"/>
      <c r="AC1277" s="25"/>
      <c r="AD1277" s="168"/>
    </row>
    <row r="1278" spans="18:30" ht="69.75" customHeight="1" x14ac:dyDescent="0.25">
      <c r="R1278" s="25"/>
      <c r="S1278" s="25"/>
      <c r="T1278" s="25"/>
      <c r="U1278" s="25"/>
      <c r="V1278" s="25"/>
      <c r="W1278" s="25"/>
      <c r="X1278" s="25"/>
      <c r="Y1278" s="25"/>
      <c r="Z1278" s="25"/>
      <c r="AA1278" s="25"/>
      <c r="AB1278" s="25"/>
      <c r="AC1278" s="25"/>
      <c r="AD1278" s="168"/>
    </row>
    <row r="1279" spans="18:30" ht="69.75" customHeight="1" x14ac:dyDescent="0.25">
      <c r="R1279" s="25"/>
      <c r="S1279" s="25"/>
      <c r="T1279" s="25"/>
      <c r="U1279" s="25"/>
      <c r="V1279" s="25"/>
      <c r="W1279" s="25"/>
      <c r="X1279" s="25"/>
      <c r="Y1279" s="25"/>
      <c r="Z1279" s="25"/>
      <c r="AA1279" s="25"/>
      <c r="AB1279" s="25"/>
      <c r="AC1279" s="25"/>
      <c r="AD1279" s="168"/>
    </row>
    <row r="1280" spans="18:30" ht="69.75" customHeight="1" x14ac:dyDescent="0.25">
      <c r="R1280" s="25"/>
      <c r="S1280" s="25"/>
      <c r="T1280" s="25"/>
      <c r="U1280" s="25"/>
      <c r="V1280" s="25"/>
      <c r="W1280" s="25"/>
      <c r="X1280" s="25"/>
      <c r="Y1280" s="25"/>
      <c r="Z1280" s="25"/>
      <c r="AA1280" s="25"/>
      <c r="AB1280" s="25"/>
      <c r="AC1280" s="25"/>
      <c r="AD1280" s="168"/>
    </row>
    <row r="1281" spans="18:30" ht="69.75" customHeight="1" x14ac:dyDescent="0.25">
      <c r="R1281" s="25"/>
      <c r="S1281" s="25"/>
      <c r="T1281" s="25"/>
      <c r="U1281" s="25"/>
      <c r="V1281" s="25"/>
      <c r="W1281" s="25"/>
      <c r="X1281" s="25"/>
      <c r="Y1281" s="25"/>
      <c r="Z1281" s="25"/>
      <c r="AA1281" s="25"/>
      <c r="AB1281" s="25"/>
      <c r="AC1281" s="25"/>
      <c r="AD1281" s="168"/>
    </row>
    <row r="1282" spans="18:30" ht="69.75" customHeight="1" x14ac:dyDescent="0.25">
      <c r="R1282" s="25"/>
      <c r="S1282" s="25"/>
      <c r="T1282" s="25"/>
      <c r="U1282" s="25"/>
      <c r="V1282" s="25"/>
      <c r="W1282" s="25"/>
      <c r="X1282" s="25"/>
      <c r="Y1282" s="25"/>
      <c r="Z1282" s="25"/>
      <c r="AA1282" s="25"/>
      <c r="AB1282" s="25"/>
      <c r="AC1282" s="25"/>
      <c r="AD1282" s="168"/>
    </row>
    <row r="1283" spans="18:30" ht="69.75" customHeight="1" x14ac:dyDescent="0.25">
      <c r="R1283" s="25"/>
      <c r="S1283" s="25"/>
      <c r="T1283" s="25"/>
      <c r="U1283" s="25"/>
      <c r="V1283" s="25"/>
      <c r="W1283" s="25"/>
      <c r="X1283" s="25"/>
      <c r="Y1283" s="25"/>
      <c r="Z1283" s="25"/>
      <c r="AA1283" s="25"/>
      <c r="AB1283" s="25"/>
      <c r="AC1283" s="25"/>
      <c r="AD1283" s="168"/>
    </row>
    <row r="1284" spans="18:30" ht="69.75" customHeight="1" x14ac:dyDescent="0.25">
      <c r="R1284" s="25"/>
      <c r="S1284" s="25"/>
      <c r="T1284" s="25"/>
      <c r="U1284" s="25"/>
      <c r="V1284" s="25"/>
      <c r="W1284" s="25"/>
      <c r="X1284" s="25"/>
      <c r="Y1284" s="25"/>
      <c r="Z1284" s="25"/>
      <c r="AA1284" s="25"/>
      <c r="AB1284" s="25"/>
      <c r="AC1284" s="25"/>
      <c r="AD1284" s="168"/>
    </row>
    <row r="1285" spans="18:30" ht="69.75" customHeight="1" x14ac:dyDescent="0.25">
      <c r="R1285" s="25"/>
      <c r="S1285" s="25"/>
      <c r="T1285" s="25"/>
      <c r="U1285" s="25"/>
      <c r="V1285" s="25"/>
      <c r="W1285" s="25"/>
      <c r="X1285" s="25"/>
      <c r="Y1285" s="25"/>
      <c r="Z1285" s="25"/>
      <c r="AA1285" s="25"/>
      <c r="AB1285" s="25"/>
      <c r="AC1285" s="25"/>
      <c r="AD1285" s="168"/>
    </row>
    <row r="1286" spans="18:30" ht="69.75" customHeight="1" x14ac:dyDescent="0.25">
      <c r="R1286" s="25"/>
      <c r="S1286" s="25"/>
      <c r="T1286" s="25"/>
      <c r="U1286" s="25"/>
      <c r="V1286" s="25"/>
      <c r="W1286" s="25"/>
      <c r="X1286" s="25"/>
      <c r="Y1286" s="25"/>
      <c r="Z1286" s="25"/>
      <c r="AA1286" s="25"/>
      <c r="AB1286" s="25"/>
      <c r="AC1286" s="25"/>
      <c r="AD1286" s="168"/>
    </row>
    <row r="1287" spans="18:30" ht="69.75" customHeight="1" x14ac:dyDescent="0.25">
      <c r="R1287" s="25"/>
      <c r="S1287" s="25"/>
      <c r="T1287" s="25"/>
      <c r="U1287" s="25"/>
      <c r="V1287" s="25"/>
      <c r="W1287" s="25"/>
      <c r="X1287" s="25"/>
      <c r="Y1287" s="25"/>
      <c r="Z1287" s="25"/>
      <c r="AA1287" s="25"/>
      <c r="AB1287" s="25"/>
      <c r="AC1287" s="25"/>
      <c r="AD1287" s="168"/>
    </row>
    <row r="1288" spans="18:30" ht="69.75" customHeight="1" x14ac:dyDescent="0.25">
      <c r="R1288" s="25"/>
      <c r="S1288" s="25"/>
      <c r="T1288" s="25"/>
      <c r="U1288" s="25"/>
      <c r="V1288" s="25"/>
      <c r="W1288" s="25"/>
      <c r="X1288" s="25"/>
      <c r="Y1288" s="25"/>
      <c r="Z1288" s="25"/>
      <c r="AA1288" s="25"/>
      <c r="AB1288" s="25"/>
      <c r="AC1288" s="25"/>
      <c r="AD1288" s="168"/>
    </row>
    <row r="1289" spans="18:30" ht="69.75" customHeight="1" x14ac:dyDescent="0.25">
      <c r="R1289" s="25"/>
      <c r="S1289" s="25"/>
      <c r="T1289" s="25"/>
      <c r="U1289" s="25"/>
      <c r="V1289" s="25"/>
      <c r="W1289" s="25"/>
      <c r="X1289" s="25"/>
      <c r="Y1289" s="25"/>
      <c r="Z1289" s="25"/>
      <c r="AA1289" s="25"/>
      <c r="AB1289" s="25"/>
      <c r="AC1289" s="25"/>
      <c r="AD1289" s="168"/>
    </row>
    <row r="1290" spans="18:30" ht="69.75" customHeight="1" x14ac:dyDescent="0.25">
      <c r="R1290" s="25"/>
      <c r="S1290" s="25"/>
      <c r="T1290" s="25"/>
      <c r="U1290" s="25"/>
      <c r="V1290" s="25"/>
      <c r="W1290" s="25"/>
      <c r="X1290" s="25"/>
      <c r="Y1290" s="25"/>
      <c r="Z1290" s="25"/>
      <c r="AA1290" s="25"/>
      <c r="AB1290" s="25"/>
      <c r="AC1290" s="25"/>
      <c r="AD1290" s="168"/>
    </row>
    <row r="1291" spans="18:30" ht="69.75" customHeight="1" x14ac:dyDescent="0.25">
      <c r="R1291" s="25"/>
      <c r="S1291" s="25"/>
      <c r="T1291" s="25"/>
      <c r="U1291" s="25"/>
      <c r="V1291" s="25"/>
      <c r="W1291" s="25"/>
      <c r="X1291" s="25"/>
      <c r="Y1291" s="25"/>
      <c r="Z1291" s="25"/>
      <c r="AA1291" s="25"/>
      <c r="AB1291" s="25"/>
      <c r="AC1291" s="25"/>
      <c r="AD1291" s="168"/>
    </row>
    <row r="1292" spans="18:30" ht="69.75" customHeight="1" x14ac:dyDescent="0.25">
      <c r="R1292" s="25"/>
      <c r="S1292" s="25"/>
      <c r="T1292" s="25"/>
      <c r="U1292" s="25"/>
      <c r="V1292" s="25"/>
      <c r="W1292" s="25"/>
      <c r="X1292" s="25"/>
      <c r="Y1292" s="25"/>
      <c r="Z1292" s="25"/>
      <c r="AA1292" s="25"/>
      <c r="AB1292" s="25"/>
      <c r="AC1292" s="25"/>
      <c r="AD1292" s="168"/>
    </row>
    <row r="1293" spans="18:30" ht="69.75" customHeight="1" x14ac:dyDescent="0.25">
      <c r="R1293" s="25"/>
      <c r="S1293" s="25"/>
      <c r="T1293" s="25"/>
      <c r="U1293" s="25"/>
      <c r="V1293" s="25"/>
      <c r="W1293" s="25"/>
      <c r="X1293" s="25"/>
      <c r="Y1293" s="25"/>
      <c r="Z1293" s="25"/>
      <c r="AA1293" s="25"/>
      <c r="AB1293" s="25"/>
      <c r="AC1293" s="25"/>
      <c r="AD1293" s="168"/>
    </row>
    <row r="1294" spans="18:30" ht="69.75" customHeight="1" x14ac:dyDescent="0.25">
      <c r="R1294" s="25"/>
      <c r="S1294" s="25"/>
      <c r="T1294" s="25"/>
      <c r="U1294" s="25"/>
      <c r="V1294" s="25"/>
      <c r="W1294" s="25"/>
      <c r="X1294" s="25"/>
      <c r="Y1294" s="25"/>
      <c r="Z1294" s="25"/>
      <c r="AA1294" s="25"/>
      <c r="AB1294" s="25"/>
      <c r="AC1294" s="25"/>
      <c r="AD1294" s="168"/>
    </row>
    <row r="1295" spans="18:30" ht="69.75" customHeight="1" x14ac:dyDescent="0.25">
      <c r="R1295" s="25"/>
      <c r="S1295" s="25"/>
      <c r="T1295" s="25"/>
      <c r="U1295" s="25"/>
      <c r="V1295" s="25"/>
      <c r="W1295" s="25"/>
      <c r="X1295" s="25"/>
      <c r="Y1295" s="25"/>
      <c r="Z1295" s="25"/>
      <c r="AA1295" s="25"/>
      <c r="AB1295" s="25"/>
      <c r="AC1295" s="25"/>
      <c r="AD1295" s="168"/>
    </row>
    <row r="1296" spans="18:30" ht="69.75" customHeight="1" x14ac:dyDescent="0.25">
      <c r="R1296" s="25"/>
      <c r="S1296" s="25"/>
      <c r="T1296" s="25"/>
      <c r="U1296" s="25"/>
      <c r="V1296" s="25"/>
      <c r="W1296" s="25"/>
      <c r="X1296" s="25"/>
      <c r="Y1296" s="25"/>
      <c r="Z1296" s="25"/>
      <c r="AA1296" s="25"/>
      <c r="AB1296" s="25"/>
      <c r="AC1296" s="25"/>
      <c r="AD1296" s="168"/>
    </row>
    <row r="1297" spans="18:30" ht="69.75" customHeight="1" x14ac:dyDescent="0.25">
      <c r="R1297" s="25"/>
      <c r="S1297" s="25"/>
      <c r="T1297" s="25"/>
      <c r="U1297" s="25"/>
      <c r="V1297" s="25"/>
      <c r="W1297" s="25"/>
      <c r="X1297" s="25"/>
      <c r="Y1297" s="25"/>
      <c r="Z1297" s="25"/>
      <c r="AA1297" s="25"/>
      <c r="AB1297" s="25"/>
      <c r="AC1297" s="25"/>
      <c r="AD1297" s="168"/>
    </row>
    <row r="1298" spans="18:30" ht="69.75" customHeight="1" x14ac:dyDescent="0.25">
      <c r="R1298" s="25"/>
      <c r="S1298" s="25"/>
      <c r="T1298" s="25"/>
      <c r="U1298" s="25"/>
      <c r="V1298" s="25"/>
      <c r="W1298" s="25"/>
      <c r="X1298" s="25"/>
      <c r="Y1298" s="25"/>
      <c r="Z1298" s="25"/>
      <c r="AA1298" s="25"/>
      <c r="AB1298" s="25"/>
      <c r="AC1298" s="25"/>
      <c r="AD1298" s="168"/>
    </row>
    <row r="1299" spans="18:30" ht="69.75" customHeight="1" x14ac:dyDescent="0.25">
      <c r="R1299" s="25"/>
      <c r="S1299" s="25"/>
      <c r="T1299" s="25"/>
      <c r="U1299" s="25"/>
      <c r="V1299" s="25"/>
      <c r="W1299" s="25"/>
      <c r="X1299" s="25"/>
      <c r="Y1299" s="25"/>
      <c r="Z1299" s="25"/>
      <c r="AA1299" s="25"/>
      <c r="AB1299" s="25"/>
      <c r="AC1299" s="25"/>
      <c r="AD1299" s="168"/>
    </row>
    <row r="1300" spans="18:30" ht="69.75" customHeight="1" x14ac:dyDescent="0.25">
      <c r="R1300" s="25"/>
      <c r="S1300" s="25"/>
      <c r="T1300" s="25"/>
      <c r="U1300" s="25"/>
      <c r="V1300" s="25"/>
      <c r="W1300" s="25"/>
      <c r="X1300" s="25"/>
      <c r="Y1300" s="25"/>
      <c r="Z1300" s="25"/>
      <c r="AA1300" s="25"/>
      <c r="AB1300" s="25"/>
      <c r="AC1300" s="25"/>
      <c r="AD1300" s="168"/>
    </row>
    <row r="1301" spans="18:30" ht="69.75" customHeight="1" x14ac:dyDescent="0.25">
      <c r="R1301" s="25"/>
      <c r="S1301" s="25"/>
      <c r="T1301" s="25"/>
      <c r="U1301" s="25"/>
      <c r="V1301" s="25"/>
      <c r="W1301" s="25"/>
      <c r="X1301" s="25"/>
      <c r="Y1301" s="25"/>
      <c r="Z1301" s="25"/>
      <c r="AA1301" s="25"/>
      <c r="AB1301" s="25"/>
      <c r="AC1301" s="25"/>
      <c r="AD1301" s="168"/>
    </row>
    <row r="1302" spans="18:30" ht="69.75" customHeight="1" x14ac:dyDescent="0.25">
      <c r="R1302" s="25"/>
      <c r="S1302" s="25"/>
      <c r="T1302" s="25"/>
      <c r="U1302" s="25"/>
      <c r="V1302" s="25"/>
      <c r="W1302" s="25"/>
      <c r="X1302" s="25"/>
      <c r="Y1302" s="25"/>
      <c r="Z1302" s="25"/>
      <c r="AA1302" s="25"/>
      <c r="AB1302" s="25"/>
      <c r="AC1302" s="25"/>
      <c r="AD1302" s="168"/>
    </row>
    <row r="1303" spans="18:30" ht="69.75" customHeight="1" x14ac:dyDescent="0.25">
      <c r="R1303" s="25"/>
      <c r="S1303" s="25"/>
      <c r="T1303" s="25"/>
      <c r="U1303" s="25"/>
      <c r="V1303" s="25"/>
      <c r="W1303" s="25"/>
      <c r="X1303" s="25"/>
      <c r="Y1303" s="25"/>
      <c r="Z1303" s="25"/>
      <c r="AA1303" s="25"/>
      <c r="AB1303" s="25"/>
      <c r="AC1303" s="25"/>
      <c r="AD1303" s="168"/>
    </row>
    <row r="1304" spans="18:30" ht="69.75" customHeight="1" x14ac:dyDescent="0.25">
      <c r="R1304" s="25"/>
      <c r="S1304" s="25"/>
      <c r="T1304" s="25"/>
      <c r="U1304" s="25"/>
      <c r="V1304" s="25"/>
      <c r="W1304" s="25"/>
      <c r="X1304" s="25"/>
      <c r="Y1304" s="25"/>
      <c r="Z1304" s="25"/>
      <c r="AA1304" s="25"/>
      <c r="AB1304" s="25"/>
      <c r="AC1304" s="25"/>
      <c r="AD1304" s="168"/>
    </row>
    <row r="1305" spans="18:30" ht="69.75" customHeight="1" x14ac:dyDescent="0.25">
      <c r="R1305" s="25"/>
      <c r="S1305" s="25"/>
      <c r="T1305" s="25"/>
      <c r="U1305" s="25"/>
      <c r="V1305" s="25"/>
      <c r="W1305" s="25"/>
      <c r="X1305" s="25"/>
      <c r="Y1305" s="25"/>
      <c r="Z1305" s="25"/>
      <c r="AA1305" s="25"/>
      <c r="AB1305" s="25"/>
      <c r="AC1305" s="25"/>
      <c r="AD1305" s="168"/>
    </row>
    <row r="1306" spans="18:30" ht="69.75" customHeight="1" x14ac:dyDescent="0.25">
      <c r="R1306" s="25"/>
      <c r="S1306" s="25"/>
      <c r="T1306" s="25"/>
      <c r="U1306" s="25"/>
      <c r="V1306" s="25"/>
      <c r="W1306" s="25"/>
      <c r="X1306" s="25"/>
      <c r="Y1306" s="25"/>
      <c r="Z1306" s="25"/>
      <c r="AA1306" s="25"/>
      <c r="AB1306" s="25"/>
      <c r="AC1306" s="25"/>
      <c r="AD1306" s="168"/>
    </row>
    <row r="1307" spans="18:30" ht="69.75" customHeight="1" x14ac:dyDescent="0.25">
      <c r="R1307" s="25"/>
      <c r="S1307" s="25"/>
      <c r="T1307" s="25"/>
      <c r="U1307" s="25"/>
      <c r="V1307" s="25"/>
      <c r="W1307" s="25"/>
      <c r="X1307" s="25"/>
      <c r="Y1307" s="25"/>
      <c r="Z1307" s="25"/>
      <c r="AA1307" s="25"/>
      <c r="AB1307" s="25"/>
      <c r="AC1307" s="25"/>
      <c r="AD1307" s="168"/>
    </row>
    <row r="1308" spans="18:30" ht="69.75" customHeight="1" x14ac:dyDescent="0.25">
      <c r="R1308" s="25"/>
      <c r="S1308" s="25"/>
      <c r="T1308" s="25"/>
      <c r="U1308" s="25"/>
      <c r="V1308" s="25"/>
      <c r="W1308" s="25"/>
      <c r="X1308" s="25"/>
      <c r="Y1308" s="25"/>
      <c r="Z1308" s="25"/>
      <c r="AA1308" s="25"/>
      <c r="AB1308" s="25"/>
      <c r="AC1308" s="25"/>
      <c r="AD1308" s="168"/>
    </row>
    <row r="1309" spans="18:30" ht="69.75" customHeight="1" x14ac:dyDescent="0.25">
      <c r="R1309" s="25"/>
      <c r="S1309" s="25"/>
      <c r="T1309" s="25"/>
      <c r="U1309" s="25"/>
      <c r="V1309" s="25"/>
      <c r="W1309" s="25"/>
      <c r="X1309" s="25"/>
      <c r="Y1309" s="25"/>
      <c r="Z1309" s="25"/>
      <c r="AA1309" s="25"/>
      <c r="AB1309" s="25"/>
      <c r="AC1309" s="25"/>
      <c r="AD1309" s="168"/>
    </row>
    <row r="1310" spans="18:30" ht="69.75" customHeight="1" x14ac:dyDescent="0.25">
      <c r="R1310" s="25"/>
      <c r="S1310" s="25"/>
      <c r="T1310" s="25"/>
      <c r="U1310" s="25"/>
      <c r="V1310" s="25"/>
      <c r="W1310" s="25"/>
      <c r="X1310" s="25"/>
      <c r="Y1310" s="25"/>
      <c r="Z1310" s="25"/>
      <c r="AA1310" s="25"/>
      <c r="AB1310" s="25"/>
      <c r="AC1310" s="25"/>
      <c r="AD1310" s="168"/>
    </row>
    <row r="1311" spans="18:30" ht="69.75" customHeight="1" x14ac:dyDescent="0.25">
      <c r="R1311" s="25"/>
      <c r="S1311" s="25"/>
      <c r="T1311" s="25"/>
      <c r="U1311" s="25"/>
      <c r="V1311" s="25"/>
      <c r="W1311" s="25"/>
      <c r="X1311" s="25"/>
      <c r="Y1311" s="25"/>
      <c r="Z1311" s="25"/>
      <c r="AA1311" s="25"/>
      <c r="AB1311" s="25"/>
      <c r="AC1311" s="25"/>
      <c r="AD1311" s="168"/>
    </row>
    <row r="1312" spans="18:30" ht="69.75" customHeight="1" x14ac:dyDescent="0.25">
      <c r="R1312" s="25"/>
      <c r="S1312" s="25"/>
      <c r="T1312" s="25"/>
      <c r="U1312" s="25"/>
      <c r="V1312" s="25"/>
      <c r="W1312" s="25"/>
      <c r="X1312" s="25"/>
      <c r="Y1312" s="25"/>
      <c r="Z1312" s="25"/>
      <c r="AA1312" s="25"/>
      <c r="AB1312" s="25"/>
      <c r="AC1312" s="25"/>
      <c r="AD1312" s="168"/>
    </row>
    <row r="1313" spans="18:30" ht="69.75" customHeight="1" x14ac:dyDescent="0.25">
      <c r="R1313" s="25"/>
      <c r="S1313" s="25"/>
      <c r="T1313" s="25"/>
      <c r="U1313" s="25"/>
      <c r="V1313" s="25"/>
      <c r="W1313" s="25"/>
      <c r="X1313" s="25"/>
      <c r="Y1313" s="25"/>
      <c r="Z1313" s="25"/>
      <c r="AA1313" s="25"/>
      <c r="AB1313" s="25"/>
      <c r="AC1313" s="25"/>
      <c r="AD1313" s="168"/>
    </row>
    <row r="1314" spans="18:30" ht="69.75" customHeight="1" x14ac:dyDescent="0.25">
      <c r="R1314" s="25"/>
      <c r="S1314" s="25"/>
      <c r="T1314" s="25"/>
      <c r="U1314" s="25"/>
      <c r="V1314" s="25"/>
      <c r="W1314" s="25"/>
      <c r="X1314" s="25"/>
      <c r="Y1314" s="25"/>
      <c r="Z1314" s="25"/>
      <c r="AA1314" s="25"/>
      <c r="AB1314" s="25"/>
      <c r="AC1314" s="25"/>
      <c r="AD1314" s="168"/>
    </row>
    <row r="1315" spans="18:30" ht="69.75" customHeight="1" x14ac:dyDescent="0.25">
      <c r="R1315" s="25"/>
      <c r="S1315" s="25"/>
      <c r="T1315" s="25"/>
      <c r="U1315" s="25"/>
      <c r="V1315" s="25"/>
      <c r="W1315" s="25"/>
      <c r="X1315" s="25"/>
      <c r="Y1315" s="25"/>
      <c r="Z1315" s="25"/>
      <c r="AA1315" s="25"/>
      <c r="AB1315" s="25"/>
      <c r="AC1315" s="25"/>
      <c r="AD1315" s="168"/>
    </row>
    <row r="1316" spans="18:30" ht="69.75" customHeight="1" x14ac:dyDescent="0.25">
      <c r="R1316" s="25"/>
      <c r="S1316" s="25"/>
      <c r="T1316" s="25"/>
      <c r="U1316" s="25"/>
      <c r="V1316" s="25"/>
      <c r="W1316" s="25"/>
      <c r="X1316" s="25"/>
      <c r="Y1316" s="25"/>
      <c r="Z1316" s="25"/>
      <c r="AA1316" s="25"/>
      <c r="AB1316" s="25"/>
      <c r="AC1316" s="25"/>
      <c r="AD1316" s="168"/>
    </row>
    <row r="1317" spans="18:30" ht="69.75" customHeight="1" x14ac:dyDescent="0.25">
      <c r="R1317" s="25"/>
      <c r="S1317" s="25"/>
      <c r="T1317" s="25"/>
      <c r="U1317" s="25"/>
      <c r="V1317" s="25"/>
      <c r="W1317" s="25"/>
      <c r="X1317" s="25"/>
      <c r="Y1317" s="25"/>
      <c r="Z1317" s="25"/>
      <c r="AA1317" s="25"/>
      <c r="AB1317" s="25"/>
      <c r="AC1317" s="25"/>
      <c r="AD1317" s="168"/>
    </row>
    <row r="1318" spans="18:30" ht="69.75" customHeight="1" x14ac:dyDescent="0.25">
      <c r="R1318" s="25"/>
      <c r="S1318" s="25"/>
      <c r="T1318" s="25"/>
      <c r="U1318" s="25"/>
      <c r="V1318" s="25"/>
      <c r="W1318" s="25"/>
      <c r="X1318" s="25"/>
      <c r="Y1318" s="25"/>
      <c r="Z1318" s="25"/>
      <c r="AA1318" s="25"/>
      <c r="AB1318" s="25"/>
      <c r="AC1318" s="25"/>
      <c r="AD1318" s="168"/>
    </row>
    <row r="1319" spans="18:30" ht="69.75" customHeight="1" x14ac:dyDescent="0.25">
      <c r="R1319" s="25"/>
      <c r="S1319" s="25"/>
      <c r="T1319" s="25"/>
      <c r="U1319" s="25"/>
      <c r="V1319" s="25"/>
      <c r="W1319" s="25"/>
      <c r="X1319" s="25"/>
      <c r="Y1319" s="25"/>
      <c r="Z1319" s="25"/>
      <c r="AA1319" s="25"/>
      <c r="AB1319" s="25"/>
      <c r="AC1319" s="25"/>
      <c r="AD1319" s="168"/>
    </row>
    <row r="1320" spans="18:30" ht="69.75" customHeight="1" x14ac:dyDescent="0.25">
      <c r="R1320" s="25"/>
      <c r="S1320" s="25"/>
      <c r="T1320" s="25"/>
      <c r="U1320" s="25"/>
      <c r="V1320" s="25"/>
      <c r="W1320" s="25"/>
      <c r="X1320" s="25"/>
      <c r="Y1320" s="25"/>
      <c r="Z1320" s="25"/>
      <c r="AA1320" s="25"/>
      <c r="AB1320" s="25"/>
      <c r="AC1320" s="25"/>
      <c r="AD1320" s="168"/>
    </row>
    <row r="1321" spans="18:30" ht="69.75" customHeight="1" x14ac:dyDescent="0.25">
      <c r="R1321" s="25"/>
      <c r="S1321" s="25"/>
      <c r="T1321" s="25"/>
      <c r="U1321" s="25"/>
      <c r="V1321" s="25"/>
      <c r="W1321" s="25"/>
      <c r="X1321" s="25"/>
      <c r="Y1321" s="25"/>
      <c r="Z1321" s="25"/>
      <c r="AA1321" s="25"/>
      <c r="AB1321" s="25"/>
      <c r="AC1321" s="25"/>
      <c r="AD1321" s="168"/>
    </row>
    <row r="1322" spans="18:30" ht="69.75" customHeight="1" x14ac:dyDescent="0.25">
      <c r="R1322" s="25"/>
      <c r="S1322" s="25"/>
      <c r="T1322" s="25"/>
      <c r="U1322" s="25"/>
      <c r="V1322" s="25"/>
      <c r="W1322" s="25"/>
      <c r="X1322" s="25"/>
      <c r="Y1322" s="25"/>
      <c r="Z1322" s="25"/>
      <c r="AA1322" s="25"/>
      <c r="AB1322" s="25"/>
      <c r="AC1322" s="25"/>
      <c r="AD1322" s="168"/>
    </row>
    <row r="1323" spans="18:30" ht="69.75" customHeight="1" x14ac:dyDescent="0.25">
      <c r="R1323" s="25"/>
      <c r="S1323" s="25"/>
      <c r="T1323" s="25"/>
      <c r="U1323" s="25"/>
      <c r="V1323" s="25"/>
      <c r="W1323" s="25"/>
      <c r="X1323" s="25"/>
      <c r="Y1323" s="25"/>
      <c r="Z1323" s="25"/>
      <c r="AA1323" s="25"/>
      <c r="AB1323" s="25"/>
      <c r="AC1323" s="25"/>
      <c r="AD1323" s="168"/>
    </row>
    <row r="1324" spans="18:30" ht="69.75" customHeight="1" x14ac:dyDescent="0.25">
      <c r="R1324" s="25"/>
      <c r="S1324" s="25"/>
      <c r="T1324" s="25"/>
      <c r="U1324" s="25"/>
      <c r="V1324" s="25"/>
      <c r="W1324" s="25"/>
      <c r="X1324" s="25"/>
      <c r="Y1324" s="25"/>
      <c r="Z1324" s="25"/>
      <c r="AA1324" s="25"/>
      <c r="AB1324" s="25"/>
      <c r="AC1324" s="25"/>
      <c r="AD1324" s="168"/>
    </row>
    <row r="1325" spans="18:30" ht="69.75" customHeight="1" x14ac:dyDescent="0.25">
      <c r="R1325" s="25"/>
      <c r="S1325" s="25"/>
      <c r="T1325" s="25"/>
      <c r="U1325" s="25"/>
      <c r="V1325" s="25"/>
      <c r="W1325" s="25"/>
      <c r="X1325" s="25"/>
      <c r="Y1325" s="25"/>
      <c r="Z1325" s="25"/>
      <c r="AA1325" s="25"/>
      <c r="AB1325" s="25"/>
      <c r="AC1325" s="25"/>
      <c r="AD1325" s="168"/>
    </row>
    <row r="1326" spans="18:30" ht="69.75" customHeight="1" x14ac:dyDescent="0.25">
      <c r="R1326" s="25"/>
      <c r="S1326" s="25"/>
      <c r="T1326" s="25"/>
      <c r="U1326" s="25"/>
      <c r="V1326" s="25"/>
      <c r="W1326" s="25"/>
      <c r="X1326" s="25"/>
      <c r="Y1326" s="25"/>
      <c r="Z1326" s="25"/>
      <c r="AA1326" s="25"/>
      <c r="AB1326" s="25"/>
      <c r="AC1326" s="25"/>
      <c r="AD1326" s="168"/>
    </row>
    <row r="1327" spans="18:30" ht="69.75" customHeight="1" x14ac:dyDescent="0.25">
      <c r="R1327" s="25"/>
      <c r="S1327" s="25"/>
      <c r="T1327" s="25"/>
      <c r="U1327" s="25"/>
      <c r="V1327" s="25"/>
      <c r="W1327" s="25"/>
      <c r="X1327" s="25"/>
      <c r="Y1327" s="25"/>
      <c r="Z1327" s="25"/>
      <c r="AA1327" s="25"/>
      <c r="AB1327" s="25"/>
      <c r="AC1327" s="25"/>
      <c r="AD1327" s="168"/>
    </row>
    <row r="1328" spans="18:30" ht="69.75" customHeight="1" x14ac:dyDescent="0.25">
      <c r="R1328" s="25"/>
      <c r="S1328" s="25"/>
      <c r="T1328" s="25"/>
      <c r="U1328" s="25"/>
      <c r="V1328" s="25"/>
      <c r="W1328" s="25"/>
      <c r="X1328" s="25"/>
      <c r="Y1328" s="25"/>
      <c r="Z1328" s="25"/>
      <c r="AA1328" s="25"/>
      <c r="AB1328" s="25"/>
      <c r="AC1328" s="25"/>
      <c r="AD1328" s="168"/>
    </row>
    <row r="1329" spans="18:30" ht="69.75" customHeight="1" x14ac:dyDescent="0.25">
      <c r="R1329" s="25"/>
      <c r="S1329" s="25"/>
      <c r="T1329" s="25"/>
      <c r="U1329" s="25"/>
      <c r="V1329" s="25"/>
      <c r="W1329" s="25"/>
      <c r="X1329" s="25"/>
      <c r="Y1329" s="25"/>
      <c r="Z1329" s="25"/>
      <c r="AA1329" s="25"/>
      <c r="AB1329" s="25"/>
      <c r="AC1329" s="25"/>
      <c r="AD1329" s="168"/>
    </row>
    <row r="1330" spans="18:30" ht="69.75" customHeight="1" x14ac:dyDescent="0.25">
      <c r="R1330" s="25"/>
      <c r="S1330" s="25"/>
      <c r="T1330" s="25"/>
      <c r="U1330" s="25"/>
      <c r="V1330" s="25"/>
      <c r="W1330" s="25"/>
      <c r="X1330" s="25"/>
      <c r="Y1330" s="25"/>
      <c r="Z1330" s="25"/>
      <c r="AA1330" s="25"/>
      <c r="AB1330" s="25"/>
      <c r="AC1330" s="25"/>
      <c r="AD1330" s="168"/>
    </row>
    <row r="1331" spans="18:30" ht="69.75" customHeight="1" x14ac:dyDescent="0.25">
      <c r="R1331" s="25"/>
      <c r="S1331" s="25"/>
      <c r="T1331" s="25"/>
      <c r="U1331" s="25"/>
      <c r="V1331" s="25"/>
      <c r="W1331" s="25"/>
      <c r="X1331" s="25"/>
      <c r="Y1331" s="25"/>
      <c r="Z1331" s="25"/>
      <c r="AA1331" s="25"/>
      <c r="AB1331" s="25"/>
      <c r="AC1331" s="25"/>
      <c r="AD1331" s="168"/>
    </row>
    <row r="1332" spans="18:30" ht="69.75" customHeight="1" x14ac:dyDescent="0.25">
      <c r="R1332" s="25"/>
      <c r="S1332" s="25"/>
      <c r="T1332" s="25"/>
      <c r="U1332" s="25"/>
      <c r="V1332" s="25"/>
      <c r="W1332" s="25"/>
      <c r="X1332" s="25"/>
      <c r="Y1332" s="25"/>
      <c r="Z1332" s="25"/>
      <c r="AA1332" s="25"/>
      <c r="AB1332" s="25"/>
      <c r="AC1332" s="25"/>
      <c r="AD1332" s="168"/>
    </row>
    <row r="1333" spans="18:30" ht="69.75" customHeight="1" x14ac:dyDescent="0.25">
      <c r="R1333" s="25"/>
      <c r="S1333" s="25"/>
      <c r="T1333" s="25"/>
      <c r="U1333" s="25"/>
      <c r="V1333" s="25"/>
      <c r="W1333" s="25"/>
      <c r="X1333" s="25"/>
      <c r="Y1333" s="25"/>
      <c r="Z1333" s="25"/>
      <c r="AA1333" s="25"/>
      <c r="AB1333" s="25"/>
      <c r="AC1333" s="25"/>
      <c r="AD1333" s="168"/>
    </row>
    <row r="1334" spans="18:30" ht="69.75" customHeight="1" x14ac:dyDescent="0.25">
      <c r="R1334" s="25"/>
      <c r="S1334" s="25"/>
      <c r="T1334" s="25"/>
      <c r="U1334" s="25"/>
      <c r="V1334" s="25"/>
      <c r="W1334" s="25"/>
      <c r="X1334" s="25"/>
      <c r="Y1334" s="25"/>
      <c r="Z1334" s="25"/>
      <c r="AA1334" s="25"/>
      <c r="AB1334" s="25"/>
      <c r="AC1334" s="25"/>
      <c r="AD1334" s="168"/>
    </row>
    <row r="1335" spans="18:30" ht="69.75" customHeight="1" x14ac:dyDescent="0.25">
      <c r="R1335" s="25"/>
      <c r="S1335" s="25"/>
      <c r="T1335" s="25"/>
      <c r="U1335" s="25"/>
      <c r="V1335" s="25"/>
      <c r="W1335" s="25"/>
      <c r="X1335" s="25"/>
      <c r="Y1335" s="25"/>
      <c r="Z1335" s="25"/>
      <c r="AA1335" s="25"/>
      <c r="AB1335" s="25"/>
      <c r="AC1335" s="25"/>
      <c r="AD1335" s="168"/>
    </row>
    <row r="1336" spans="18:30" ht="69.75" customHeight="1" x14ac:dyDescent="0.25">
      <c r="R1336" s="25"/>
      <c r="S1336" s="25"/>
      <c r="T1336" s="25"/>
      <c r="U1336" s="25"/>
      <c r="V1336" s="25"/>
      <c r="W1336" s="25"/>
      <c r="X1336" s="25"/>
      <c r="Y1336" s="25"/>
      <c r="Z1336" s="25"/>
      <c r="AA1336" s="25"/>
      <c r="AB1336" s="25"/>
      <c r="AC1336" s="25"/>
      <c r="AD1336" s="168"/>
    </row>
    <row r="1337" spans="18:30" ht="69.75" customHeight="1" x14ac:dyDescent="0.25">
      <c r="R1337" s="25"/>
      <c r="S1337" s="25"/>
      <c r="T1337" s="25"/>
      <c r="U1337" s="25"/>
      <c r="V1337" s="25"/>
      <c r="W1337" s="25"/>
      <c r="X1337" s="25"/>
      <c r="Y1337" s="25"/>
      <c r="Z1337" s="25"/>
      <c r="AA1337" s="25"/>
      <c r="AB1337" s="25"/>
      <c r="AC1337" s="25"/>
      <c r="AD1337" s="168"/>
    </row>
    <row r="1338" spans="18:30" ht="69.75" customHeight="1" x14ac:dyDescent="0.25">
      <c r="R1338" s="25"/>
      <c r="S1338" s="25"/>
      <c r="T1338" s="25"/>
      <c r="U1338" s="25"/>
      <c r="V1338" s="25"/>
      <c r="W1338" s="25"/>
      <c r="X1338" s="25"/>
      <c r="Y1338" s="25"/>
      <c r="Z1338" s="25"/>
      <c r="AA1338" s="25"/>
      <c r="AB1338" s="25"/>
      <c r="AC1338" s="25"/>
      <c r="AD1338" s="168"/>
    </row>
    <row r="1339" spans="18:30" ht="69.75" customHeight="1" x14ac:dyDescent="0.25">
      <c r="R1339" s="25"/>
      <c r="S1339" s="25"/>
      <c r="T1339" s="25"/>
      <c r="U1339" s="25"/>
      <c r="V1339" s="25"/>
      <c r="W1339" s="25"/>
      <c r="X1339" s="25"/>
      <c r="Y1339" s="25"/>
      <c r="Z1339" s="25"/>
      <c r="AA1339" s="25"/>
      <c r="AB1339" s="25"/>
      <c r="AC1339" s="25"/>
      <c r="AD1339" s="168"/>
    </row>
    <row r="1340" spans="18:30" ht="69.75" customHeight="1" x14ac:dyDescent="0.25">
      <c r="R1340" s="25"/>
      <c r="S1340" s="25"/>
      <c r="T1340" s="25"/>
      <c r="U1340" s="25"/>
      <c r="V1340" s="25"/>
      <c r="W1340" s="25"/>
      <c r="X1340" s="25"/>
      <c r="Y1340" s="25"/>
      <c r="Z1340" s="25"/>
      <c r="AA1340" s="25"/>
      <c r="AB1340" s="25"/>
      <c r="AC1340" s="25"/>
      <c r="AD1340" s="168"/>
    </row>
    <row r="1341" spans="18:30" ht="69.75" customHeight="1" x14ac:dyDescent="0.25">
      <c r="R1341" s="25"/>
      <c r="S1341" s="25"/>
      <c r="T1341" s="25"/>
      <c r="U1341" s="25"/>
      <c r="V1341" s="25"/>
      <c r="W1341" s="25"/>
      <c r="X1341" s="25"/>
      <c r="Y1341" s="25"/>
      <c r="Z1341" s="25"/>
      <c r="AA1341" s="25"/>
      <c r="AB1341" s="25"/>
      <c r="AC1341" s="25"/>
      <c r="AD1341" s="168"/>
    </row>
    <row r="1342" spans="18:30" ht="69.75" customHeight="1" x14ac:dyDescent="0.25">
      <c r="R1342" s="25"/>
      <c r="S1342" s="25"/>
      <c r="T1342" s="25"/>
      <c r="U1342" s="25"/>
      <c r="V1342" s="25"/>
      <c r="W1342" s="25"/>
      <c r="X1342" s="25"/>
      <c r="Y1342" s="25"/>
      <c r="Z1342" s="25"/>
      <c r="AA1342" s="25"/>
      <c r="AB1342" s="25"/>
      <c r="AC1342" s="25"/>
      <c r="AD1342" s="168"/>
    </row>
    <row r="1343" spans="18:30" ht="69.75" customHeight="1" x14ac:dyDescent="0.25">
      <c r="R1343" s="25"/>
      <c r="S1343" s="25"/>
      <c r="T1343" s="25"/>
      <c r="U1343" s="25"/>
      <c r="V1343" s="25"/>
      <c r="W1343" s="25"/>
      <c r="X1343" s="25"/>
      <c r="Y1343" s="25"/>
      <c r="Z1343" s="25"/>
      <c r="AA1343" s="25"/>
      <c r="AB1343" s="25"/>
      <c r="AC1343" s="25"/>
      <c r="AD1343" s="168"/>
    </row>
    <row r="1344" spans="18:30" ht="69.75" customHeight="1" x14ac:dyDescent="0.25">
      <c r="R1344" s="25"/>
      <c r="S1344" s="25"/>
      <c r="T1344" s="25"/>
      <c r="U1344" s="25"/>
      <c r="V1344" s="25"/>
      <c r="W1344" s="25"/>
      <c r="X1344" s="25"/>
      <c r="Y1344" s="25"/>
      <c r="Z1344" s="25"/>
      <c r="AA1344" s="25"/>
      <c r="AB1344" s="25"/>
      <c r="AC1344" s="25"/>
      <c r="AD1344" s="168"/>
    </row>
    <row r="1345" spans="18:30" ht="69.75" customHeight="1" x14ac:dyDescent="0.25">
      <c r="R1345" s="25"/>
      <c r="S1345" s="25"/>
      <c r="T1345" s="25"/>
      <c r="U1345" s="25"/>
      <c r="V1345" s="25"/>
      <c r="W1345" s="25"/>
      <c r="X1345" s="25"/>
      <c r="Y1345" s="25"/>
      <c r="Z1345" s="25"/>
      <c r="AA1345" s="25"/>
      <c r="AB1345" s="25"/>
      <c r="AC1345" s="25"/>
      <c r="AD1345" s="168"/>
    </row>
    <row r="1346" spans="18:30" ht="69.75" customHeight="1" x14ac:dyDescent="0.25">
      <c r="R1346" s="25"/>
      <c r="S1346" s="25"/>
      <c r="T1346" s="25"/>
      <c r="U1346" s="25"/>
      <c r="V1346" s="25"/>
      <c r="W1346" s="25"/>
      <c r="X1346" s="25"/>
      <c r="Y1346" s="25"/>
      <c r="Z1346" s="25"/>
      <c r="AA1346" s="25"/>
      <c r="AB1346" s="25"/>
      <c r="AC1346" s="25"/>
      <c r="AD1346" s="168"/>
    </row>
    <row r="1347" spans="18:30" ht="69.75" customHeight="1" x14ac:dyDescent="0.25">
      <c r="R1347" s="25"/>
      <c r="S1347" s="25"/>
      <c r="T1347" s="25"/>
      <c r="U1347" s="25"/>
      <c r="V1347" s="25"/>
      <c r="W1347" s="25"/>
      <c r="X1347" s="25"/>
      <c r="Y1347" s="25"/>
      <c r="Z1347" s="25"/>
      <c r="AA1347" s="25"/>
      <c r="AB1347" s="25"/>
      <c r="AC1347" s="25"/>
      <c r="AD1347" s="168"/>
    </row>
    <row r="1348" spans="18:30" ht="69.75" customHeight="1" x14ac:dyDescent="0.25">
      <c r="R1348" s="25"/>
      <c r="S1348" s="25"/>
      <c r="T1348" s="25"/>
      <c r="U1348" s="25"/>
      <c r="V1348" s="25"/>
      <c r="W1348" s="25"/>
      <c r="X1348" s="25"/>
      <c r="Y1348" s="25"/>
      <c r="Z1348" s="25"/>
      <c r="AA1348" s="25"/>
      <c r="AB1348" s="25"/>
      <c r="AC1348" s="25"/>
      <c r="AD1348" s="168"/>
    </row>
    <row r="1349" spans="18:30" ht="69.75" customHeight="1" x14ac:dyDescent="0.25">
      <c r="R1349" s="25"/>
      <c r="S1349" s="25"/>
      <c r="T1349" s="25"/>
      <c r="U1349" s="25"/>
      <c r="V1349" s="25"/>
      <c r="W1349" s="25"/>
      <c r="X1349" s="25"/>
      <c r="Y1349" s="25"/>
      <c r="Z1349" s="25"/>
      <c r="AA1349" s="25"/>
      <c r="AB1349" s="25"/>
      <c r="AC1349" s="25"/>
      <c r="AD1349" s="168"/>
    </row>
    <row r="1350" spans="18:30" ht="69.75" customHeight="1" x14ac:dyDescent="0.25">
      <c r="R1350" s="25"/>
      <c r="S1350" s="25"/>
      <c r="T1350" s="25"/>
      <c r="U1350" s="25"/>
      <c r="V1350" s="25"/>
      <c r="W1350" s="25"/>
      <c r="X1350" s="25"/>
      <c r="Y1350" s="25"/>
      <c r="Z1350" s="25"/>
      <c r="AA1350" s="25"/>
      <c r="AB1350" s="25"/>
      <c r="AC1350" s="25"/>
      <c r="AD1350" s="168"/>
    </row>
    <row r="1351" spans="18:30" ht="69.75" customHeight="1" x14ac:dyDescent="0.25">
      <c r="R1351" s="25"/>
      <c r="S1351" s="25"/>
      <c r="T1351" s="25"/>
      <c r="U1351" s="25"/>
      <c r="V1351" s="25"/>
      <c r="W1351" s="25"/>
      <c r="X1351" s="25"/>
      <c r="Y1351" s="25"/>
      <c r="Z1351" s="25"/>
      <c r="AA1351" s="25"/>
      <c r="AB1351" s="25"/>
      <c r="AC1351" s="25"/>
      <c r="AD1351" s="168"/>
    </row>
    <row r="1352" spans="18:30" ht="69.75" customHeight="1" x14ac:dyDescent="0.25">
      <c r="R1352" s="25"/>
      <c r="S1352" s="25"/>
      <c r="T1352" s="25"/>
      <c r="U1352" s="25"/>
      <c r="V1352" s="25"/>
      <c r="W1352" s="25"/>
      <c r="X1352" s="25"/>
      <c r="Y1352" s="25"/>
      <c r="Z1352" s="25"/>
      <c r="AA1352" s="25"/>
      <c r="AB1352" s="25"/>
      <c r="AC1352" s="25"/>
      <c r="AD1352" s="168"/>
    </row>
    <row r="1353" spans="18:30" ht="69.75" customHeight="1" x14ac:dyDescent="0.25">
      <c r="R1353" s="25"/>
      <c r="S1353" s="25"/>
      <c r="T1353" s="25"/>
      <c r="U1353" s="25"/>
      <c r="V1353" s="25"/>
      <c r="W1353" s="25"/>
      <c r="X1353" s="25"/>
      <c r="Y1353" s="25"/>
      <c r="Z1353" s="25"/>
      <c r="AA1353" s="25"/>
      <c r="AB1353" s="25"/>
      <c r="AC1353" s="25"/>
      <c r="AD1353" s="168"/>
    </row>
    <row r="1354" spans="18:30" ht="69.75" customHeight="1" x14ac:dyDescent="0.25">
      <c r="R1354" s="25"/>
      <c r="S1354" s="25"/>
      <c r="T1354" s="25"/>
      <c r="U1354" s="25"/>
      <c r="V1354" s="25"/>
      <c r="W1354" s="25"/>
      <c r="X1354" s="25"/>
      <c r="Y1354" s="25"/>
      <c r="Z1354" s="25"/>
      <c r="AA1354" s="25"/>
      <c r="AB1354" s="25"/>
      <c r="AC1354" s="25"/>
      <c r="AD1354" s="168"/>
    </row>
    <row r="1355" spans="18:30" ht="69.75" customHeight="1" x14ac:dyDescent="0.25">
      <c r="R1355" s="25"/>
      <c r="S1355" s="25"/>
      <c r="T1355" s="25"/>
      <c r="U1355" s="25"/>
      <c r="V1355" s="25"/>
      <c r="W1355" s="25"/>
      <c r="X1355" s="25"/>
      <c r="Y1355" s="25"/>
      <c r="Z1355" s="25"/>
      <c r="AA1355" s="25"/>
      <c r="AB1355" s="25"/>
      <c r="AC1355" s="25"/>
      <c r="AD1355" s="168"/>
    </row>
    <row r="1356" spans="18:30" ht="69.75" customHeight="1" x14ac:dyDescent="0.25">
      <c r="R1356" s="25"/>
      <c r="S1356" s="25"/>
      <c r="T1356" s="25"/>
      <c r="U1356" s="25"/>
      <c r="V1356" s="25"/>
      <c r="W1356" s="25"/>
      <c r="X1356" s="25"/>
      <c r="Y1356" s="25"/>
      <c r="Z1356" s="25"/>
      <c r="AA1356" s="25"/>
      <c r="AB1356" s="25"/>
      <c r="AC1356" s="25"/>
      <c r="AD1356" s="168"/>
    </row>
    <row r="1357" spans="18:30" ht="69.75" customHeight="1" x14ac:dyDescent="0.25">
      <c r="R1357" s="25"/>
      <c r="S1357" s="25"/>
      <c r="T1357" s="25"/>
      <c r="U1357" s="25"/>
      <c r="V1357" s="25"/>
      <c r="W1357" s="25"/>
      <c r="X1357" s="25"/>
      <c r="Y1357" s="25"/>
      <c r="Z1357" s="25"/>
      <c r="AA1357" s="25"/>
      <c r="AB1357" s="25"/>
      <c r="AC1357" s="25"/>
      <c r="AD1357" s="168"/>
    </row>
    <row r="1358" spans="18:30" ht="69.75" customHeight="1" x14ac:dyDescent="0.25">
      <c r="R1358" s="25"/>
      <c r="S1358" s="25"/>
      <c r="T1358" s="25"/>
      <c r="U1358" s="25"/>
      <c r="V1358" s="25"/>
      <c r="W1358" s="25"/>
      <c r="X1358" s="25"/>
      <c r="Y1358" s="25"/>
      <c r="Z1358" s="25"/>
      <c r="AA1358" s="25"/>
      <c r="AB1358" s="25"/>
      <c r="AC1358" s="25"/>
      <c r="AD1358" s="168"/>
    </row>
    <row r="1359" spans="18:30" ht="69.75" customHeight="1" x14ac:dyDescent="0.25">
      <c r="R1359" s="25"/>
      <c r="S1359" s="25"/>
      <c r="T1359" s="25"/>
      <c r="U1359" s="25"/>
      <c r="V1359" s="25"/>
      <c r="W1359" s="25"/>
      <c r="X1359" s="25"/>
      <c r="Y1359" s="25"/>
      <c r="Z1359" s="25"/>
      <c r="AA1359" s="25"/>
      <c r="AB1359" s="25"/>
      <c r="AC1359" s="25"/>
      <c r="AD1359" s="168"/>
    </row>
    <row r="1360" spans="18:30" ht="69.75" customHeight="1" x14ac:dyDescent="0.25">
      <c r="R1360" s="25"/>
      <c r="S1360" s="25"/>
      <c r="T1360" s="25"/>
      <c r="U1360" s="25"/>
      <c r="V1360" s="25"/>
      <c r="W1360" s="25"/>
      <c r="X1360" s="25"/>
      <c r="Y1360" s="25"/>
      <c r="Z1360" s="25"/>
      <c r="AA1360" s="25"/>
      <c r="AB1360" s="25"/>
      <c r="AC1360" s="25"/>
      <c r="AD1360" s="168"/>
    </row>
    <row r="1361" spans="18:30" ht="69.75" customHeight="1" x14ac:dyDescent="0.25">
      <c r="R1361" s="25"/>
      <c r="S1361" s="25"/>
      <c r="T1361" s="25"/>
      <c r="U1361" s="25"/>
      <c r="V1361" s="25"/>
      <c r="W1361" s="25"/>
      <c r="X1361" s="25"/>
      <c r="Y1361" s="25"/>
      <c r="Z1361" s="25"/>
      <c r="AA1361" s="25"/>
      <c r="AB1361" s="25"/>
      <c r="AC1361" s="25"/>
      <c r="AD1361" s="168"/>
    </row>
    <row r="1362" spans="18:30" ht="69.75" customHeight="1" x14ac:dyDescent="0.25">
      <c r="R1362" s="25"/>
      <c r="S1362" s="25"/>
      <c r="T1362" s="25"/>
      <c r="U1362" s="25"/>
      <c r="V1362" s="25"/>
      <c r="W1362" s="25"/>
      <c r="X1362" s="25"/>
      <c r="Y1362" s="25"/>
      <c r="Z1362" s="25"/>
      <c r="AA1362" s="25"/>
      <c r="AB1362" s="25"/>
      <c r="AC1362" s="25"/>
      <c r="AD1362" s="168"/>
    </row>
    <row r="1363" spans="18:30" ht="69.75" customHeight="1" x14ac:dyDescent="0.25">
      <c r="R1363" s="25"/>
      <c r="S1363" s="25"/>
      <c r="T1363" s="25"/>
      <c r="U1363" s="25"/>
      <c r="V1363" s="25"/>
      <c r="W1363" s="25"/>
      <c r="X1363" s="25"/>
      <c r="Y1363" s="25"/>
      <c r="Z1363" s="25"/>
      <c r="AA1363" s="25"/>
      <c r="AB1363" s="25"/>
      <c r="AC1363" s="25"/>
      <c r="AD1363" s="168"/>
    </row>
    <row r="1364" spans="18:30" ht="69.75" customHeight="1" x14ac:dyDescent="0.25">
      <c r="R1364" s="25"/>
      <c r="S1364" s="25"/>
      <c r="T1364" s="25"/>
      <c r="U1364" s="25"/>
      <c r="V1364" s="25"/>
      <c r="W1364" s="25"/>
      <c r="X1364" s="25"/>
      <c r="Y1364" s="25"/>
      <c r="Z1364" s="25"/>
      <c r="AA1364" s="25"/>
      <c r="AB1364" s="25"/>
      <c r="AC1364" s="25"/>
      <c r="AD1364" s="168"/>
    </row>
    <row r="1365" spans="18:30" ht="69.75" customHeight="1" x14ac:dyDescent="0.25">
      <c r="R1365" s="25"/>
      <c r="S1365" s="25"/>
      <c r="T1365" s="25"/>
      <c r="U1365" s="25"/>
      <c r="V1365" s="25"/>
      <c r="W1365" s="25"/>
      <c r="X1365" s="25"/>
      <c r="Y1365" s="25"/>
      <c r="Z1365" s="25"/>
      <c r="AA1365" s="25"/>
      <c r="AB1365" s="25"/>
      <c r="AC1365" s="25"/>
      <c r="AD1365" s="168"/>
    </row>
    <row r="1366" spans="18:30" ht="69.75" customHeight="1" x14ac:dyDescent="0.25">
      <c r="R1366" s="25"/>
      <c r="S1366" s="25"/>
      <c r="T1366" s="25"/>
      <c r="U1366" s="25"/>
      <c r="V1366" s="25"/>
      <c r="W1366" s="25"/>
      <c r="X1366" s="25"/>
      <c r="Y1366" s="25"/>
      <c r="Z1366" s="25"/>
      <c r="AA1366" s="25"/>
      <c r="AB1366" s="25"/>
      <c r="AC1366" s="25"/>
      <c r="AD1366" s="168"/>
    </row>
    <row r="1367" spans="18:30" ht="69.75" customHeight="1" x14ac:dyDescent="0.25">
      <c r="R1367" s="25"/>
      <c r="S1367" s="25"/>
      <c r="T1367" s="25"/>
      <c r="U1367" s="25"/>
      <c r="V1367" s="25"/>
      <c r="W1367" s="25"/>
      <c r="X1367" s="25"/>
      <c r="Y1367" s="25"/>
      <c r="Z1367" s="25"/>
      <c r="AA1367" s="25"/>
      <c r="AB1367" s="25"/>
      <c r="AC1367" s="25"/>
      <c r="AD1367" s="168"/>
    </row>
    <row r="1368" spans="18:30" ht="69.75" customHeight="1" x14ac:dyDescent="0.25">
      <c r="R1368" s="25"/>
      <c r="S1368" s="25"/>
      <c r="T1368" s="25"/>
      <c r="U1368" s="25"/>
      <c r="V1368" s="25"/>
      <c r="W1368" s="25"/>
      <c r="X1368" s="25"/>
      <c r="Y1368" s="25"/>
      <c r="Z1368" s="25"/>
      <c r="AA1368" s="25"/>
      <c r="AB1368" s="25"/>
      <c r="AC1368" s="25"/>
      <c r="AD1368" s="168"/>
    </row>
    <row r="1369" spans="18:30" ht="69.75" customHeight="1" x14ac:dyDescent="0.25">
      <c r="R1369" s="25"/>
      <c r="S1369" s="25"/>
      <c r="T1369" s="25"/>
      <c r="U1369" s="25"/>
      <c r="V1369" s="25"/>
      <c r="W1369" s="25"/>
      <c r="X1369" s="25"/>
      <c r="Y1369" s="25"/>
      <c r="Z1369" s="25"/>
      <c r="AA1369" s="25"/>
      <c r="AB1369" s="25"/>
      <c r="AC1369" s="25"/>
      <c r="AD1369" s="168"/>
    </row>
    <row r="1370" spans="18:30" ht="69.75" customHeight="1" x14ac:dyDescent="0.25">
      <c r="R1370" s="25"/>
      <c r="S1370" s="25"/>
      <c r="T1370" s="25"/>
      <c r="U1370" s="25"/>
      <c r="V1370" s="25"/>
      <c r="W1370" s="25"/>
      <c r="X1370" s="25"/>
      <c r="Y1370" s="25"/>
      <c r="Z1370" s="25"/>
      <c r="AA1370" s="25"/>
      <c r="AB1370" s="25"/>
      <c r="AC1370" s="25"/>
      <c r="AD1370" s="168"/>
    </row>
    <row r="1371" spans="18:30" ht="69.75" customHeight="1" x14ac:dyDescent="0.25">
      <c r="R1371" s="25"/>
      <c r="S1371" s="25"/>
      <c r="T1371" s="25"/>
      <c r="U1371" s="25"/>
      <c r="V1371" s="25"/>
      <c r="W1371" s="25"/>
      <c r="X1371" s="25"/>
      <c r="Y1371" s="25"/>
      <c r="Z1371" s="25"/>
      <c r="AA1371" s="25"/>
      <c r="AB1371" s="25"/>
      <c r="AC1371" s="25"/>
      <c r="AD1371" s="168"/>
    </row>
    <row r="1372" spans="18:30" ht="69.75" customHeight="1" x14ac:dyDescent="0.25">
      <c r="R1372" s="25"/>
      <c r="S1372" s="25"/>
      <c r="T1372" s="25"/>
      <c r="U1372" s="25"/>
      <c r="V1372" s="25"/>
      <c r="W1372" s="25"/>
      <c r="X1372" s="25"/>
      <c r="Y1372" s="25"/>
      <c r="Z1372" s="25"/>
      <c r="AA1372" s="25"/>
      <c r="AB1372" s="25"/>
      <c r="AC1372" s="25"/>
      <c r="AD1372" s="168"/>
    </row>
    <row r="1373" spans="18:30" ht="69.75" customHeight="1" x14ac:dyDescent="0.25">
      <c r="R1373" s="25"/>
      <c r="S1373" s="25"/>
      <c r="T1373" s="25"/>
      <c r="U1373" s="25"/>
      <c r="V1373" s="25"/>
      <c r="W1373" s="25"/>
      <c r="X1373" s="25"/>
      <c r="Y1373" s="25"/>
      <c r="Z1373" s="25"/>
      <c r="AA1373" s="25"/>
      <c r="AB1373" s="25"/>
      <c r="AC1373" s="25"/>
      <c r="AD1373" s="168"/>
    </row>
    <row r="1374" spans="18:30" ht="69.75" customHeight="1" x14ac:dyDescent="0.25">
      <c r="R1374" s="25"/>
      <c r="S1374" s="25"/>
      <c r="T1374" s="25"/>
      <c r="U1374" s="25"/>
      <c r="V1374" s="25"/>
      <c r="W1374" s="25"/>
      <c r="X1374" s="25"/>
      <c r="Y1374" s="25"/>
      <c r="Z1374" s="25"/>
      <c r="AA1374" s="25"/>
      <c r="AB1374" s="25"/>
      <c r="AC1374" s="25"/>
      <c r="AD1374" s="168"/>
    </row>
    <row r="1375" spans="18:30" ht="69.75" customHeight="1" x14ac:dyDescent="0.25">
      <c r="R1375" s="25"/>
      <c r="S1375" s="25"/>
      <c r="T1375" s="25"/>
      <c r="U1375" s="25"/>
      <c r="V1375" s="25"/>
      <c r="W1375" s="25"/>
      <c r="X1375" s="25"/>
      <c r="Y1375" s="25"/>
      <c r="Z1375" s="25"/>
      <c r="AA1375" s="25"/>
      <c r="AB1375" s="25"/>
      <c r="AC1375" s="25"/>
      <c r="AD1375" s="168"/>
    </row>
    <row r="1376" spans="18:30" ht="69.75" customHeight="1" x14ac:dyDescent="0.25">
      <c r="R1376" s="25"/>
      <c r="S1376" s="25"/>
      <c r="T1376" s="25"/>
      <c r="U1376" s="25"/>
      <c r="V1376" s="25"/>
      <c r="W1376" s="25"/>
      <c r="X1376" s="25"/>
      <c r="Y1376" s="25"/>
      <c r="Z1376" s="25"/>
      <c r="AA1376" s="25"/>
      <c r="AB1376" s="25"/>
      <c r="AC1376" s="25"/>
      <c r="AD1376" s="168"/>
    </row>
    <row r="1377" spans="18:30" ht="69.75" customHeight="1" x14ac:dyDescent="0.25">
      <c r="R1377" s="25"/>
      <c r="S1377" s="25"/>
      <c r="T1377" s="25"/>
      <c r="U1377" s="25"/>
      <c r="V1377" s="25"/>
      <c r="W1377" s="25"/>
      <c r="X1377" s="25"/>
      <c r="Y1377" s="25"/>
      <c r="Z1377" s="25"/>
      <c r="AA1377" s="25"/>
      <c r="AB1377" s="25"/>
      <c r="AC1377" s="25"/>
      <c r="AD1377" s="168"/>
    </row>
    <row r="1378" spans="18:30" ht="69.75" customHeight="1" x14ac:dyDescent="0.25">
      <c r="R1378" s="25"/>
      <c r="S1378" s="25"/>
      <c r="T1378" s="25"/>
      <c r="U1378" s="25"/>
      <c r="V1378" s="25"/>
      <c r="W1378" s="25"/>
      <c r="X1378" s="25"/>
      <c r="Y1378" s="25"/>
      <c r="Z1378" s="25"/>
      <c r="AA1378" s="25"/>
      <c r="AB1378" s="25"/>
      <c r="AC1378" s="25"/>
      <c r="AD1378" s="168"/>
    </row>
    <row r="1379" spans="18:30" ht="69.75" customHeight="1" x14ac:dyDescent="0.25">
      <c r="R1379" s="25"/>
      <c r="S1379" s="25"/>
      <c r="T1379" s="25"/>
      <c r="U1379" s="25"/>
      <c r="V1379" s="25"/>
      <c r="W1379" s="25"/>
      <c r="X1379" s="25"/>
      <c r="Y1379" s="25"/>
      <c r="Z1379" s="25"/>
      <c r="AA1379" s="25"/>
      <c r="AB1379" s="25"/>
      <c r="AC1379" s="25"/>
      <c r="AD1379" s="168"/>
    </row>
    <row r="1380" spans="18:30" ht="69.75" customHeight="1" x14ac:dyDescent="0.25">
      <c r="R1380" s="25"/>
      <c r="S1380" s="25"/>
      <c r="T1380" s="25"/>
      <c r="U1380" s="25"/>
      <c r="V1380" s="25"/>
      <c r="W1380" s="25"/>
      <c r="X1380" s="25"/>
      <c r="Y1380" s="25"/>
      <c r="Z1380" s="25"/>
      <c r="AA1380" s="25"/>
      <c r="AB1380" s="25"/>
      <c r="AC1380" s="25"/>
      <c r="AD1380" s="168"/>
    </row>
    <row r="1381" spans="18:30" ht="69.75" customHeight="1" x14ac:dyDescent="0.25">
      <c r="R1381" s="25"/>
      <c r="S1381" s="25"/>
      <c r="T1381" s="25"/>
      <c r="U1381" s="25"/>
      <c r="V1381" s="25"/>
      <c r="W1381" s="25"/>
      <c r="X1381" s="25"/>
      <c r="Y1381" s="25"/>
      <c r="Z1381" s="25"/>
      <c r="AA1381" s="25"/>
      <c r="AB1381" s="25"/>
      <c r="AC1381" s="25"/>
      <c r="AD1381" s="168"/>
    </row>
    <row r="1382" spans="18:30" ht="69.75" customHeight="1" x14ac:dyDescent="0.25">
      <c r="R1382" s="25"/>
      <c r="S1382" s="25"/>
      <c r="T1382" s="25"/>
      <c r="U1382" s="25"/>
      <c r="V1382" s="25"/>
      <c r="W1382" s="25"/>
      <c r="X1382" s="25"/>
      <c r="Y1382" s="25"/>
      <c r="Z1382" s="25"/>
      <c r="AA1382" s="25"/>
      <c r="AB1382" s="25"/>
      <c r="AC1382" s="25"/>
      <c r="AD1382" s="168"/>
    </row>
    <row r="1383" spans="18:30" ht="69.75" customHeight="1" x14ac:dyDescent="0.25">
      <c r="R1383" s="25"/>
      <c r="S1383" s="25"/>
      <c r="T1383" s="25"/>
      <c r="U1383" s="25"/>
      <c r="V1383" s="25"/>
      <c r="W1383" s="25"/>
      <c r="X1383" s="25"/>
      <c r="Y1383" s="25"/>
      <c r="Z1383" s="25"/>
      <c r="AA1383" s="25"/>
      <c r="AB1383" s="25"/>
      <c r="AC1383" s="25"/>
      <c r="AD1383" s="168"/>
    </row>
    <row r="1384" spans="18:30" ht="69.75" customHeight="1" x14ac:dyDescent="0.25">
      <c r="R1384" s="25"/>
      <c r="S1384" s="25"/>
      <c r="T1384" s="25"/>
      <c r="U1384" s="25"/>
      <c r="V1384" s="25"/>
      <c r="W1384" s="25"/>
      <c r="X1384" s="25"/>
      <c r="Y1384" s="25"/>
      <c r="Z1384" s="25"/>
      <c r="AA1384" s="25"/>
      <c r="AB1384" s="25"/>
      <c r="AC1384" s="25"/>
      <c r="AD1384" s="168"/>
    </row>
    <row r="1385" spans="18:30" ht="69.75" customHeight="1" x14ac:dyDescent="0.25">
      <c r="R1385" s="25"/>
      <c r="S1385" s="25"/>
      <c r="T1385" s="25"/>
      <c r="U1385" s="25"/>
      <c r="V1385" s="25"/>
      <c r="W1385" s="25"/>
      <c r="X1385" s="25"/>
      <c r="Y1385" s="25"/>
      <c r="Z1385" s="25"/>
      <c r="AA1385" s="25"/>
      <c r="AB1385" s="25"/>
      <c r="AC1385" s="25"/>
      <c r="AD1385" s="168"/>
    </row>
    <row r="1386" spans="18:30" ht="69.75" customHeight="1" x14ac:dyDescent="0.25">
      <c r="R1386" s="25"/>
      <c r="S1386" s="25"/>
      <c r="T1386" s="25"/>
      <c r="U1386" s="25"/>
      <c r="V1386" s="25"/>
      <c r="W1386" s="25"/>
      <c r="X1386" s="25"/>
      <c r="Y1386" s="25"/>
      <c r="Z1386" s="25"/>
      <c r="AA1386" s="25"/>
      <c r="AB1386" s="25"/>
      <c r="AC1386" s="25"/>
      <c r="AD1386" s="168"/>
    </row>
    <row r="1387" spans="18:30" ht="69.75" customHeight="1" x14ac:dyDescent="0.25">
      <c r="R1387" s="25"/>
      <c r="S1387" s="25"/>
      <c r="T1387" s="25"/>
      <c r="U1387" s="25"/>
      <c r="V1387" s="25"/>
      <c r="W1387" s="25"/>
      <c r="X1387" s="25"/>
      <c r="Y1387" s="25"/>
      <c r="Z1387" s="25"/>
      <c r="AA1387" s="25"/>
      <c r="AB1387" s="25"/>
      <c r="AC1387" s="25"/>
      <c r="AD1387" s="168"/>
    </row>
    <row r="1388" spans="18:30" ht="69.75" customHeight="1" x14ac:dyDescent="0.25">
      <c r="R1388" s="25"/>
      <c r="S1388" s="25"/>
      <c r="T1388" s="25"/>
      <c r="U1388" s="25"/>
      <c r="V1388" s="25"/>
      <c r="W1388" s="25"/>
      <c r="X1388" s="25"/>
      <c r="Y1388" s="25"/>
      <c r="Z1388" s="25"/>
      <c r="AA1388" s="25"/>
      <c r="AB1388" s="25"/>
      <c r="AC1388" s="25"/>
      <c r="AD1388" s="168"/>
    </row>
    <row r="1389" spans="18:30" ht="69.75" customHeight="1" x14ac:dyDescent="0.25">
      <c r="R1389" s="25"/>
      <c r="S1389" s="25"/>
      <c r="T1389" s="25"/>
      <c r="U1389" s="25"/>
      <c r="V1389" s="25"/>
      <c r="W1389" s="25"/>
      <c r="X1389" s="25"/>
      <c r="Y1389" s="25"/>
      <c r="Z1389" s="25"/>
      <c r="AA1389" s="25"/>
      <c r="AB1389" s="25"/>
      <c r="AC1389" s="25"/>
      <c r="AD1389" s="168"/>
    </row>
    <row r="1390" spans="18:30" ht="69.75" customHeight="1" x14ac:dyDescent="0.25">
      <c r="R1390" s="25"/>
      <c r="S1390" s="25"/>
      <c r="T1390" s="25"/>
      <c r="U1390" s="25"/>
      <c r="V1390" s="25"/>
      <c r="W1390" s="25"/>
      <c r="X1390" s="25"/>
      <c r="Y1390" s="25"/>
      <c r="Z1390" s="25"/>
      <c r="AA1390" s="25"/>
      <c r="AB1390" s="25"/>
      <c r="AC1390" s="25"/>
      <c r="AD1390" s="168"/>
    </row>
    <row r="1391" spans="18:30" ht="69.75" customHeight="1" x14ac:dyDescent="0.25">
      <c r="R1391" s="25"/>
      <c r="S1391" s="25"/>
      <c r="T1391" s="25"/>
      <c r="U1391" s="25"/>
      <c r="V1391" s="25"/>
      <c r="W1391" s="25"/>
      <c r="X1391" s="25"/>
      <c r="Y1391" s="25"/>
      <c r="Z1391" s="25"/>
      <c r="AA1391" s="25"/>
      <c r="AB1391" s="25"/>
      <c r="AC1391" s="25"/>
      <c r="AD1391" s="168"/>
    </row>
    <row r="1392" spans="18:30" ht="69.75" customHeight="1" x14ac:dyDescent="0.25">
      <c r="R1392" s="25"/>
      <c r="S1392" s="25"/>
      <c r="T1392" s="25"/>
      <c r="U1392" s="25"/>
      <c r="V1392" s="25"/>
      <c r="W1392" s="25"/>
      <c r="X1392" s="25"/>
      <c r="Y1392" s="25"/>
      <c r="Z1392" s="25"/>
      <c r="AA1392" s="25"/>
      <c r="AB1392" s="25"/>
      <c r="AC1392" s="25"/>
      <c r="AD1392" s="168"/>
    </row>
    <row r="1393" spans="18:30" ht="69.75" customHeight="1" x14ac:dyDescent="0.25">
      <c r="R1393" s="25"/>
      <c r="S1393" s="25"/>
      <c r="T1393" s="25"/>
      <c r="U1393" s="25"/>
      <c r="V1393" s="25"/>
      <c r="W1393" s="25"/>
      <c r="X1393" s="25"/>
      <c r="Y1393" s="25"/>
      <c r="Z1393" s="25"/>
      <c r="AA1393" s="25"/>
      <c r="AB1393" s="25"/>
      <c r="AC1393" s="25"/>
      <c r="AD1393" s="168"/>
    </row>
    <row r="1394" spans="18:30" ht="69.75" customHeight="1" x14ac:dyDescent="0.25">
      <c r="R1394" s="25"/>
      <c r="S1394" s="25"/>
      <c r="T1394" s="25"/>
      <c r="U1394" s="25"/>
      <c r="V1394" s="25"/>
      <c r="W1394" s="25"/>
      <c r="X1394" s="25"/>
      <c r="Y1394" s="25"/>
      <c r="Z1394" s="25"/>
      <c r="AA1394" s="25"/>
      <c r="AB1394" s="25"/>
      <c r="AC1394" s="25"/>
      <c r="AD1394" s="168"/>
    </row>
    <row r="1395" spans="18:30" ht="69.75" customHeight="1" x14ac:dyDescent="0.25">
      <c r="R1395" s="25"/>
      <c r="S1395" s="25"/>
      <c r="T1395" s="25"/>
      <c r="U1395" s="25"/>
      <c r="V1395" s="25"/>
      <c r="W1395" s="25"/>
      <c r="X1395" s="25"/>
      <c r="Y1395" s="25"/>
      <c r="Z1395" s="25"/>
      <c r="AA1395" s="25"/>
      <c r="AB1395" s="25"/>
      <c r="AC1395" s="25"/>
      <c r="AD1395" s="168"/>
    </row>
    <row r="1396" spans="18:30" ht="69.75" customHeight="1" x14ac:dyDescent="0.25">
      <c r="R1396" s="25"/>
      <c r="S1396" s="25"/>
      <c r="T1396" s="25"/>
      <c r="U1396" s="25"/>
      <c r="V1396" s="25"/>
      <c r="W1396" s="25"/>
      <c r="X1396" s="25"/>
      <c r="Y1396" s="25"/>
      <c r="Z1396" s="25"/>
      <c r="AA1396" s="25"/>
      <c r="AB1396" s="25"/>
      <c r="AC1396" s="25"/>
      <c r="AD1396" s="168"/>
    </row>
    <row r="1397" spans="18:30" ht="69.75" customHeight="1" x14ac:dyDescent="0.25">
      <c r="R1397" s="25"/>
      <c r="S1397" s="25"/>
      <c r="T1397" s="25"/>
      <c r="U1397" s="25"/>
      <c r="V1397" s="25"/>
      <c r="W1397" s="25"/>
      <c r="X1397" s="25"/>
      <c r="Y1397" s="25"/>
      <c r="Z1397" s="25"/>
      <c r="AA1397" s="25"/>
      <c r="AB1397" s="25"/>
      <c r="AC1397" s="25"/>
      <c r="AD1397" s="168"/>
    </row>
    <row r="1398" spans="18:30" ht="69.75" customHeight="1" x14ac:dyDescent="0.25">
      <c r="R1398" s="25"/>
      <c r="S1398" s="25"/>
      <c r="T1398" s="25"/>
      <c r="U1398" s="25"/>
      <c r="V1398" s="25"/>
      <c r="W1398" s="25"/>
      <c r="X1398" s="25"/>
      <c r="Y1398" s="25"/>
      <c r="Z1398" s="25"/>
      <c r="AA1398" s="25"/>
      <c r="AB1398" s="25"/>
      <c r="AC1398" s="25"/>
      <c r="AD1398" s="168"/>
    </row>
    <row r="1399" spans="18:30" ht="69.75" customHeight="1" x14ac:dyDescent="0.25">
      <c r="R1399" s="25"/>
      <c r="S1399" s="25"/>
      <c r="T1399" s="25"/>
      <c r="U1399" s="25"/>
      <c r="V1399" s="25"/>
      <c r="W1399" s="25"/>
      <c r="X1399" s="25"/>
      <c r="Y1399" s="25"/>
      <c r="Z1399" s="25"/>
      <c r="AA1399" s="25"/>
      <c r="AB1399" s="25"/>
      <c r="AC1399" s="25"/>
      <c r="AD1399" s="168"/>
    </row>
    <row r="1400" spans="18:30" ht="69.75" customHeight="1" x14ac:dyDescent="0.25">
      <c r="R1400" s="25"/>
      <c r="S1400" s="25"/>
      <c r="T1400" s="25"/>
      <c r="U1400" s="25"/>
      <c r="V1400" s="25"/>
      <c r="W1400" s="25"/>
      <c r="X1400" s="25"/>
      <c r="Y1400" s="25"/>
      <c r="Z1400" s="25"/>
      <c r="AA1400" s="25"/>
      <c r="AB1400" s="25"/>
      <c r="AC1400" s="25"/>
      <c r="AD1400" s="168"/>
    </row>
    <row r="1401" spans="18:30" ht="69.75" customHeight="1" x14ac:dyDescent="0.25">
      <c r="R1401" s="25"/>
      <c r="S1401" s="25"/>
      <c r="T1401" s="25"/>
      <c r="U1401" s="25"/>
      <c r="V1401" s="25"/>
      <c r="W1401" s="25"/>
      <c r="X1401" s="25"/>
      <c r="Y1401" s="25"/>
      <c r="Z1401" s="25"/>
      <c r="AA1401" s="25"/>
      <c r="AB1401" s="25"/>
      <c r="AC1401" s="25"/>
      <c r="AD1401" s="168"/>
    </row>
    <row r="1402" spans="18:30" ht="69.75" customHeight="1" x14ac:dyDescent="0.25">
      <c r="R1402" s="25"/>
      <c r="S1402" s="25"/>
      <c r="T1402" s="25"/>
      <c r="U1402" s="25"/>
      <c r="V1402" s="25"/>
      <c r="W1402" s="25"/>
      <c r="X1402" s="25"/>
      <c r="Y1402" s="25"/>
      <c r="Z1402" s="25"/>
      <c r="AA1402" s="25"/>
      <c r="AB1402" s="25"/>
      <c r="AC1402" s="25"/>
      <c r="AD1402" s="168"/>
    </row>
    <row r="1403" spans="18:30" ht="69.75" customHeight="1" x14ac:dyDescent="0.25">
      <c r="R1403" s="25"/>
      <c r="S1403" s="25"/>
      <c r="T1403" s="25"/>
      <c r="U1403" s="25"/>
      <c r="V1403" s="25"/>
      <c r="W1403" s="25"/>
      <c r="X1403" s="25"/>
      <c r="Y1403" s="25"/>
      <c r="Z1403" s="25"/>
      <c r="AA1403" s="25"/>
      <c r="AB1403" s="25"/>
      <c r="AC1403" s="25"/>
      <c r="AD1403" s="168"/>
    </row>
    <row r="1404" spans="18:30" ht="69.75" customHeight="1" x14ac:dyDescent="0.25">
      <c r="R1404" s="25"/>
      <c r="S1404" s="25"/>
      <c r="T1404" s="25"/>
      <c r="U1404" s="25"/>
      <c r="V1404" s="25"/>
      <c r="W1404" s="25"/>
      <c r="X1404" s="25"/>
      <c r="Y1404" s="25"/>
      <c r="Z1404" s="25"/>
      <c r="AA1404" s="25"/>
      <c r="AB1404" s="25"/>
      <c r="AC1404" s="25"/>
      <c r="AD1404" s="168"/>
    </row>
    <row r="1405" spans="18:30" ht="69.75" customHeight="1" x14ac:dyDescent="0.25">
      <c r="R1405" s="25"/>
      <c r="S1405" s="25"/>
      <c r="T1405" s="25"/>
      <c r="U1405" s="25"/>
      <c r="V1405" s="25"/>
      <c r="W1405" s="25"/>
      <c r="X1405" s="25"/>
      <c r="Y1405" s="25"/>
      <c r="Z1405" s="25"/>
      <c r="AA1405" s="25"/>
      <c r="AB1405" s="25"/>
      <c r="AC1405" s="25"/>
      <c r="AD1405" s="168"/>
    </row>
    <row r="1406" spans="18:30" ht="69.75" customHeight="1" x14ac:dyDescent="0.25">
      <c r="R1406" s="25"/>
      <c r="S1406" s="25"/>
      <c r="T1406" s="25"/>
      <c r="U1406" s="25"/>
      <c r="V1406" s="25"/>
      <c r="W1406" s="25"/>
      <c r="X1406" s="25"/>
      <c r="Y1406" s="25"/>
      <c r="Z1406" s="25"/>
      <c r="AA1406" s="25"/>
      <c r="AB1406" s="25"/>
      <c r="AC1406" s="25"/>
      <c r="AD1406" s="168"/>
    </row>
    <row r="1407" spans="18:30" ht="69.75" customHeight="1" x14ac:dyDescent="0.25">
      <c r="R1407" s="25"/>
      <c r="S1407" s="25"/>
      <c r="T1407" s="25"/>
      <c r="U1407" s="25"/>
      <c r="V1407" s="25"/>
      <c r="W1407" s="25"/>
      <c r="X1407" s="25"/>
      <c r="Y1407" s="25"/>
      <c r="Z1407" s="25"/>
      <c r="AA1407" s="25"/>
      <c r="AB1407" s="25"/>
      <c r="AC1407" s="25"/>
      <c r="AD1407" s="168"/>
    </row>
    <row r="1408" spans="18:30" ht="69.75" customHeight="1" x14ac:dyDescent="0.25">
      <c r="R1408" s="25"/>
      <c r="S1408" s="25"/>
      <c r="T1408" s="25"/>
      <c r="U1408" s="25"/>
      <c r="V1408" s="25"/>
      <c r="W1408" s="25"/>
      <c r="X1408" s="25"/>
      <c r="Y1408" s="25"/>
      <c r="Z1408" s="25"/>
      <c r="AA1408" s="25"/>
      <c r="AB1408" s="25"/>
      <c r="AC1408" s="25"/>
      <c r="AD1408" s="168"/>
    </row>
    <row r="1409" spans="18:30" ht="69.75" customHeight="1" x14ac:dyDescent="0.25">
      <c r="R1409" s="25"/>
      <c r="S1409" s="25"/>
      <c r="T1409" s="25"/>
      <c r="U1409" s="25"/>
      <c r="V1409" s="25"/>
      <c r="W1409" s="25"/>
      <c r="X1409" s="25"/>
      <c r="Y1409" s="25"/>
      <c r="Z1409" s="25"/>
      <c r="AA1409" s="25"/>
      <c r="AB1409" s="25"/>
      <c r="AC1409" s="25"/>
      <c r="AD1409" s="168"/>
    </row>
    <row r="1410" spans="18:30" ht="69.75" customHeight="1" x14ac:dyDescent="0.25">
      <c r="R1410" s="25"/>
      <c r="S1410" s="25"/>
      <c r="T1410" s="25"/>
      <c r="U1410" s="25"/>
      <c r="V1410" s="25"/>
      <c r="W1410" s="25"/>
      <c r="X1410" s="25"/>
      <c r="Y1410" s="25"/>
      <c r="Z1410" s="25"/>
      <c r="AA1410" s="25"/>
      <c r="AB1410" s="25"/>
      <c r="AC1410" s="25"/>
      <c r="AD1410" s="168"/>
    </row>
    <row r="1411" spans="18:30" ht="69.75" customHeight="1" x14ac:dyDescent="0.25">
      <c r="R1411" s="25"/>
      <c r="S1411" s="25"/>
      <c r="T1411" s="25"/>
      <c r="U1411" s="25"/>
      <c r="V1411" s="25"/>
      <c r="W1411" s="25"/>
      <c r="X1411" s="25"/>
      <c r="Y1411" s="25"/>
      <c r="Z1411" s="25"/>
      <c r="AA1411" s="25"/>
      <c r="AB1411" s="25"/>
      <c r="AC1411" s="25"/>
      <c r="AD1411" s="168"/>
    </row>
    <row r="1412" spans="18:30" ht="69.75" customHeight="1" x14ac:dyDescent="0.25">
      <c r="R1412" s="25"/>
      <c r="S1412" s="25"/>
      <c r="T1412" s="25"/>
      <c r="U1412" s="25"/>
      <c r="V1412" s="25"/>
      <c r="W1412" s="25"/>
      <c r="X1412" s="25"/>
      <c r="Y1412" s="25"/>
      <c r="Z1412" s="25"/>
      <c r="AA1412" s="25"/>
      <c r="AB1412" s="25"/>
      <c r="AC1412" s="25"/>
      <c r="AD1412" s="168"/>
    </row>
    <row r="1413" spans="18:30" ht="69.75" customHeight="1" x14ac:dyDescent="0.25">
      <c r="R1413" s="25"/>
      <c r="S1413" s="25"/>
      <c r="T1413" s="25"/>
      <c r="U1413" s="25"/>
      <c r="V1413" s="25"/>
      <c r="W1413" s="25"/>
      <c r="X1413" s="25"/>
      <c r="Y1413" s="25"/>
      <c r="Z1413" s="25"/>
      <c r="AA1413" s="25"/>
      <c r="AB1413" s="25"/>
      <c r="AC1413" s="25"/>
      <c r="AD1413" s="168"/>
    </row>
    <row r="1414" spans="18:30" ht="69.75" customHeight="1" x14ac:dyDescent="0.25">
      <c r="R1414" s="25"/>
      <c r="S1414" s="25"/>
      <c r="T1414" s="25"/>
      <c r="U1414" s="25"/>
      <c r="V1414" s="25"/>
      <c r="W1414" s="25"/>
      <c r="X1414" s="25"/>
      <c r="Y1414" s="25"/>
      <c r="Z1414" s="25"/>
      <c r="AA1414" s="25"/>
      <c r="AB1414" s="25"/>
      <c r="AC1414" s="25"/>
      <c r="AD1414" s="168"/>
    </row>
    <row r="1415" spans="18:30" ht="69.75" customHeight="1" x14ac:dyDescent="0.25">
      <c r="R1415" s="25"/>
      <c r="S1415" s="25"/>
      <c r="T1415" s="25"/>
      <c r="U1415" s="25"/>
      <c r="V1415" s="25"/>
      <c r="W1415" s="25"/>
      <c r="X1415" s="25"/>
      <c r="Y1415" s="25"/>
      <c r="Z1415" s="25"/>
      <c r="AA1415" s="25"/>
      <c r="AB1415" s="25"/>
      <c r="AC1415" s="25"/>
      <c r="AD1415" s="168"/>
    </row>
    <row r="1416" spans="18:30" ht="69.75" customHeight="1" x14ac:dyDescent="0.25">
      <c r="R1416" s="25"/>
      <c r="S1416" s="25"/>
      <c r="T1416" s="25"/>
      <c r="U1416" s="25"/>
      <c r="V1416" s="25"/>
      <c r="W1416" s="25"/>
      <c r="X1416" s="25"/>
      <c r="Y1416" s="25"/>
      <c r="Z1416" s="25"/>
      <c r="AA1416" s="25"/>
      <c r="AB1416" s="25"/>
      <c r="AC1416" s="25"/>
      <c r="AD1416" s="168"/>
    </row>
    <row r="1417" spans="18:30" ht="69.75" customHeight="1" x14ac:dyDescent="0.25">
      <c r="R1417" s="25"/>
      <c r="S1417" s="25"/>
      <c r="T1417" s="25"/>
      <c r="U1417" s="25"/>
      <c r="V1417" s="25"/>
      <c r="W1417" s="25"/>
      <c r="X1417" s="25"/>
      <c r="Y1417" s="25"/>
      <c r="Z1417" s="25"/>
      <c r="AA1417" s="25"/>
      <c r="AB1417" s="25"/>
      <c r="AC1417" s="25"/>
      <c r="AD1417" s="168"/>
    </row>
    <row r="1418" spans="18:30" ht="69.75" customHeight="1" x14ac:dyDescent="0.25">
      <c r="R1418" s="25"/>
      <c r="S1418" s="25"/>
      <c r="T1418" s="25"/>
      <c r="U1418" s="25"/>
      <c r="V1418" s="25"/>
      <c r="W1418" s="25"/>
      <c r="X1418" s="25"/>
      <c r="Y1418" s="25"/>
      <c r="Z1418" s="25"/>
      <c r="AA1418" s="25"/>
      <c r="AB1418" s="25"/>
      <c r="AC1418" s="25"/>
      <c r="AD1418" s="168"/>
    </row>
    <row r="1419" spans="18:30" ht="69.75" customHeight="1" x14ac:dyDescent="0.25">
      <c r="R1419" s="25"/>
      <c r="S1419" s="25"/>
      <c r="T1419" s="25"/>
      <c r="U1419" s="25"/>
      <c r="V1419" s="25"/>
      <c r="W1419" s="25"/>
      <c r="X1419" s="25"/>
      <c r="Y1419" s="25"/>
      <c r="Z1419" s="25"/>
      <c r="AA1419" s="25"/>
      <c r="AB1419" s="25"/>
      <c r="AC1419" s="25"/>
      <c r="AD1419" s="168"/>
    </row>
    <row r="1420" spans="18:30" ht="69.75" customHeight="1" x14ac:dyDescent="0.25">
      <c r="R1420" s="25"/>
      <c r="S1420" s="25"/>
      <c r="T1420" s="25"/>
      <c r="U1420" s="25"/>
      <c r="V1420" s="25"/>
      <c r="W1420" s="25"/>
      <c r="X1420" s="25"/>
      <c r="Y1420" s="25"/>
      <c r="Z1420" s="25"/>
      <c r="AA1420" s="25"/>
      <c r="AB1420" s="25"/>
      <c r="AC1420" s="25"/>
      <c r="AD1420" s="168"/>
    </row>
    <row r="1421" spans="18:30" ht="69.75" customHeight="1" x14ac:dyDescent="0.25">
      <c r="R1421" s="25"/>
      <c r="S1421" s="25"/>
      <c r="T1421" s="25"/>
      <c r="U1421" s="25"/>
      <c r="V1421" s="25"/>
      <c r="W1421" s="25"/>
      <c r="X1421" s="25"/>
      <c r="Y1421" s="25"/>
      <c r="Z1421" s="25"/>
      <c r="AA1421" s="25"/>
      <c r="AB1421" s="25"/>
      <c r="AC1421" s="25"/>
      <c r="AD1421" s="168"/>
    </row>
    <row r="1422" spans="18:30" ht="69.75" customHeight="1" x14ac:dyDescent="0.25">
      <c r="R1422" s="25"/>
      <c r="S1422" s="25"/>
      <c r="T1422" s="25"/>
      <c r="U1422" s="25"/>
      <c r="V1422" s="25"/>
      <c r="W1422" s="25"/>
      <c r="X1422" s="25"/>
      <c r="Y1422" s="25"/>
      <c r="Z1422" s="25"/>
      <c r="AA1422" s="25"/>
      <c r="AB1422" s="25"/>
      <c r="AC1422" s="25"/>
      <c r="AD1422" s="168"/>
    </row>
    <row r="1423" spans="18:30" ht="69.75" customHeight="1" x14ac:dyDescent="0.25">
      <c r="R1423" s="25"/>
      <c r="S1423" s="25"/>
      <c r="T1423" s="25"/>
      <c r="U1423" s="25"/>
      <c r="V1423" s="25"/>
      <c r="W1423" s="25"/>
      <c r="X1423" s="25"/>
      <c r="Y1423" s="25"/>
      <c r="Z1423" s="25"/>
      <c r="AA1423" s="25"/>
      <c r="AB1423" s="25"/>
      <c r="AC1423" s="25"/>
      <c r="AD1423" s="168"/>
    </row>
    <row r="1424" spans="18:30" ht="69.75" customHeight="1" x14ac:dyDescent="0.25">
      <c r="R1424" s="25"/>
      <c r="S1424" s="25"/>
      <c r="T1424" s="25"/>
      <c r="U1424" s="25"/>
      <c r="V1424" s="25"/>
      <c r="W1424" s="25"/>
      <c r="X1424" s="25"/>
      <c r="Y1424" s="25"/>
      <c r="Z1424" s="25"/>
      <c r="AA1424" s="25"/>
      <c r="AB1424" s="25"/>
      <c r="AC1424" s="25"/>
      <c r="AD1424" s="168"/>
    </row>
    <row r="1425" spans="18:30" ht="69.75" customHeight="1" x14ac:dyDescent="0.25">
      <c r="R1425" s="25"/>
      <c r="S1425" s="25"/>
      <c r="T1425" s="25"/>
      <c r="U1425" s="25"/>
      <c r="V1425" s="25"/>
      <c r="W1425" s="25"/>
      <c r="X1425" s="25"/>
      <c r="Y1425" s="25"/>
      <c r="Z1425" s="25"/>
      <c r="AA1425" s="25"/>
      <c r="AB1425" s="25"/>
      <c r="AC1425" s="25"/>
      <c r="AD1425" s="168"/>
    </row>
    <row r="1426" spans="18:30" ht="69.75" customHeight="1" x14ac:dyDescent="0.25">
      <c r="R1426" s="25"/>
      <c r="S1426" s="25"/>
      <c r="T1426" s="25"/>
      <c r="U1426" s="25"/>
      <c r="V1426" s="25"/>
      <c r="W1426" s="25"/>
      <c r="X1426" s="25"/>
      <c r="Y1426" s="25"/>
      <c r="Z1426" s="25"/>
      <c r="AA1426" s="25"/>
      <c r="AB1426" s="25"/>
      <c r="AC1426" s="25"/>
      <c r="AD1426" s="168"/>
    </row>
    <row r="1427" spans="18:30" ht="69.75" customHeight="1" x14ac:dyDescent="0.25">
      <c r="R1427" s="25"/>
      <c r="S1427" s="25"/>
      <c r="T1427" s="25"/>
      <c r="U1427" s="25"/>
      <c r="V1427" s="25"/>
      <c r="W1427" s="25"/>
      <c r="X1427" s="25"/>
      <c r="Y1427" s="25"/>
      <c r="Z1427" s="25"/>
      <c r="AA1427" s="25"/>
      <c r="AB1427" s="25"/>
      <c r="AC1427" s="25"/>
      <c r="AD1427" s="168"/>
    </row>
    <row r="1428" spans="18:30" ht="69.75" customHeight="1" x14ac:dyDescent="0.25">
      <c r="R1428" s="25"/>
      <c r="S1428" s="25"/>
      <c r="T1428" s="25"/>
      <c r="U1428" s="25"/>
      <c r="V1428" s="25"/>
      <c r="W1428" s="25"/>
      <c r="X1428" s="25"/>
      <c r="Y1428" s="25"/>
      <c r="Z1428" s="25"/>
      <c r="AA1428" s="25"/>
      <c r="AB1428" s="25"/>
      <c r="AC1428" s="25"/>
      <c r="AD1428" s="168"/>
    </row>
    <row r="1429" spans="18:30" ht="69.75" customHeight="1" x14ac:dyDescent="0.25">
      <c r="R1429" s="25"/>
      <c r="S1429" s="25"/>
      <c r="T1429" s="25"/>
      <c r="U1429" s="25"/>
      <c r="V1429" s="25"/>
      <c r="W1429" s="25"/>
      <c r="X1429" s="25"/>
      <c r="Y1429" s="25"/>
      <c r="Z1429" s="25"/>
      <c r="AA1429" s="25"/>
      <c r="AB1429" s="25"/>
      <c r="AC1429" s="25"/>
      <c r="AD1429" s="168"/>
    </row>
    <row r="1430" spans="18:30" ht="69.75" customHeight="1" x14ac:dyDescent="0.25">
      <c r="R1430" s="25"/>
      <c r="S1430" s="25"/>
      <c r="T1430" s="25"/>
      <c r="U1430" s="25"/>
      <c r="V1430" s="25"/>
      <c r="W1430" s="25"/>
      <c r="X1430" s="25"/>
      <c r="Y1430" s="25"/>
      <c r="Z1430" s="25"/>
      <c r="AA1430" s="25"/>
      <c r="AB1430" s="25"/>
      <c r="AC1430" s="25"/>
      <c r="AD1430" s="168"/>
    </row>
    <row r="1431" spans="18:30" ht="69.75" customHeight="1" x14ac:dyDescent="0.25">
      <c r="R1431" s="25"/>
      <c r="S1431" s="25"/>
      <c r="T1431" s="25"/>
      <c r="U1431" s="25"/>
      <c r="V1431" s="25"/>
      <c r="W1431" s="25"/>
      <c r="X1431" s="25"/>
      <c r="Y1431" s="25"/>
      <c r="Z1431" s="25"/>
      <c r="AA1431" s="25"/>
      <c r="AB1431" s="25"/>
      <c r="AC1431" s="25"/>
      <c r="AD1431" s="168"/>
    </row>
    <row r="1432" spans="18:30" ht="69.75" customHeight="1" x14ac:dyDescent="0.25">
      <c r="R1432" s="25"/>
      <c r="S1432" s="25"/>
      <c r="T1432" s="25"/>
      <c r="U1432" s="25"/>
      <c r="V1432" s="25"/>
      <c r="W1432" s="25"/>
      <c r="X1432" s="25"/>
      <c r="Y1432" s="25"/>
      <c r="Z1432" s="25"/>
      <c r="AA1432" s="25"/>
      <c r="AB1432" s="25"/>
      <c r="AC1432" s="25"/>
      <c r="AD1432" s="168"/>
    </row>
    <row r="1433" spans="18:30" ht="69.75" customHeight="1" x14ac:dyDescent="0.25">
      <c r="R1433" s="25"/>
      <c r="S1433" s="25"/>
      <c r="T1433" s="25"/>
      <c r="U1433" s="25"/>
      <c r="V1433" s="25"/>
      <c r="W1433" s="25"/>
      <c r="X1433" s="25"/>
      <c r="Y1433" s="25"/>
      <c r="Z1433" s="25"/>
      <c r="AA1433" s="25"/>
      <c r="AB1433" s="25"/>
      <c r="AC1433" s="25"/>
      <c r="AD1433" s="168"/>
    </row>
    <row r="1434" spans="18:30" ht="69.75" customHeight="1" x14ac:dyDescent="0.25">
      <c r="R1434" s="25"/>
      <c r="S1434" s="25"/>
      <c r="T1434" s="25"/>
      <c r="U1434" s="25"/>
      <c r="V1434" s="25"/>
      <c r="W1434" s="25"/>
      <c r="X1434" s="25"/>
      <c r="Y1434" s="25"/>
      <c r="Z1434" s="25"/>
      <c r="AA1434" s="25"/>
      <c r="AB1434" s="25"/>
      <c r="AC1434" s="25"/>
      <c r="AD1434" s="168"/>
    </row>
    <row r="1435" spans="18:30" ht="69.75" customHeight="1" x14ac:dyDescent="0.25">
      <c r="R1435" s="25"/>
      <c r="S1435" s="25"/>
      <c r="T1435" s="25"/>
      <c r="U1435" s="25"/>
      <c r="V1435" s="25"/>
      <c r="W1435" s="25"/>
      <c r="X1435" s="25"/>
      <c r="Y1435" s="25"/>
      <c r="Z1435" s="25"/>
      <c r="AA1435" s="25"/>
      <c r="AB1435" s="25"/>
      <c r="AC1435" s="25"/>
      <c r="AD1435" s="168"/>
    </row>
    <row r="1436" spans="18:30" ht="69.75" customHeight="1" x14ac:dyDescent="0.25">
      <c r="R1436" s="25"/>
      <c r="S1436" s="25"/>
      <c r="T1436" s="25"/>
      <c r="U1436" s="25"/>
      <c r="V1436" s="25"/>
      <c r="W1436" s="25"/>
      <c r="X1436" s="25"/>
      <c r="Y1436" s="25"/>
      <c r="Z1436" s="25"/>
      <c r="AA1436" s="25"/>
      <c r="AB1436" s="25"/>
      <c r="AC1436" s="25"/>
      <c r="AD1436" s="168"/>
    </row>
    <row r="1437" spans="18:30" ht="69.75" customHeight="1" x14ac:dyDescent="0.25">
      <c r="R1437" s="25"/>
      <c r="S1437" s="25"/>
      <c r="T1437" s="25"/>
      <c r="U1437" s="25"/>
      <c r="V1437" s="25"/>
      <c r="W1437" s="25"/>
      <c r="X1437" s="25"/>
      <c r="Y1437" s="25"/>
      <c r="Z1437" s="25"/>
      <c r="AA1437" s="25"/>
      <c r="AB1437" s="25"/>
      <c r="AC1437" s="25"/>
      <c r="AD1437" s="168"/>
    </row>
    <row r="1438" spans="18:30" ht="69.75" customHeight="1" x14ac:dyDescent="0.25">
      <c r="R1438" s="25"/>
      <c r="S1438" s="25"/>
      <c r="T1438" s="25"/>
      <c r="U1438" s="25"/>
      <c r="V1438" s="25"/>
      <c r="W1438" s="25"/>
      <c r="X1438" s="25"/>
      <c r="Y1438" s="25"/>
      <c r="Z1438" s="25"/>
      <c r="AA1438" s="25"/>
      <c r="AB1438" s="25"/>
      <c r="AC1438" s="25"/>
      <c r="AD1438" s="168"/>
    </row>
    <row r="1439" spans="18:30" ht="69.75" customHeight="1" x14ac:dyDescent="0.25">
      <c r="R1439" s="25"/>
      <c r="S1439" s="25"/>
      <c r="T1439" s="25"/>
      <c r="U1439" s="25"/>
      <c r="V1439" s="25"/>
      <c r="W1439" s="25"/>
      <c r="X1439" s="25"/>
      <c r="Y1439" s="25"/>
      <c r="Z1439" s="25"/>
      <c r="AA1439" s="25"/>
      <c r="AB1439" s="25"/>
      <c r="AC1439" s="25"/>
      <c r="AD1439" s="168"/>
    </row>
    <row r="1440" spans="18:30" ht="69.75" customHeight="1" x14ac:dyDescent="0.25">
      <c r="R1440" s="25"/>
      <c r="S1440" s="25"/>
      <c r="T1440" s="25"/>
      <c r="U1440" s="25"/>
      <c r="V1440" s="25"/>
      <c r="W1440" s="25"/>
      <c r="X1440" s="25"/>
      <c r="Y1440" s="25"/>
      <c r="Z1440" s="25"/>
      <c r="AA1440" s="25"/>
      <c r="AB1440" s="25"/>
      <c r="AC1440" s="25"/>
      <c r="AD1440" s="168"/>
    </row>
    <row r="1441" spans="18:30" ht="69.75" customHeight="1" x14ac:dyDescent="0.25">
      <c r="R1441" s="25"/>
      <c r="S1441" s="25"/>
      <c r="T1441" s="25"/>
      <c r="U1441" s="25"/>
      <c r="V1441" s="25"/>
      <c r="W1441" s="25"/>
      <c r="X1441" s="25"/>
      <c r="Y1441" s="25"/>
      <c r="Z1441" s="25"/>
      <c r="AA1441" s="25"/>
      <c r="AB1441" s="25"/>
      <c r="AC1441" s="25"/>
      <c r="AD1441" s="168"/>
    </row>
    <row r="1442" spans="18:30" ht="69.75" customHeight="1" x14ac:dyDescent="0.25">
      <c r="R1442" s="25"/>
      <c r="S1442" s="25"/>
      <c r="T1442" s="25"/>
      <c r="U1442" s="25"/>
      <c r="V1442" s="25"/>
      <c r="W1442" s="25"/>
      <c r="X1442" s="25"/>
      <c r="Y1442" s="25"/>
      <c r="Z1442" s="25"/>
      <c r="AA1442" s="25"/>
      <c r="AB1442" s="25"/>
      <c r="AC1442" s="25"/>
      <c r="AD1442" s="168"/>
    </row>
    <row r="1443" spans="18:30" ht="69.75" customHeight="1" x14ac:dyDescent="0.25">
      <c r="R1443" s="25"/>
      <c r="S1443" s="25"/>
      <c r="T1443" s="25"/>
      <c r="U1443" s="25"/>
      <c r="V1443" s="25"/>
      <c r="W1443" s="25"/>
      <c r="X1443" s="25"/>
      <c r="Y1443" s="25"/>
      <c r="Z1443" s="25"/>
      <c r="AA1443" s="25"/>
      <c r="AB1443" s="25"/>
      <c r="AC1443" s="25"/>
      <c r="AD1443" s="168"/>
    </row>
    <row r="1444" spans="18:30" ht="69.75" customHeight="1" x14ac:dyDescent="0.25">
      <c r="R1444" s="25"/>
      <c r="S1444" s="25"/>
      <c r="T1444" s="25"/>
      <c r="U1444" s="25"/>
      <c r="V1444" s="25"/>
      <c r="W1444" s="25"/>
      <c r="X1444" s="25"/>
      <c r="Y1444" s="25"/>
      <c r="Z1444" s="25"/>
      <c r="AA1444" s="25"/>
      <c r="AB1444" s="25"/>
      <c r="AC1444" s="25"/>
      <c r="AD1444" s="168"/>
    </row>
    <row r="1445" spans="18:30" ht="69.75" customHeight="1" x14ac:dyDescent="0.25">
      <c r="R1445" s="25"/>
      <c r="S1445" s="25"/>
      <c r="T1445" s="25"/>
      <c r="U1445" s="25"/>
      <c r="V1445" s="25"/>
      <c r="W1445" s="25"/>
      <c r="X1445" s="25"/>
      <c r="Y1445" s="25"/>
      <c r="Z1445" s="25"/>
      <c r="AA1445" s="25"/>
      <c r="AB1445" s="25"/>
      <c r="AC1445" s="25"/>
      <c r="AD1445" s="168"/>
    </row>
    <row r="1446" spans="18:30" ht="69.75" customHeight="1" x14ac:dyDescent="0.25">
      <c r="R1446" s="25"/>
      <c r="S1446" s="25"/>
      <c r="T1446" s="25"/>
      <c r="U1446" s="25"/>
      <c r="V1446" s="25"/>
      <c r="W1446" s="25"/>
      <c r="X1446" s="25"/>
      <c r="Y1446" s="25"/>
      <c r="Z1446" s="25"/>
      <c r="AA1446" s="25"/>
      <c r="AB1446" s="25"/>
      <c r="AC1446" s="25"/>
      <c r="AD1446" s="168"/>
    </row>
    <row r="1447" spans="18:30" ht="69.75" customHeight="1" x14ac:dyDescent="0.25">
      <c r="R1447" s="25"/>
      <c r="S1447" s="25"/>
      <c r="T1447" s="25"/>
      <c r="U1447" s="25"/>
      <c r="V1447" s="25"/>
      <c r="W1447" s="25"/>
      <c r="X1447" s="25"/>
      <c r="Y1447" s="25"/>
      <c r="Z1447" s="25"/>
      <c r="AA1447" s="25"/>
      <c r="AB1447" s="25"/>
      <c r="AC1447" s="25"/>
      <c r="AD1447" s="168"/>
    </row>
    <row r="1448" spans="18:30" ht="69.75" customHeight="1" x14ac:dyDescent="0.25">
      <c r="R1448" s="25"/>
      <c r="S1448" s="25"/>
      <c r="T1448" s="25"/>
      <c r="U1448" s="25"/>
      <c r="V1448" s="25"/>
      <c r="W1448" s="25"/>
      <c r="X1448" s="25"/>
      <c r="Y1448" s="25"/>
      <c r="Z1448" s="25"/>
      <c r="AA1448" s="25"/>
      <c r="AB1448" s="25"/>
      <c r="AC1448" s="25"/>
      <c r="AD1448" s="168"/>
    </row>
    <row r="1449" spans="18:30" ht="69.75" customHeight="1" x14ac:dyDescent="0.25">
      <c r="R1449" s="25"/>
      <c r="S1449" s="25"/>
      <c r="T1449" s="25"/>
      <c r="U1449" s="25"/>
      <c r="V1449" s="25"/>
      <c r="W1449" s="25"/>
      <c r="X1449" s="25"/>
      <c r="Y1449" s="25"/>
      <c r="Z1449" s="25"/>
      <c r="AA1449" s="25"/>
      <c r="AB1449" s="25"/>
      <c r="AC1449" s="25"/>
      <c r="AD1449" s="168"/>
    </row>
    <row r="1450" spans="18:30" ht="69.75" customHeight="1" x14ac:dyDescent="0.25">
      <c r="R1450" s="25"/>
      <c r="S1450" s="25"/>
      <c r="T1450" s="25"/>
      <c r="U1450" s="25"/>
      <c r="V1450" s="25"/>
      <c r="W1450" s="25"/>
      <c r="X1450" s="25"/>
      <c r="Y1450" s="25"/>
      <c r="Z1450" s="25"/>
      <c r="AA1450" s="25"/>
      <c r="AB1450" s="25"/>
      <c r="AC1450" s="25"/>
      <c r="AD1450" s="168"/>
    </row>
    <row r="1451" spans="18:30" ht="69.75" customHeight="1" x14ac:dyDescent="0.25">
      <c r="R1451" s="25"/>
      <c r="S1451" s="25"/>
      <c r="T1451" s="25"/>
      <c r="U1451" s="25"/>
      <c r="V1451" s="25"/>
      <c r="W1451" s="25"/>
      <c r="X1451" s="25"/>
      <c r="Y1451" s="25"/>
      <c r="Z1451" s="25"/>
      <c r="AA1451" s="25"/>
      <c r="AB1451" s="25"/>
      <c r="AC1451" s="25"/>
      <c r="AD1451" s="168"/>
    </row>
    <row r="1452" spans="18:30" ht="69.75" customHeight="1" x14ac:dyDescent="0.25">
      <c r="R1452" s="25"/>
      <c r="S1452" s="25"/>
      <c r="T1452" s="25"/>
      <c r="U1452" s="25"/>
      <c r="V1452" s="25"/>
      <c r="W1452" s="25"/>
      <c r="X1452" s="25"/>
      <c r="Y1452" s="25"/>
      <c r="Z1452" s="25"/>
      <c r="AA1452" s="25"/>
      <c r="AB1452" s="25"/>
      <c r="AC1452" s="25"/>
      <c r="AD1452" s="168"/>
    </row>
    <row r="1453" spans="18:30" ht="69.75" customHeight="1" x14ac:dyDescent="0.25">
      <c r="R1453" s="25"/>
      <c r="S1453" s="25"/>
      <c r="T1453" s="25"/>
      <c r="U1453" s="25"/>
      <c r="V1453" s="25"/>
      <c r="W1453" s="25"/>
      <c r="X1453" s="25"/>
      <c r="Y1453" s="25"/>
      <c r="Z1453" s="25"/>
      <c r="AA1453" s="25"/>
      <c r="AB1453" s="25"/>
      <c r="AC1453" s="25"/>
      <c r="AD1453" s="168"/>
    </row>
    <row r="1454" spans="18:30" ht="69.75" customHeight="1" x14ac:dyDescent="0.25">
      <c r="R1454" s="25"/>
      <c r="S1454" s="25"/>
      <c r="T1454" s="25"/>
      <c r="U1454" s="25"/>
      <c r="V1454" s="25"/>
      <c r="W1454" s="25"/>
      <c r="X1454" s="25"/>
      <c r="Y1454" s="25"/>
      <c r="Z1454" s="25"/>
      <c r="AA1454" s="25"/>
      <c r="AB1454" s="25"/>
      <c r="AC1454" s="25"/>
      <c r="AD1454" s="168"/>
    </row>
    <row r="1455" spans="18:30" ht="69.75" customHeight="1" x14ac:dyDescent="0.25">
      <c r="R1455" s="25"/>
      <c r="S1455" s="25"/>
      <c r="T1455" s="25"/>
      <c r="U1455" s="25"/>
      <c r="V1455" s="25"/>
      <c r="W1455" s="25"/>
      <c r="X1455" s="25"/>
      <c r="Y1455" s="25"/>
      <c r="Z1455" s="25"/>
      <c r="AA1455" s="25"/>
      <c r="AB1455" s="25"/>
      <c r="AC1455" s="25"/>
      <c r="AD1455" s="168"/>
    </row>
    <row r="1456" spans="18:30" ht="69.75" customHeight="1" x14ac:dyDescent="0.25">
      <c r="R1456" s="25"/>
      <c r="S1456" s="25"/>
      <c r="T1456" s="25"/>
      <c r="U1456" s="25"/>
      <c r="V1456" s="25"/>
      <c r="W1456" s="25"/>
      <c r="X1456" s="25"/>
      <c r="Y1456" s="25"/>
      <c r="Z1456" s="25"/>
      <c r="AA1456" s="25"/>
      <c r="AB1456" s="25"/>
      <c r="AC1456" s="25"/>
      <c r="AD1456" s="168"/>
    </row>
    <row r="1457" spans="18:30" ht="69.75" customHeight="1" x14ac:dyDescent="0.25">
      <c r="R1457" s="25"/>
      <c r="S1457" s="25"/>
      <c r="T1457" s="25"/>
      <c r="U1457" s="25"/>
      <c r="V1457" s="25"/>
      <c r="W1457" s="25"/>
      <c r="X1457" s="25"/>
      <c r="Y1457" s="25"/>
      <c r="Z1457" s="25"/>
      <c r="AA1457" s="25"/>
      <c r="AB1457" s="25"/>
      <c r="AC1457" s="25"/>
      <c r="AD1457" s="168"/>
    </row>
    <row r="1458" spans="18:30" ht="69.75" customHeight="1" x14ac:dyDescent="0.25">
      <c r="R1458" s="25"/>
      <c r="S1458" s="25"/>
      <c r="T1458" s="25"/>
      <c r="U1458" s="25"/>
      <c r="V1458" s="25"/>
      <c r="W1458" s="25"/>
      <c r="X1458" s="25"/>
      <c r="Y1458" s="25"/>
      <c r="Z1458" s="25"/>
      <c r="AA1458" s="25"/>
      <c r="AB1458" s="25"/>
      <c r="AC1458" s="25"/>
      <c r="AD1458" s="168"/>
    </row>
    <row r="1459" spans="18:30" ht="69.75" customHeight="1" x14ac:dyDescent="0.25">
      <c r="R1459" s="25"/>
      <c r="S1459" s="25"/>
      <c r="T1459" s="25"/>
      <c r="U1459" s="25"/>
      <c r="V1459" s="25"/>
      <c r="W1459" s="25"/>
      <c r="X1459" s="25"/>
      <c r="Y1459" s="25"/>
      <c r="Z1459" s="25"/>
      <c r="AA1459" s="25"/>
      <c r="AB1459" s="25"/>
      <c r="AC1459" s="25"/>
      <c r="AD1459" s="168"/>
    </row>
    <row r="1460" spans="18:30" ht="69.75" customHeight="1" x14ac:dyDescent="0.25">
      <c r="R1460" s="25"/>
      <c r="S1460" s="25"/>
      <c r="T1460" s="25"/>
      <c r="U1460" s="25"/>
      <c r="V1460" s="25"/>
      <c r="W1460" s="25"/>
      <c r="X1460" s="25"/>
      <c r="Y1460" s="25"/>
      <c r="Z1460" s="25"/>
      <c r="AA1460" s="25"/>
      <c r="AB1460" s="25"/>
      <c r="AC1460" s="25"/>
      <c r="AD1460" s="168"/>
    </row>
    <row r="1461" spans="18:30" ht="69.75" customHeight="1" x14ac:dyDescent="0.25">
      <c r="R1461" s="25"/>
      <c r="S1461" s="25"/>
      <c r="T1461" s="25"/>
      <c r="U1461" s="25"/>
      <c r="V1461" s="25"/>
      <c r="W1461" s="25"/>
      <c r="X1461" s="25"/>
      <c r="Y1461" s="25"/>
      <c r="Z1461" s="25"/>
      <c r="AA1461" s="25"/>
      <c r="AB1461" s="25"/>
      <c r="AC1461" s="25"/>
      <c r="AD1461" s="168"/>
    </row>
    <row r="1462" spans="18:30" ht="69.75" customHeight="1" x14ac:dyDescent="0.25">
      <c r="R1462" s="25"/>
      <c r="S1462" s="25"/>
      <c r="T1462" s="25"/>
      <c r="U1462" s="25"/>
      <c r="V1462" s="25"/>
      <c r="W1462" s="25"/>
      <c r="X1462" s="25"/>
      <c r="Y1462" s="25"/>
      <c r="Z1462" s="25"/>
      <c r="AA1462" s="25"/>
      <c r="AB1462" s="25"/>
      <c r="AC1462" s="25"/>
      <c r="AD1462" s="168"/>
    </row>
    <row r="1463" spans="18:30" ht="69.75" customHeight="1" x14ac:dyDescent="0.25">
      <c r="R1463" s="25"/>
      <c r="S1463" s="25"/>
      <c r="T1463" s="25"/>
      <c r="U1463" s="25"/>
      <c r="V1463" s="25"/>
      <c r="W1463" s="25"/>
      <c r="X1463" s="25"/>
      <c r="Y1463" s="25"/>
      <c r="Z1463" s="25"/>
      <c r="AA1463" s="25"/>
      <c r="AB1463" s="25"/>
      <c r="AC1463" s="25"/>
      <c r="AD1463" s="168"/>
    </row>
    <row r="1464" spans="18:30" ht="69.75" customHeight="1" x14ac:dyDescent="0.25">
      <c r="R1464" s="25"/>
      <c r="S1464" s="25"/>
      <c r="T1464" s="25"/>
      <c r="U1464" s="25"/>
      <c r="V1464" s="25"/>
      <c r="W1464" s="25"/>
      <c r="X1464" s="25"/>
      <c r="Y1464" s="25"/>
      <c r="Z1464" s="25"/>
      <c r="AA1464" s="25"/>
      <c r="AB1464" s="25"/>
      <c r="AC1464" s="25"/>
      <c r="AD1464" s="168"/>
    </row>
    <row r="1465" spans="18:30" ht="69.75" customHeight="1" x14ac:dyDescent="0.25">
      <c r="R1465" s="25"/>
      <c r="S1465" s="25"/>
      <c r="T1465" s="25"/>
      <c r="U1465" s="25"/>
      <c r="V1465" s="25"/>
      <c r="W1465" s="25"/>
      <c r="X1465" s="25"/>
      <c r="Y1465" s="25"/>
      <c r="Z1465" s="25"/>
      <c r="AA1465" s="25"/>
      <c r="AB1465" s="25"/>
      <c r="AC1465" s="25"/>
      <c r="AD1465" s="168"/>
    </row>
    <row r="1466" spans="18:30" ht="69.75" customHeight="1" x14ac:dyDescent="0.25">
      <c r="R1466" s="25"/>
      <c r="S1466" s="25"/>
      <c r="T1466" s="25"/>
      <c r="U1466" s="25"/>
      <c r="V1466" s="25"/>
      <c r="W1466" s="25"/>
      <c r="X1466" s="25"/>
      <c r="Y1466" s="25"/>
      <c r="Z1466" s="25"/>
      <c r="AA1466" s="25"/>
      <c r="AB1466" s="25"/>
      <c r="AC1466" s="25"/>
      <c r="AD1466" s="168"/>
    </row>
    <row r="1467" spans="18:30" ht="69.75" customHeight="1" x14ac:dyDescent="0.25">
      <c r="R1467" s="25"/>
      <c r="S1467" s="25"/>
      <c r="T1467" s="25"/>
      <c r="U1467" s="25"/>
      <c r="V1467" s="25"/>
      <c r="W1467" s="25"/>
      <c r="X1467" s="25"/>
      <c r="Y1467" s="25"/>
      <c r="Z1467" s="25"/>
      <c r="AA1467" s="25"/>
      <c r="AB1467" s="25"/>
      <c r="AC1467" s="25"/>
      <c r="AD1467" s="168"/>
    </row>
    <row r="1468" spans="18:30" ht="69.75" customHeight="1" x14ac:dyDescent="0.25">
      <c r="R1468" s="25"/>
      <c r="S1468" s="25"/>
      <c r="T1468" s="25"/>
      <c r="U1468" s="25"/>
      <c r="V1468" s="25"/>
      <c r="W1468" s="25"/>
      <c r="X1468" s="25"/>
      <c r="Y1468" s="25"/>
      <c r="Z1468" s="25"/>
      <c r="AA1468" s="25"/>
      <c r="AB1468" s="25"/>
      <c r="AC1468" s="25"/>
      <c r="AD1468" s="168"/>
    </row>
    <row r="1469" spans="18:30" ht="69.75" customHeight="1" x14ac:dyDescent="0.25">
      <c r="R1469" s="25"/>
      <c r="S1469" s="25"/>
      <c r="T1469" s="25"/>
      <c r="U1469" s="25"/>
      <c r="V1469" s="25"/>
      <c r="W1469" s="25"/>
      <c r="X1469" s="25"/>
      <c r="Y1469" s="25"/>
      <c r="Z1469" s="25"/>
      <c r="AA1469" s="25"/>
      <c r="AB1469" s="25"/>
      <c r="AC1469" s="25"/>
      <c r="AD1469" s="168"/>
    </row>
    <row r="1470" spans="18:30" ht="69.75" customHeight="1" x14ac:dyDescent="0.25">
      <c r="R1470" s="25"/>
      <c r="S1470" s="25"/>
      <c r="T1470" s="25"/>
      <c r="U1470" s="25"/>
      <c r="V1470" s="25"/>
      <c r="W1470" s="25"/>
      <c r="X1470" s="25"/>
      <c r="Y1470" s="25"/>
      <c r="Z1470" s="25"/>
      <c r="AA1470" s="25"/>
      <c r="AB1470" s="25"/>
      <c r="AC1470" s="25"/>
      <c r="AD1470" s="168"/>
    </row>
    <row r="1471" spans="18:30" ht="69.75" customHeight="1" x14ac:dyDescent="0.25">
      <c r="R1471" s="25"/>
      <c r="S1471" s="25"/>
      <c r="T1471" s="25"/>
      <c r="U1471" s="25"/>
      <c r="V1471" s="25"/>
      <c r="W1471" s="25"/>
      <c r="X1471" s="25"/>
      <c r="Y1471" s="25"/>
      <c r="Z1471" s="25"/>
      <c r="AA1471" s="25"/>
      <c r="AB1471" s="25"/>
      <c r="AC1471" s="25"/>
      <c r="AD1471" s="168"/>
    </row>
    <row r="1472" spans="18:30" ht="69.75" customHeight="1" x14ac:dyDescent="0.25">
      <c r="R1472" s="25"/>
      <c r="S1472" s="25"/>
      <c r="T1472" s="25"/>
      <c r="U1472" s="25"/>
      <c r="V1472" s="25"/>
      <c r="W1472" s="25"/>
      <c r="X1472" s="25"/>
      <c r="Y1472" s="25"/>
      <c r="Z1472" s="25"/>
      <c r="AA1472" s="25"/>
      <c r="AB1472" s="25"/>
      <c r="AC1472" s="25"/>
      <c r="AD1472" s="168"/>
    </row>
    <row r="1473" spans="18:30" ht="69.75" customHeight="1" x14ac:dyDescent="0.25">
      <c r="R1473" s="25"/>
      <c r="S1473" s="25"/>
      <c r="T1473" s="25"/>
      <c r="U1473" s="25"/>
      <c r="V1473" s="25"/>
      <c r="W1473" s="25"/>
      <c r="X1473" s="25"/>
      <c r="Y1473" s="25"/>
      <c r="Z1473" s="25"/>
      <c r="AA1473" s="25"/>
      <c r="AB1473" s="25"/>
      <c r="AC1473" s="25"/>
      <c r="AD1473" s="168"/>
    </row>
    <row r="1474" spans="18:30" ht="69.75" customHeight="1" x14ac:dyDescent="0.25">
      <c r="R1474" s="25"/>
      <c r="S1474" s="25"/>
      <c r="T1474" s="25"/>
      <c r="U1474" s="25"/>
      <c r="V1474" s="25"/>
      <c r="W1474" s="25"/>
      <c r="X1474" s="25"/>
      <c r="Y1474" s="25"/>
      <c r="Z1474" s="25"/>
      <c r="AA1474" s="25"/>
      <c r="AB1474" s="25"/>
      <c r="AC1474" s="25"/>
      <c r="AD1474" s="168"/>
    </row>
    <row r="1475" spans="18:30" ht="69.75" customHeight="1" x14ac:dyDescent="0.25">
      <c r="R1475" s="25"/>
      <c r="S1475" s="25"/>
      <c r="T1475" s="25"/>
      <c r="U1475" s="25"/>
      <c r="V1475" s="25"/>
      <c r="W1475" s="25"/>
      <c r="X1475" s="25"/>
      <c r="Y1475" s="25"/>
      <c r="Z1475" s="25"/>
      <c r="AA1475" s="25"/>
      <c r="AB1475" s="25"/>
      <c r="AC1475" s="25"/>
      <c r="AD1475" s="168"/>
    </row>
    <row r="1476" spans="18:30" ht="69.75" customHeight="1" x14ac:dyDescent="0.25">
      <c r="R1476" s="25"/>
      <c r="S1476" s="25"/>
      <c r="T1476" s="25"/>
      <c r="U1476" s="25"/>
      <c r="V1476" s="25"/>
      <c r="W1476" s="25"/>
      <c r="X1476" s="25"/>
      <c r="Y1476" s="25"/>
      <c r="Z1476" s="25"/>
      <c r="AA1476" s="25"/>
      <c r="AB1476" s="25"/>
      <c r="AC1476" s="25"/>
      <c r="AD1476" s="168"/>
    </row>
    <row r="1477" spans="18:30" ht="69.75" customHeight="1" x14ac:dyDescent="0.25">
      <c r="R1477" s="25"/>
      <c r="S1477" s="25"/>
      <c r="T1477" s="25"/>
      <c r="U1477" s="25"/>
      <c r="V1477" s="25"/>
      <c r="W1477" s="25"/>
      <c r="X1477" s="25"/>
      <c r="Y1477" s="25"/>
      <c r="Z1477" s="25"/>
      <c r="AA1477" s="25"/>
      <c r="AB1477" s="25"/>
      <c r="AC1477" s="25"/>
      <c r="AD1477" s="168"/>
    </row>
    <row r="1478" spans="18:30" ht="69.75" customHeight="1" x14ac:dyDescent="0.25">
      <c r="R1478" s="25"/>
      <c r="S1478" s="25"/>
      <c r="T1478" s="25"/>
      <c r="U1478" s="25"/>
      <c r="V1478" s="25"/>
      <c r="W1478" s="25"/>
      <c r="X1478" s="25"/>
      <c r="Y1478" s="25"/>
      <c r="Z1478" s="25"/>
      <c r="AA1478" s="25"/>
      <c r="AB1478" s="25"/>
      <c r="AC1478" s="25"/>
      <c r="AD1478" s="168"/>
    </row>
    <row r="1479" spans="18:30" ht="69.75" customHeight="1" x14ac:dyDescent="0.25">
      <c r="R1479" s="25"/>
      <c r="S1479" s="25"/>
      <c r="T1479" s="25"/>
      <c r="U1479" s="25"/>
      <c r="V1479" s="25"/>
      <c r="W1479" s="25"/>
      <c r="X1479" s="25"/>
      <c r="Y1479" s="25"/>
      <c r="Z1479" s="25"/>
      <c r="AA1479" s="25"/>
      <c r="AB1479" s="25"/>
      <c r="AC1479" s="25"/>
      <c r="AD1479" s="168"/>
    </row>
    <row r="1480" spans="18:30" ht="69.75" customHeight="1" x14ac:dyDescent="0.25">
      <c r="R1480" s="25"/>
      <c r="S1480" s="25"/>
      <c r="T1480" s="25"/>
      <c r="U1480" s="25"/>
      <c r="V1480" s="25"/>
      <c r="W1480" s="25"/>
      <c r="X1480" s="25"/>
      <c r="Y1480" s="25"/>
      <c r="Z1480" s="25"/>
      <c r="AA1480" s="25"/>
      <c r="AB1480" s="25"/>
      <c r="AC1480" s="25"/>
      <c r="AD1480" s="168"/>
    </row>
    <row r="1481" spans="18:30" ht="69.75" customHeight="1" x14ac:dyDescent="0.25">
      <c r="R1481" s="25"/>
      <c r="S1481" s="25"/>
      <c r="T1481" s="25"/>
      <c r="U1481" s="25"/>
      <c r="V1481" s="25"/>
      <c r="W1481" s="25"/>
      <c r="X1481" s="25"/>
      <c r="Y1481" s="25"/>
      <c r="Z1481" s="25"/>
      <c r="AA1481" s="25"/>
      <c r="AB1481" s="25"/>
      <c r="AC1481" s="25"/>
      <c r="AD1481" s="168"/>
    </row>
    <row r="1482" spans="18:30" ht="69.75" customHeight="1" x14ac:dyDescent="0.25">
      <c r="R1482" s="25"/>
      <c r="S1482" s="25"/>
      <c r="T1482" s="25"/>
      <c r="U1482" s="25"/>
      <c r="V1482" s="25"/>
      <c r="W1482" s="25"/>
      <c r="X1482" s="25"/>
      <c r="Y1482" s="25"/>
      <c r="Z1482" s="25"/>
      <c r="AA1482" s="25"/>
      <c r="AB1482" s="25"/>
      <c r="AC1482" s="25"/>
      <c r="AD1482" s="168"/>
    </row>
    <row r="1483" spans="18:30" ht="69.75" customHeight="1" x14ac:dyDescent="0.25">
      <c r="R1483" s="25"/>
      <c r="S1483" s="25"/>
      <c r="T1483" s="25"/>
      <c r="U1483" s="25"/>
      <c r="V1483" s="25"/>
      <c r="W1483" s="25"/>
      <c r="X1483" s="25"/>
      <c r="Y1483" s="25"/>
      <c r="Z1483" s="25"/>
      <c r="AA1483" s="25"/>
      <c r="AB1483" s="25"/>
      <c r="AC1483" s="25"/>
      <c r="AD1483" s="168"/>
    </row>
    <row r="1484" spans="18:30" ht="69.75" customHeight="1" x14ac:dyDescent="0.25">
      <c r="R1484" s="25"/>
      <c r="S1484" s="25"/>
      <c r="T1484" s="25"/>
      <c r="U1484" s="25"/>
      <c r="V1484" s="25"/>
      <c r="W1484" s="25"/>
      <c r="X1484" s="25"/>
      <c r="Y1484" s="25"/>
      <c r="Z1484" s="25"/>
      <c r="AA1484" s="25"/>
      <c r="AB1484" s="25"/>
      <c r="AC1484" s="25"/>
      <c r="AD1484" s="168"/>
    </row>
    <row r="1485" spans="18:30" ht="69.75" customHeight="1" x14ac:dyDescent="0.25">
      <c r="R1485" s="25"/>
      <c r="S1485" s="25"/>
      <c r="T1485" s="25"/>
      <c r="U1485" s="25"/>
      <c r="V1485" s="25"/>
      <c r="W1485" s="25"/>
      <c r="X1485" s="25"/>
      <c r="Y1485" s="25"/>
      <c r="Z1485" s="25"/>
      <c r="AA1485" s="25"/>
      <c r="AB1485" s="25"/>
      <c r="AC1485" s="25"/>
      <c r="AD1485" s="168"/>
    </row>
    <row r="1486" spans="18:30" ht="69.75" customHeight="1" x14ac:dyDescent="0.25">
      <c r="R1486" s="25"/>
      <c r="S1486" s="25"/>
      <c r="T1486" s="25"/>
      <c r="U1486" s="25"/>
      <c r="V1486" s="25"/>
      <c r="W1486" s="25"/>
      <c r="X1486" s="25"/>
      <c r="Y1486" s="25"/>
      <c r="Z1486" s="25"/>
      <c r="AA1486" s="25"/>
      <c r="AB1486" s="25"/>
      <c r="AC1486" s="25"/>
      <c r="AD1486" s="168"/>
    </row>
    <row r="1487" spans="18:30" ht="69.75" customHeight="1" x14ac:dyDescent="0.25">
      <c r="R1487" s="25"/>
      <c r="S1487" s="25"/>
      <c r="T1487" s="25"/>
      <c r="U1487" s="25"/>
      <c r="V1487" s="25"/>
      <c r="W1487" s="25"/>
      <c r="X1487" s="25"/>
      <c r="Y1487" s="25"/>
      <c r="Z1487" s="25"/>
      <c r="AA1487" s="25"/>
      <c r="AB1487" s="25"/>
      <c r="AC1487" s="25"/>
      <c r="AD1487" s="168"/>
    </row>
    <row r="1488" spans="18:30" ht="69.75" customHeight="1" x14ac:dyDescent="0.25">
      <c r="R1488" s="25"/>
      <c r="S1488" s="25"/>
      <c r="T1488" s="25"/>
      <c r="U1488" s="25"/>
      <c r="V1488" s="25"/>
      <c r="W1488" s="25"/>
      <c r="X1488" s="25"/>
      <c r="Y1488" s="25"/>
      <c r="Z1488" s="25"/>
      <c r="AA1488" s="25"/>
      <c r="AB1488" s="25"/>
      <c r="AC1488" s="25"/>
      <c r="AD1488" s="168"/>
    </row>
    <row r="1489" spans="18:30" ht="69.75" customHeight="1" x14ac:dyDescent="0.25">
      <c r="R1489" s="25"/>
      <c r="S1489" s="25"/>
      <c r="T1489" s="25"/>
      <c r="U1489" s="25"/>
      <c r="V1489" s="25"/>
      <c r="W1489" s="25"/>
      <c r="X1489" s="25"/>
      <c r="Y1489" s="25"/>
      <c r="Z1489" s="25"/>
      <c r="AA1489" s="25"/>
      <c r="AB1489" s="25"/>
      <c r="AC1489" s="25"/>
      <c r="AD1489" s="168"/>
    </row>
    <row r="1490" spans="18:30" ht="69.75" customHeight="1" x14ac:dyDescent="0.25">
      <c r="R1490" s="25"/>
      <c r="S1490" s="25"/>
      <c r="T1490" s="25"/>
      <c r="U1490" s="25"/>
      <c r="V1490" s="25"/>
      <c r="W1490" s="25"/>
      <c r="X1490" s="25"/>
      <c r="Y1490" s="25"/>
      <c r="Z1490" s="25"/>
      <c r="AA1490" s="25"/>
      <c r="AB1490" s="25"/>
      <c r="AC1490" s="25"/>
      <c r="AD1490" s="168"/>
    </row>
    <row r="1491" spans="18:30" ht="69.75" customHeight="1" x14ac:dyDescent="0.25">
      <c r="R1491" s="25"/>
      <c r="S1491" s="25"/>
      <c r="T1491" s="25"/>
      <c r="U1491" s="25"/>
      <c r="V1491" s="25"/>
      <c r="W1491" s="25"/>
      <c r="X1491" s="25"/>
      <c r="Y1491" s="25"/>
      <c r="Z1491" s="25"/>
      <c r="AA1491" s="25"/>
      <c r="AB1491" s="25"/>
      <c r="AC1491" s="25"/>
      <c r="AD1491" s="168"/>
    </row>
    <row r="1492" spans="18:30" ht="69.75" customHeight="1" x14ac:dyDescent="0.25">
      <c r="R1492" s="25"/>
      <c r="S1492" s="25"/>
      <c r="T1492" s="25"/>
      <c r="U1492" s="25"/>
      <c r="V1492" s="25"/>
      <c r="W1492" s="25"/>
      <c r="X1492" s="25"/>
      <c r="Y1492" s="25"/>
      <c r="Z1492" s="25"/>
      <c r="AA1492" s="25"/>
      <c r="AB1492" s="25"/>
      <c r="AC1492" s="25"/>
      <c r="AD1492" s="168"/>
    </row>
    <row r="1493" spans="18:30" ht="69.75" customHeight="1" x14ac:dyDescent="0.25">
      <c r="R1493" s="25"/>
      <c r="S1493" s="25"/>
      <c r="T1493" s="25"/>
      <c r="U1493" s="25"/>
      <c r="V1493" s="25"/>
      <c r="W1493" s="25"/>
      <c r="X1493" s="25"/>
      <c r="Y1493" s="25"/>
      <c r="Z1493" s="25"/>
      <c r="AA1493" s="25"/>
      <c r="AB1493" s="25"/>
      <c r="AC1493" s="25"/>
      <c r="AD1493" s="168"/>
    </row>
    <row r="1494" spans="18:30" ht="69.75" customHeight="1" x14ac:dyDescent="0.25">
      <c r="R1494" s="25"/>
      <c r="S1494" s="25"/>
      <c r="T1494" s="25"/>
      <c r="U1494" s="25"/>
      <c r="V1494" s="25"/>
      <c r="W1494" s="25"/>
      <c r="X1494" s="25"/>
      <c r="Y1494" s="25"/>
      <c r="Z1494" s="25"/>
      <c r="AA1494" s="25"/>
      <c r="AB1494" s="25"/>
      <c r="AC1494" s="25"/>
      <c r="AD1494" s="168"/>
    </row>
    <row r="1495" spans="18:30" ht="69.75" customHeight="1" x14ac:dyDescent="0.25">
      <c r="R1495" s="25"/>
      <c r="S1495" s="25"/>
      <c r="T1495" s="25"/>
      <c r="U1495" s="25"/>
      <c r="V1495" s="25"/>
      <c r="W1495" s="25"/>
      <c r="X1495" s="25"/>
      <c r="Y1495" s="25"/>
      <c r="Z1495" s="25"/>
      <c r="AA1495" s="25"/>
      <c r="AB1495" s="25"/>
      <c r="AC1495" s="25"/>
      <c r="AD1495" s="168"/>
    </row>
    <row r="1496" spans="18:30" ht="69.75" customHeight="1" x14ac:dyDescent="0.25">
      <c r="R1496" s="25"/>
      <c r="S1496" s="25"/>
      <c r="T1496" s="25"/>
      <c r="U1496" s="25"/>
      <c r="V1496" s="25"/>
      <c r="W1496" s="25"/>
      <c r="X1496" s="25"/>
      <c r="Y1496" s="25"/>
      <c r="Z1496" s="25"/>
      <c r="AA1496" s="25"/>
      <c r="AB1496" s="25"/>
      <c r="AC1496" s="25"/>
      <c r="AD1496" s="168"/>
    </row>
    <row r="1497" spans="18:30" ht="69.75" customHeight="1" x14ac:dyDescent="0.25">
      <c r="R1497" s="25"/>
      <c r="S1497" s="25"/>
      <c r="T1497" s="25"/>
      <c r="U1497" s="25"/>
      <c r="V1497" s="25"/>
      <c r="W1497" s="25"/>
      <c r="X1497" s="25"/>
      <c r="Y1497" s="25"/>
      <c r="Z1497" s="25"/>
      <c r="AA1497" s="25"/>
      <c r="AB1497" s="25"/>
      <c r="AC1497" s="25"/>
      <c r="AD1497" s="168"/>
    </row>
    <row r="1498" spans="18:30" ht="69.75" customHeight="1" x14ac:dyDescent="0.25">
      <c r="R1498" s="25"/>
      <c r="S1498" s="25"/>
      <c r="T1498" s="25"/>
      <c r="U1498" s="25"/>
      <c r="V1498" s="25"/>
      <c r="W1498" s="25"/>
      <c r="X1498" s="25"/>
      <c r="Y1498" s="25"/>
      <c r="Z1498" s="25"/>
      <c r="AA1498" s="25"/>
      <c r="AB1498" s="25"/>
      <c r="AC1498" s="25"/>
      <c r="AD1498" s="168"/>
    </row>
    <row r="1499" spans="18:30" ht="69.75" customHeight="1" x14ac:dyDescent="0.25">
      <c r="R1499" s="25"/>
      <c r="S1499" s="25"/>
      <c r="T1499" s="25"/>
      <c r="U1499" s="25"/>
      <c r="V1499" s="25"/>
      <c r="W1499" s="25"/>
      <c r="X1499" s="25"/>
      <c r="Y1499" s="25"/>
      <c r="Z1499" s="25"/>
      <c r="AA1499" s="25"/>
      <c r="AB1499" s="25"/>
      <c r="AC1499" s="25"/>
      <c r="AD1499" s="168"/>
    </row>
    <row r="1500" spans="18:30" ht="69.75" customHeight="1" x14ac:dyDescent="0.25">
      <c r="R1500" s="25"/>
      <c r="S1500" s="25"/>
      <c r="T1500" s="25"/>
      <c r="U1500" s="25"/>
      <c r="V1500" s="25"/>
      <c r="W1500" s="25"/>
      <c r="X1500" s="25"/>
      <c r="Y1500" s="25"/>
      <c r="Z1500" s="25"/>
      <c r="AA1500" s="25"/>
      <c r="AB1500" s="25"/>
      <c r="AC1500" s="25"/>
      <c r="AD1500" s="168"/>
    </row>
    <row r="1501" spans="18:30" ht="69.75" customHeight="1" x14ac:dyDescent="0.25">
      <c r="R1501" s="25"/>
      <c r="S1501" s="25"/>
      <c r="T1501" s="25"/>
      <c r="U1501" s="25"/>
      <c r="V1501" s="25"/>
      <c r="W1501" s="25"/>
      <c r="X1501" s="25"/>
      <c r="Y1501" s="25"/>
      <c r="Z1501" s="25"/>
      <c r="AA1501" s="25"/>
      <c r="AB1501" s="25"/>
      <c r="AC1501" s="25"/>
      <c r="AD1501" s="168"/>
    </row>
    <row r="1502" spans="18:30" ht="69.75" customHeight="1" x14ac:dyDescent="0.25">
      <c r="R1502" s="25"/>
      <c r="S1502" s="25"/>
      <c r="T1502" s="25"/>
      <c r="U1502" s="25"/>
      <c r="V1502" s="25"/>
      <c r="W1502" s="25"/>
      <c r="X1502" s="25"/>
      <c r="Y1502" s="25"/>
      <c r="Z1502" s="25"/>
      <c r="AA1502" s="25"/>
      <c r="AB1502" s="25"/>
      <c r="AC1502" s="25"/>
      <c r="AD1502" s="168"/>
    </row>
    <row r="1503" spans="18:30" ht="69.75" customHeight="1" x14ac:dyDescent="0.25">
      <c r="R1503" s="25"/>
      <c r="S1503" s="25"/>
      <c r="T1503" s="25"/>
      <c r="U1503" s="25"/>
      <c r="V1503" s="25"/>
      <c r="W1503" s="25"/>
      <c r="X1503" s="25"/>
      <c r="Y1503" s="25"/>
      <c r="Z1503" s="25"/>
      <c r="AA1503" s="25"/>
      <c r="AB1503" s="25"/>
      <c r="AC1503" s="25"/>
      <c r="AD1503" s="168"/>
    </row>
    <row r="1504" spans="18:30" ht="69.75" customHeight="1" x14ac:dyDescent="0.25">
      <c r="R1504" s="25"/>
      <c r="S1504" s="25"/>
      <c r="T1504" s="25"/>
      <c r="U1504" s="25"/>
      <c r="V1504" s="25"/>
      <c r="W1504" s="25"/>
      <c r="X1504" s="25"/>
      <c r="Y1504" s="25"/>
      <c r="Z1504" s="25"/>
      <c r="AA1504" s="25"/>
      <c r="AB1504" s="25"/>
      <c r="AC1504" s="25"/>
      <c r="AD1504" s="168"/>
    </row>
    <row r="1505" spans="18:30" ht="69.75" customHeight="1" x14ac:dyDescent="0.25">
      <c r="R1505" s="25"/>
      <c r="S1505" s="25"/>
      <c r="T1505" s="25"/>
      <c r="U1505" s="25"/>
      <c r="V1505" s="25"/>
      <c r="W1505" s="25"/>
      <c r="X1505" s="25"/>
      <c r="Y1505" s="25"/>
      <c r="Z1505" s="25"/>
      <c r="AA1505" s="25"/>
      <c r="AB1505" s="25"/>
      <c r="AC1505" s="25"/>
      <c r="AD1505" s="168"/>
    </row>
    <row r="1506" spans="18:30" ht="69.75" customHeight="1" x14ac:dyDescent="0.25">
      <c r="R1506" s="25"/>
      <c r="S1506" s="25"/>
      <c r="T1506" s="25"/>
      <c r="U1506" s="25"/>
      <c r="V1506" s="25"/>
      <c r="W1506" s="25"/>
      <c r="X1506" s="25"/>
      <c r="Y1506" s="25"/>
      <c r="Z1506" s="25"/>
      <c r="AA1506" s="25"/>
      <c r="AB1506" s="25"/>
      <c r="AC1506" s="25"/>
      <c r="AD1506" s="168"/>
    </row>
    <row r="1507" spans="18:30" ht="69.75" customHeight="1" x14ac:dyDescent="0.25">
      <c r="R1507" s="25"/>
      <c r="S1507" s="25"/>
      <c r="T1507" s="25"/>
      <c r="U1507" s="25"/>
      <c r="V1507" s="25"/>
      <c r="W1507" s="25"/>
      <c r="X1507" s="25"/>
      <c r="Y1507" s="25"/>
      <c r="Z1507" s="25"/>
      <c r="AA1507" s="25"/>
      <c r="AB1507" s="25"/>
      <c r="AC1507" s="25"/>
      <c r="AD1507" s="168"/>
    </row>
    <row r="1508" spans="18:30" ht="69.75" customHeight="1" x14ac:dyDescent="0.25">
      <c r="R1508" s="25"/>
      <c r="S1508" s="25"/>
      <c r="T1508" s="25"/>
      <c r="U1508" s="25"/>
      <c r="V1508" s="25"/>
      <c r="W1508" s="25"/>
      <c r="X1508" s="25"/>
      <c r="Y1508" s="25"/>
      <c r="Z1508" s="25"/>
      <c r="AA1508" s="25"/>
      <c r="AB1508" s="25"/>
      <c r="AC1508" s="25"/>
      <c r="AD1508" s="168"/>
    </row>
    <row r="1509" spans="18:30" ht="69.75" customHeight="1" x14ac:dyDescent="0.25">
      <c r="R1509" s="25"/>
      <c r="S1509" s="25"/>
      <c r="T1509" s="25"/>
      <c r="U1509" s="25"/>
      <c r="V1509" s="25"/>
      <c r="W1509" s="25"/>
      <c r="X1509" s="25"/>
      <c r="Y1509" s="25"/>
      <c r="Z1509" s="25"/>
      <c r="AA1509" s="25"/>
      <c r="AB1509" s="25"/>
      <c r="AC1509" s="25"/>
      <c r="AD1509" s="168"/>
    </row>
    <row r="1510" spans="18:30" ht="69.75" customHeight="1" x14ac:dyDescent="0.25">
      <c r="R1510" s="25"/>
      <c r="S1510" s="25"/>
      <c r="T1510" s="25"/>
      <c r="U1510" s="25"/>
      <c r="V1510" s="25"/>
      <c r="W1510" s="25"/>
      <c r="X1510" s="25"/>
      <c r="Y1510" s="25"/>
      <c r="Z1510" s="25"/>
      <c r="AA1510" s="25"/>
      <c r="AB1510" s="25"/>
      <c r="AC1510" s="25"/>
      <c r="AD1510" s="168"/>
    </row>
    <row r="1511" spans="18:30" ht="69.75" customHeight="1" x14ac:dyDescent="0.25">
      <c r="R1511" s="25"/>
      <c r="S1511" s="25"/>
      <c r="T1511" s="25"/>
      <c r="U1511" s="25"/>
      <c r="V1511" s="25"/>
      <c r="W1511" s="25"/>
      <c r="X1511" s="25"/>
      <c r="Y1511" s="25"/>
      <c r="Z1511" s="25"/>
      <c r="AA1511" s="25"/>
      <c r="AB1511" s="25"/>
      <c r="AC1511" s="25"/>
      <c r="AD1511" s="168"/>
    </row>
    <row r="1512" spans="18:30" ht="69.75" customHeight="1" x14ac:dyDescent="0.25">
      <c r="R1512" s="25"/>
      <c r="S1512" s="25"/>
      <c r="T1512" s="25"/>
      <c r="U1512" s="25"/>
      <c r="V1512" s="25"/>
      <c r="W1512" s="25"/>
      <c r="X1512" s="25"/>
      <c r="Y1512" s="25"/>
      <c r="Z1512" s="25"/>
      <c r="AA1512" s="25"/>
      <c r="AB1512" s="25"/>
      <c r="AC1512" s="25"/>
      <c r="AD1512" s="168"/>
    </row>
    <row r="1513" spans="18:30" ht="69.75" customHeight="1" x14ac:dyDescent="0.25">
      <c r="R1513" s="25"/>
      <c r="S1513" s="25"/>
      <c r="T1513" s="25"/>
      <c r="U1513" s="25"/>
      <c r="V1513" s="25"/>
      <c r="W1513" s="25"/>
      <c r="X1513" s="25"/>
      <c r="Y1513" s="25"/>
      <c r="Z1513" s="25"/>
      <c r="AA1513" s="25"/>
      <c r="AB1513" s="25"/>
      <c r="AC1513" s="25"/>
      <c r="AD1513" s="168"/>
    </row>
    <row r="1514" spans="18:30" ht="69.75" customHeight="1" x14ac:dyDescent="0.25">
      <c r="R1514" s="25"/>
      <c r="S1514" s="25"/>
      <c r="T1514" s="25"/>
      <c r="U1514" s="25"/>
      <c r="V1514" s="25"/>
      <c r="W1514" s="25"/>
      <c r="X1514" s="25"/>
      <c r="Y1514" s="25"/>
      <c r="Z1514" s="25"/>
      <c r="AA1514" s="25"/>
      <c r="AB1514" s="25"/>
      <c r="AC1514" s="25"/>
      <c r="AD1514" s="168"/>
    </row>
    <row r="1515" spans="18:30" ht="69.75" customHeight="1" x14ac:dyDescent="0.25">
      <c r="R1515" s="25"/>
      <c r="S1515" s="25"/>
      <c r="T1515" s="25"/>
      <c r="U1515" s="25"/>
      <c r="V1515" s="25"/>
      <c r="W1515" s="25"/>
      <c r="X1515" s="25"/>
      <c r="Y1515" s="25"/>
      <c r="Z1515" s="25"/>
      <c r="AA1515" s="25"/>
      <c r="AB1515" s="25"/>
      <c r="AC1515" s="25"/>
      <c r="AD1515" s="168"/>
    </row>
    <row r="1516" spans="18:30" ht="69.75" customHeight="1" x14ac:dyDescent="0.25">
      <c r="R1516" s="25"/>
      <c r="S1516" s="25"/>
      <c r="T1516" s="25"/>
      <c r="U1516" s="25"/>
      <c r="V1516" s="25"/>
      <c r="W1516" s="25"/>
      <c r="X1516" s="25"/>
      <c r="Y1516" s="25"/>
      <c r="Z1516" s="25"/>
      <c r="AA1516" s="25"/>
      <c r="AB1516" s="25"/>
      <c r="AC1516" s="25"/>
      <c r="AD1516" s="168"/>
    </row>
    <row r="1517" spans="18:30" ht="69.75" customHeight="1" x14ac:dyDescent="0.25">
      <c r="R1517" s="25"/>
      <c r="S1517" s="25"/>
      <c r="T1517" s="25"/>
      <c r="U1517" s="25"/>
      <c r="V1517" s="25"/>
      <c r="W1517" s="25"/>
      <c r="X1517" s="25"/>
      <c r="Y1517" s="25"/>
      <c r="Z1517" s="25"/>
      <c r="AA1517" s="25"/>
      <c r="AB1517" s="25"/>
      <c r="AC1517" s="25"/>
      <c r="AD1517" s="168"/>
    </row>
    <row r="1518" spans="18:30" ht="69.75" customHeight="1" x14ac:dyDescent="0.25">
      <c r="R1518" s="25"/>
      <c r="S1518" s="25"/>
      <c r="T1518" s="25"/>
      <c r="U1518" s="25"/>
      <c r="V1518" s="25"/>
      <c r="W1518" s="25"/>
      <c r="X1518" s="25"/>
      <c r="Y1518" s="25"/>
      <c r="Z1518" s="25"/>
      <c r="AA1518" s="25"/>
      <c r="AB1518" s="25"/>
      <c r="AC1518" s="25"/>
      <c r="AD1518" s="168"/>
    </row>
    <row r="1519" spans="18:30" ht="69.75" customHeight="1" x14ac:dyDescent="0.25">
      <c r="R1519" s="25"/>
      <c r="S1519" s="25"/>
      <c r="T1519" s="25"/>
      <c r="U1519" s="25"/>
      <c r="V1519" s="25"/>
      <c r="W1519" s="25"/>
      <c r="X1519" s="25"/>
      <c r="Y1519" s="25"/>
      <c r="Z1519" s="25"/>
      <c r="AA1519" s="25"/>
      <c r="AB1519" s="25"/>
      <c r="AC1519" s="25"/>
      <c r="AD1519" s="168"/>
    </row>
    <row r="1520" spans="18:30" ht="69.75" customHeight="1" x14ac:dyDescent="0.25">
      <c r="R1520" s="25"/>
      <c r="S1520" s="25"/>
      <c r="T1520" s="25"/>
      <c r="U1520" s="25"/>
      <c r="V1520" s="25"/>
      <c r="W1520" s="25"/>
      <c r="X1520" s="25"/>
      <c r="Y1520" s="25"/>
      <c r="Z1520" s="25"/>
      <c r="AA1520" s="25"/>
      <c r="AB1520" s="25"/>
      <c r="AC1520" s="25"/>
      <c r="AD1520" s="168"/>
    </row>
    <row r="1521" spans="18:30" ht="69.75" customHeight="1" x14ac:dyDescent="0.25">
      <c r="R1521" s="25"/>
      <c r="S1521" s="25"/>
      <c r="T1521" s="25"/>
      <c r="U1521" s="25"/>
      <c r="V1521" s="25"/>
      <c r="W1521" s="25"/>
      <c r="X1521" s="25"/>
      <c r="Y1521" s="25"/>
      <c r="Z1521" s="25"/>
      <c r="AA1521" s="25"/>
      <c r="AB1521" s="25"/>
      <c r="AC1521" s="25"/>
      <c r="AD1521" s="168"/>
    </row>
    <row r="1522" spans="18:30" ht="69.75" customHeight="1" x14ac:dyDescent="0.25">
      <c r="R1522" s="25"/>
      <c r="S1522" s="25"/>
      <c r="T1522" s="25"/>
      <c r="U1522" s="25"/>
      <c r="V1522" s="25"/>
      <c r="W1522" s="25"/>
      <c r="X1522" s="25"/>
      <c r="Y1522" s="25"/>
      <c r="Z1522" s="25"/>
      <c r="AA1522" s="25"/>
      <c r="AB1522" s="25"/>
      <c r="AC1522" s="25"/>
      <c r="AD1522" s="168"/>
    </row>
    <row r="1523" spans="18:30" ht="69.75" customHeight="1" x14ac:dyDescent="0.25">
      <c r="R1523" s="25"/>
      <c r="S1523" s="25"/>
      <c r="T1523" s="25"/>
      <c r="U1523" s="25"/>
      <c r="V1523" s="25"/>
      <c r="W1523" s="25"/>
      <c r="X1523" s="25"/>
      <c r="Y1523" s="25"/>
      <c r="Z1523" s="25"/>
      <c r="AA1523" s="25"/>
      <c r="AB1523" s="25"/>
      <c r="AC1523" s="25"/>
      <c r="AD1523" s="168"/>
    </row>
    <row r="1524" spans="18:30" ht="69.75" customHeight="1" x14ac:dyDescent="0.25">
      <c r="R1524" s="25"/>
      <c r="S1524" s="25"/>
      <c r="T1524" s="25"/>
      <c r="U1524" s="25"/>
      <c r="V1524" s="25"/>
      <c r="W1524" s="25"/>
      <c r="X1524" s="25"/>
      <c r="Y1524" s="25"/>
      <c r="Z1524" s="25"/>
      <c r="AA1524" s="25"/>
      <c r="AB1524" s="25"/>
      <c r="AC1524" s="25"/>
      <c r="AD1524" s="168"/>
    </row>
    <row r="1525" spans="18:30" ht="69.75" customHeight="1" x14ac:dyDescent="0.25">
      <c r="R1525" s="25"/>
      <c r="S1525" s="25"/>
      <c r="T1525" s="25"/>
      <c r="U1525" s="25"/>
      <c r="V1525" s="25"/>
      <c r="W1525" s="25"/>
      <c r="X1525" s="25"/>
      <c r="Y1525" s="25"/>
      <c r="Z1525" s="25"/>
      <c r="AA1525" s="25"/>
      <c r="AB1525" s="25"/>
      <c r="AC1525" s="25"/>
      <c r="AD1525" s="168"/>
    </row>
    <row r="1526" spans="18:30" ht="69.75" customHeight="1" x14ac:dyDescent="0.25">
      <c r="R1526" s="25"/>
      <c r="S1526" s="25"/>
      <c r="T1526" s="25"/>
      <c r="U1526" s="25"/>
      <c r="V1526" s="25"/>
      <c r="W1526" s="25"/>
      <c r="X1526" s="25"/>
      <c r="Y1526" s="25"/>
      <c r="Z1526" s="25"/>
      <c r="AA1526" s="25"/>
      <c r="AB1526" s="25"/>
      <c r="AC1526" s="25"/>
      <c r="AD1526" s="168"/>
    </row>
    <row r="1527" spans="18:30" ht="69.75" customHeight="1" x14ac:dyDescent="0.25">
      <c r="R1527" s="25"/>
      <c r="S1527" s="25"/>
      <c r="T1527" s="25"/>
      <c r="U1527" s="25"/>
      <c r="V1527" s="25"/>
      <c r="W1527" s="25"/>
      <c r="X1527" s="25"/>
      <c r="Y1527" s="25"/>
      <c r="Z1527" s="25"/>
      <c r="AA1527" s="25"/>
      <c r="AB1527" s="25"/>
      <c r="AC1527" s="25"/>
      <c r="AD1527" s="168"/>
    </row>
    <row r="1528" spans="18:30" ht="69.75" customHeight="1" x14ac:dyDescent="0.25">
      <c r="R1528" s="25"/>
      <c r="S1528" s="25"/>
      <c r="T1528" s="25"/>
      <c r="U1528" s="25"/>
      <c r="V1528" s="25"/>
      <c r="W1528" s="25"/>
      <c r="X1528" s="25"/>
      <c r="Y1528" s="25"/>
      <c r="Z1528" s="25"/>
      <c r="AA1528" s="25"/>
      <c r="AB1528" s="25"/>
      <c r="AC1528" s="25"/>
      <c r="AD1528" s="168"/>
    </row>
    <row r="1529" spans="18:30" ht="69.75" customHeight="1" x14ac:dyDescent="0.25">
      <c r="R1529" s="25"/>
      <c r="S1529" s="25"/>
      <c r="T1529" s="25"/>
      <c r="U1529" s="25"/>
      <c r="V1529" s="25"/>
      <c r="W1529" s="25"/>
      <c r="X1529" s="25"/>
      <c r="Y1529" s="25"/>
      <c r="Z1529" s="25"/>
      <c r="AA1529" s="25"/>
      <c r="AB1529" s="25"/>
      <c r="AC1529" s="25"/>
      <c r="AD1529" s="168"/>
    </row>
    <row r="1530" spans="18:30" ht="69.75" customHeight="1" x14ac:dyDescent="0.25">
      <c r="R1530" s="25"/>
      <c r="S1530" s="25"/>
      <c r="T1530" s="25"/>
      <c r="U1530" s="25"/>
      <c r="V1530" s="25"/>
      <c r="W1530" s="25"/>
      <c r="X1530" s="25"/>
      <c r="Y1530" s="25"/>
      <c r="Z1530" s="25"/>
      <c r="AA1530" s="25"/>
      <c r="AB1530" s="25"/>
      <c r="AC1530" s="25"/>
      <c r="AD1530" s="168"/>
    </row>
    <row r="1531" spans="18:30" ht="69.75" customHeight="1" x14ac:dyDescent="0.25">
      <c r="R1531" s="25"/>
      <c r="S1531" s="25"/>
      <c r="T1531" s="25"/>
      <c r="U1531" s="25"/>
      <c r="V1531" s="25"/>
      <c r="W1531" s="25"/>
      <c r="X1531" s="25"/>
      <c r="Y1531" s="25"/>
      <c r="Z1531" s="25"/>
      <c r="AA1531" s="25"/>
      <c r="AB1531" s="25"/>
      <c r="AC1531" s="25"/>
      <c r="AD1531" s="168"/>
    </row>
    <row r="1532" spans="18:30" ht="69.75" customHeight="1" x14ac:dyDescent="0.25">
      <c r="R1532" s="25"/>
      <c r="S1532" s="25"/>
      <c r="T1532" s="25"/>
      <c r="U1532" s="25"/>
      <c r="V1532" s="25"/>
      <c r="W1532" s="25"/>
      <c r="X1532" s="25"/>
      <c r="Y1532" s="25"/>
      <c r="Z1532" s="25"/>
      <c r="AA1532" s="25"/>
      <c r="AB1532" s="25"/>
      <c r="AC1532" s="25"/>
      <c r="AD1532" s="168"/>
    </row>
    <row r="1533" spans="18:30" ht="69.75" customHeight="1" x14ac:dyDescent="0.25">
      <c r="R1533" s="25"/>
      <c r="S1533" s="25"/>
      <c r="T1533" s="25"/>
      <c r="U1533" s="25"/>
      <c r="V1533" s="25"/>
      <c r="W1533" s="25"/>
      <c r="X1533" s="25"/>
      <c r="Y1533" s="25"/>
      <c r="Z1533" s="25"/>
      <c r="AA1533" s="25"/>
      <c r="AB1533" s="25"/>
      <c r="AC1533" s="25"/>
      <c r="AD1533" s="168"/>
    </row>
    <row r="1534" spans="18:30" ht="69.75" customHeight="1" x14ac:dyDescent="0.25">
      <c r="R1534" s="25"/>
      <c r="S1534" s="25"/>
      <c r="T1534" s="25"/>
      <c r="U1534" s="25"/>
      <c r="V1534" s="25"/>
      <c r="W1534" s="25"/>
      <c r="X1534" s="25"/>
      <c r="Y1534" s="25"/>
      <c r="Z1534" s="25"/>
      <c r="AA1534" s="25"/>
      <c r="AB1534" s="25"/>
      <c r="AC1534" s="25"/>
      <c r="AD1534" s="168"/>
    </row>
    <row r="1535" spans="18:30" ht="69.75" customHeight="1" x14ac:dyDescent="0.25">
      <c r="R1535" s="25"/>
      <c r="S1535" s="25"/>
      <c r="T1535" s="25"/>
      <c r="U1535" s="25"/>
      <c r="V1535" s="25"/>
      <c r="W1535" s="25"/>
      <c r="X1535" s="25"/>
      <c r="Y1535" s="25"/>
      <c r="Z1535" s="25"/>
      <c r="AA1535" s="25"/>
      <c r="AB1535" s="25"/>
      <c r="AC1535" s="25"/>
      <c r="AD1535" s="168"/>
    </row>
    <row r="1536" spans="18:30" ht="69.75" customHeight="1" x14ac:dyDescent="0.25">
      <c r="R1536" s="25"/>
      <c r="S1536" s="25"/>
      <c r="T1536" s="25"/>
      <c r="U1536" s="25"/>
      <c r="V1536" s="25"/>
      <c r="W1536" s="25"/>
      <c r="X1536" s="25"/>
      <c r="Y1536" s="25"/>
      <c r="Z1536" s="25"/>
      <c r="AA1536" s="25"/>
      <c r="AB1536" s="25"/>
      <c r="AC1536" s="25"/>
      <c r="AD1536" s="168"/>
    </row>
    <row r="1537" spans="18:30" ht="69.75" customHeight="1" x14ac:dyDescent="0.25">
      <c r="R1537" s="25"/>
      <c r="S1537" s="25"/>
      <c r="T1537" s="25"/>
      <c r="U1537" s="25"/>
      <c r="V1537" s="25"/>
      <c r="W1537" s="25"/>
      <c r="X1537" s="25"/>
      <c r="Y1537" s="25"/>
      <c r="Z1537" s="25"/>
      <c r="AA1537" s="25"/>
      <c r="AB1537" s="25"/>
      <c r="AC1537" s="25"/>
      <c r="AD1537" s="168"/>
    </row>
    <row r="1538" spans="18:30" ht="69.75" customHeight="1" x14ac:dyDescent="0.25">
      <c r="R1538" s="25"/>
      <c r="S1538" s="25"/>
      <c r="T1538" s="25"/>
      <c r="U1538" s="25"/>
      <c r="V1538" s="25"/>
      <c r="W1538" s="25"/>
      <c r="X1538" s="25"/>
      <c r="Y1538" s="25"/>
      <c r="Z1538" s="25"/>
      <c r="AA1538" s="25"/>
      <c r="AB1538" s="25"/>
      <c r="AC1538" s="25"/>
      <c r="AD1538" s="168"/>
    </row>
    <row r="1539" spans="18:30" ht="69.75" customHeight="1" x14ac:dyDescent="0.25">
      <c r="R1539" s="25"/>
      <c r="S1539" s="25"/>
      <c r="T1539" s="25"/>
      <c r="U1539" s="25"/>
      <c r="V1539" s="25"/>
      <c r="W1539" s="25"/>
      <c r="X1539" s="25"/>
      <c r="Y1539" s="25"/>
      <c r="Z1539" s="25"/>
      <c r="AA1539" s="25"/>
      <c r="AB1539" s="25"/>
      <c r="AC1539" s="25"/>
      <c r="AD1539" s="168"/>
    </row>
    <row r="1540" spans="18:30" ht="69.75" customHeight="1" x14ac:dyDescent="0.25">
      <c r="R1540" s="25"/>
      <c r="S1540" s="25"/>
      <c r="T1540" s="25"/>
      <c r="U1540" s="25"/>
      <c r="V1540" s="25"/>
      <c r="W1540" s="25"/>
      <c r="X1540" s="25"/>
      <c r="Y1540" s="25"/>
      <c r="Z1540" s="25"/>
      <c r="AA1540" s="25"/>
      <c r="AB1540" s="25"/>
      <c r="AC1540" s="25"/>
      <c r="AD1540" s="168"/>
    </row>
    <row r="1541" spans="18:30" ht="69.75" customHeight="1" x14ac:dyDescent="0.25">
      <c r="R1541" s="25"/>
      <c r="S1541" s="25"/>
      <c r="T1541" s="25"/>
      <c r="U1541" s="25"/>
      <c r="V1541" s="25"/>
      <c r="W1541" s="25"/>
      <c r="X1541" s="25"/>
      <c r="Y1541" s="25"/>
      <c r="Z1541" s="25"/>
      <c r="AA1541" s="25"/>
      <c r="AB1541" s="25"/>
      <c r="AC1541" s="25"/>
      <c r="AD1541" s="168"/>
    </row>
    <row r="1542" spans="18:30" ht="69.75" customHeight="1" x14ac:dyDescent="0.25">
      <c r="R1542" s="25"/>
      <c r="S1542" s="25"/>
      <c r="T1542" s="25"/>
      <c r="U1542" s="25"/>
      <c r="V1542" s="25"/>
      <c r="W1542" s="25"/>
      <c r="X1542" s="25"/>
      <c r="Y1542" s="25"/>
      <c r="Z1542" s="25"/>
      <c r="AA1542" s="25"/>
      <c r="AB1542" s="25"/>
      <c r="AC1542" s="25"/>
      <c r="AD1542" s="168"/>
    </row>
    <row r="1543" spans="18:30" ht="69.75" customHeight="1" x14ac:dyDescent="0.25">
      <c r="R1543" s="25"/>
      <c r="S1543" s="25"/>
      <c r="T1543" s="25"/>
      <c r="U1543" s="25"/>
      <c r="V1543" s="25"/>
      <c r="W1543" s="25"/>
      <c r="X1543" s="25"/>
      <c r="Y1543" s="25"/>
      <c r="Z1543" s="25"/>
      <c r="AA1543" s="25"/>
      <c r="AB1543" s="25"/>
      <c r="AC1543" s="25"/>
      <c r="AD1543" s="168"/>
    </row>
    <row r="1544" spans="18:30" ht="69.75" customHeight="1" x14ac:dyDescent="0.25">
      <c r="R1544" s="25"/>
      <c r="S1544" s="25"/>
      <c r="T1544" s="25"/>
      <c r="U1544" s="25"/>
      <c r="V1544" s="25"/>
      <c r="W1544" s="25"/>
      <c r="X1544" s="25"/>
      <c r="Y1544" s="25"/>
      <c r="Z1544" s="25"/>
      <c r="AA1544" s="25"/>
      <c r="AB1544" s="25"/>
      <c r="AC1544" s="25"/>
      <c r="AD1544" s="168"/>
    </row>
    <row r="1545" spans="18:30" ht="69.75" customHeight="1" x14ac:dyDescent="0.25">
      <c r="R1545" s="25"/>
      <c r="S1545" s="25"/>
      <c r="T1545" s="25"/>
      <c r="U1545" s="25"/>
      <c r="V1545" s="25"/>
      <c r="W1545" s="25"/>
      <c r="X1545" s="25"/>
      <c r="Y1545" s="25"/>
      <c r="Z1545" s="25"/>
      <c r="AA1545" s="25"/>
      <c r="AB1545" s="25"/>
      <c r="AC1545" s="25"/>
      <c r="AD1545" s="168"/>
    </row>
    <row r="1546" spans="18:30" ht="69.75" customHeight="1" x14ac:dyDescent="0.25">
      <c r="R1546" s="25"/>
      <c r="S1546" s="25"/>
      <c r="T1546" s="25"/>
      <c r="U1546" s="25"/>
      <c r="V1546" s="25"/>
      <c r="W1546" s="25"/>
      <c r="X1546" s="25"/>
      <c r="Y1546" s="25"/>
      <c r="Z1546" s="25"/>
      <c r="AA1546" s="25"/>
      <c r="AB1546" s="25"/>
      <c r="AC1546" s="25"/>
      <c r="AD1546" s="168"/>
    </row>
    <row r="1547" spans="18:30" ht="69.75" customHeight="1" x14ac:dyDescent="0.25">
      <c r="R1547" s="25"/>
      <c r="S1547" s="25"/>
      <c r="T1547" s="25"/>
      <c r="U1547" s="25"/>
      <c r="V1547" s="25"/>
      <c r="W1547" s="25"/>
      <c r="X1547" s="25"/>
      <c r="Y1547" s="25"/>
      <c r="Z1547" s="25"/>
      <c r="AA1547" s="25"/>
      <c r="AB1547" s="25"/>
      <c r="AC1547" s="25"/>
      <c r="AD1547" s="168"/>
    </row>
    <row r="1548" spans="18:30" ht="69.75" customHeight="1" x14ac:dyDescent="0.25">
      <c r="R1548" s="25"/>
      <c r="S1548" s="25"/>
      <c r="T1548" s="25"/>
      <c r="U1548" s="25"/>
      <c r="V1548" s="25"/>
      <c r="W1548" s="25"/>
      <c r="X1548" s="25"/>
      <c r="Y1548" s="25"/>
      <c r="Z1548" s="25"/>
      <c r="AA1548" s="25"/>
      <c r="AB1548" s="25"/>
      <c r="AC1548" s="25"/>
      <c r="AD1548" s="168"/>
    </row>
    <row r="1549" spans="18:30" ht="69.75" customHeight="1" x14ac:dyDescent="0.25">
      <c r="R1549" s="25"/>
      <c r="S1549" s="25"/>
      <c r="T1549" s="25"/>
      <c r="U1549" s="25"/>
      <c r="V1549" s="25"/>
      <c r="W1549" s="25"/>
      <c r="X1549" s="25"/>
      <c r="Y1549" s="25"/>
      <c r="Z1549" s="25"/>
      <c r="AA1549" s="25"/>
      <c r="AB1549" s="25"/>
      <c r="AC1549" s="25"/>
      <c r="AD1549" s="168"/>
    </row>
    <row r="1550" spans="18:30" ht="69.75" customHeight="1" x14ac:dyDescent="0.25">
      <c r="R1550" s="25"/>
      <c r="S1550" s="25"/>
      <c r="T1550" s="25"/>
      <c r="U1550" s="25"/>
      <c r="V1550" s="25"/>
      <c r="W1550" s="25"/>
      <c r="X1550" s="25"/>
      <c r="Y1550" s="25"/>
      <c r="Z1550" s="25"/>
      <c r="AA1550" s="25"/>
      <c r="AB1550" s="25"/>
      <c r="AC1550" s="25"/>
      <c r="AD1550" s="168"/>
    </row>
    <row r="1551" spans="18:30" ht="69.75" customHeight="1" x14ac:dyDescent="0.25">
      <c r="R1551" s="25"/>
      <c r="S1551" s="25"/>
      <c r="T1551" s="25"/>
      <c r="U1551" s="25"/>
      <c r="V1551" s="25"/>
      <c r="W1551" s="25"/>
      <c r="X1551" s="25"/>
      <c r="Y1551" s="25"/>
      <c r="Z1551" s="25"/>
      <c r="AA1551" s="25"/>
      <c r="AB1551" s="25"/>
      <c r="AC1551" s="25"/>
      <c r="AD1551" s="168"/>
    </row>
    <row r="1552" spans="18:30" ht="69.75" customHeight="1" x14ac:dyDescent="0.25">
      <c r="R1552" s="25"/>
      <c r="S1552" s="25"/>
      <c r="T1552" s="25"/>
      <c r="U1552" s="25"/>
      <c r="V1552" s="25"/>
      <c r="W1552" s="25"/>
      <c r="X1552" s="25"/>
      <c r="Y1552" s="25"/>
      <c r="Z1552" s="25"/>
      <c r="AA1552" s="25"/>
      <c r="AB1552" s="25"/>
      <c r="AC1552" s="25"/>
      <c r="AD1552" s="168"/>
    </row>
    <row r="1553" spans="18:30" ht="69.75" customHeight="1" x14ac:dyDescent="0.25">
      <c r="R1553" s="25"/>
      <c r="S1553" s="25"/>
      <c r="T1553" s="25"/>
      <c r="U1553" s="25"/>
      <c r="V1553" s="25"/>
      <c r="W1553" s="25"/>
      <c r="X1553" s="25"/>
      <c r="Y1553" s="25"/>
      <c r="Z1553" s="25"/>
      <c r="AA1553" s="25"/>
      <c r="AB1553" s="25"/>
      <c r="AC1553" s="25"/>
      <c r="AD1553" s="168"/>
    </row>
    <row r="1554" spans="18:30" ht="69.75" customHeight="1" x14ac:dyDescent="0.25">
      <c r="R1554" s="25"/>
      <c r="S1554" s="25"/>
      <c r="T1554" s="25"/>
      <c r="U1554" s="25"/>
      <c r="V1554" s="25"/>
      <c r="W1554" s="25"/>
      <c r="X1554" s="25"/>
      <c r="Y1554" s="25"/>
      <c r="Z1554" s="25"/>
      <c r="AA1554" s="25"/>
      <c r="AB1554" s="25"/>
      <c r="AC1554" s="25"/>
      <c r="AD1554" s="168"/>
    </row>
    <row r="1555" spans="18:30" ht="69.75" customHeight="1" x14ac:dyDescent="0.25">
      <c r="R1555" s="25"/>
      <c r="S1555" s="25"/>
      <c r="T1555" s="25"/>
      <c r="U1555" s="25"/>
      <c r="V1555" s="25"/>
      <c r="W1555" s="25"/>
      <c r="X1555" s="25"/>
      <c r="Y1555" s="25"/>
      <c r="Z1555" s="25"/>
      <c r="AA1555" s="25"/>
      <c r="AB1555" s="25"/>
      <c r="AC1555" s="25"/>
      <c r="AD1555" s="168"/>
    </row>
    <row r="1556" spans="18:30" ht="69.75" customHeight="1" x14ac:dyDescent="0.25">
      <c r="R1556" s="25"/>
      <c r="S1556" s="25"/>
      <c r="T1556" s="25"/>
      <c r="U1556" s="25"/>
      <c r="V1556" s="25"/>
      <c r="W1556" s="25"/>
      <c r="X1556" s="25"/>
      <c r="Y1556" s="25"/>
      <c r="Z1556" s="25"/>
      <c r="AA1556" s="25"/>
      <c r="AB1556" s="25"/>
      <c r="AC1556" s="25"/>
      <c r="AD1556" s="168"/>
    </row>
    <row r="1557" spans="18:30" ht="69.75" customHeight="1" x14ac:dyDescent="0.25">
      <c r="R1557" s="25"/>
      <c r="S1557" s="25"/>
      <c r="T1557" s="25"/>
      <c r="U1557" s="25"/>
      <c r="V1557" s="25"/>
      <c r="W1557" s="25"/>
      <c r="X1557" s="25"/>
      <c r="Y1557" s="25"/>
      <c r="Z1557" s="25"/>
      <c r="AA1557" s="25"/>
      <c r="AB1557" s="25"/>
      <c r="AC1557" s="25"/>
      <c r="AD1557" s="168"/>
    </row>
    <row r="1558" spans="18:30" ht="69.75" customHeight="1" x14ac:dyDescent="0.25">
      <c r="R1558" s="25"/>
      <c r="S1558" s="25"/>
      <c r="T1558" s="25"/>
      <c r="U1558" s="25"/>
      <c r="V1558" s="25"/>
      <c r="W1558" s="25"/>
      <c r="X1558" s="25"/>
      <c r="Y1558" s="25"/>
      <c r="Z1558" s="25"/>
      <c r="AA1558" s="25"/>
      <c r="AB1558" s="25"/>
      <c r="AC1558" s="25"/>
      <c r="AD1558" s="168"/>
    </row>
    <row r="1559" spans="18:30" ht="69.75" customHeight="1" x14ac:dyDescent="0.25">
      <c r="R1559" s="25"/>
      <c r="S1559" s="25"/>
      <c r="T1559" s="25"/>
      <c r="U1559" s="25"/>
      <c r="V1559" s="25"/>
      <c r="W1559" s="25"/>
      <c r="X1559" s="25"/>
      <c r="Y1559" s="25"/>
      <c r="Z1559" s="25"/>
      <c r="AA1559" s="25"/>
      <c r="AB1559" s="25"/>
      <c r="AC1559" s="25"/>
      <c r="AD1559" s="168"/>
    </row>
    <row r="1560" spans="18:30" ht="69.75" customHeight="1" x14ac:dyDescent="0.25">
      <c r="R1560" s="25"/>
      <c r="S1560" s="25"/>
      <c r="T1560" s="25"/>
      <c r="U1560" s="25"/>
      <c r="V1560" s="25"/>
      <c r="W1560" s="25"/>
      <c r="X1560" s="25"/>
      <c r="Y1560" s="25"/>
      <c r="Z1560" s="25"/>
      <c r="AA1560" s="25"/>
      <c r="AB1560" s="25"/>
      <c r="AC1560" s="25"/>
      <c r="AD1560" s="168"/>
    </row>
    <row r="1561" spans="18:30" ht="69.75" customHeight="1" x14ac:dyDescent="0.25">
      <c r="R1561" s="25"/>
      <c r="S1561" s="25"/>
      <c r="T1561" s="25"/>
      <c r="U1561" s="25"/>
      <c r="V1561" s="25"/>
      <c r="W1561" s="25"/>
      <c r="X1561" s="25"/>
      <c r="Y1561" s="25"/>
      <c r="Z1561" s="25"/>
      <c r="AA1561" s="25"/>
      <c r="AB1561" s="25"/>
      <c r="AC1561" s="25"/>
      <c r="AD1561" s="168"/>
    </row>
    <row r="1562" spans="18:30" ht="69.75" customHeight="1" x14ac:dyDescent="0.25">
      <c r="R1562" s="25"/>
      <c r="S1562" s="25"/>
      <c r="T1562" s="25"/>
      <c r="U1562" s="25"/>
      <c r="V1562" s="25"/>
      <c r="W1562" s="25"/>
      <c r="X1562" s="25"/>
      <c r="Y1562" s="25"/>
      <c r="Z1562" s="25"/>
      <c r="AA1562" s="25"/>
      <c r="AB1562" s="25"/>
      <c r="AC1562" s="25"/>
      <c r="AD1562" s="168"/>
    </row>
    <row r="1563" spans="18:30" ht="69.75" customHeight="1" x14ac:dyDescent="0.25">
      <c r="R1563" s="25"/>
      <c r="S1563" s="25"/>
      <c r="T1563" s="25"/>
      <c r="U1563" s="25"/>
      <c r="V1563" s="25"/>
      <c r="W1563" s="25"/>
      <c r="X1563" s="25"/>
      <c r="Y1563" s="25"/>
      <c r="Z1563" s="25"/>
      <c r="AA1563" s="25"/>
      <c r="AB1563" s="25"/>
      <c r="AC1563" s="25"/>
      <c r="AD1563" s="168"/>
    </row>
    <row r="1564" spans="18:30" ht="69.75" customHeight="1" x14ac:dyDescent="0.25">
      <c r="R1564" s="25"/>
      <c r="S1564" s="25"/>
      <c r="T1564" s="25"/>
      <c r="U1564" s="25"/>
      <c r="V1564" s="25"/>
      <c r="W1564" s="25"/>
      <c r="X1564" s="25"/>
      <c r="Y1564" s="25"/>
      <c r="Z1564" s="25"/>
      <c r="AA1564" s="25"/>
      <c r="AB1564" s="25"/>
      <c r="AC1564" s="25"/>
      <c r="AD1564" s="168"/>
    </row>
    <row r="1565" spans="18:30" ht="69.75" customHeight="1" x14ac:dyDescent="0.25">
      <c r="R1565" s="25"/>
      <c r="S1565" s="25"/>
      <c r="T1565" s="25"/>
      <c r="U1565" s="25"/>
      <c r="V1565" s="25"/>
      <c r="W1565" s="25"/>
      <c r="X1565" s="25"/>
      <c r="Y1565" s="25"/>
      <c r="Z1565" s="25"/>
      <c r="AA1565" s="25"/>
      <c r="AB1565" s="25"/>
      <c r="AC1565" s="25"/>
      <c r="AD1565" s="168"/>
    </row>
    <row r="1566" spans="18:30" ht="69.75" customHeight="1" x14ac:dyDescent="0.25">
      <c r="R1566" s="25"/>
      <c r="S1566" s="25"/>
      <c r="T1566" s="25"/>
      <c r="U1566" s="25"/>
      <c r="V1566" s="25"/>
      <c r="W1566" s="25"/>
      <c r="X1566" s="25"/>
      <c r="Y1566" s="25"/>
      <c r="Z1566" s="25"/>
      <c r="AA1566" s="25"/>
      <c r="AB1566" s="25"/>
      <c r="AC1566" s="25"/>
      <c r="AD1566" s="168"/>
    </row>
    <row r="1567" spans="18:30" ht="69.75" customHeight="1" x14ac:dyDescent="0.25">
      <c r="R1567" s="25"/>
      <c r="S1567" s="25"/>
      <c r="T1567" s="25"/>
      <c r="U1567" s="25"/>
      <c r="V1567" s="25"/>
      <c r="W1567" s="25"/>
      <c r="X1567" s="25"/>
      <c r="Y1567" s="25"/>
      <c r="Z1567" s="25"/>
      <c r="AA1567" s="25"/>
      <c r="AB1567" s="25"/>
      <c r="AC1567" s="25"/>
      <c r="AD1567" s="168"/>
    </row>
    <row r="1568" spans="18:30" ht="69.75" customHeight="1" x14ac:dyDescent="0.25">
      <c r="R1568" s="25"/>
      <c r="S1568" s="25"/>
      <c r="T1568" s="25"/>
      <c r="U1568" s="25"/>
      <c r="V1568" s="25"/>
      <c r="W1568" s="25"/>
      <c r="X1568" s="25"/>
      <c r="Y1568" s="25"/>
      <c r="Z1568" s="25"/>
      <c r="AA1568" s="25"/>
      <c r="AB1568" s="25"/>
      <c r="AC1568" s="25"/>
      <c r="AD1568" s="168"/>
    </row>
    <row r="1569" spans="18:30" ht="69.75" customHeight="1" x14ac:dyDescent="0.25">
      <c r="R1569" s="25"/>
      <c r="S1569" s="25"/>
      <c r="T1569" s="25"/>
      <c r="U1569" s="25"/>
      <c r="V1569" s="25"/>
      <c r="W1569" s="25"/>
      <c r="X1569" s="25"/>
      <c r="Y1569" s="25"/>
      <c r="Z1569" s="25"/>
      <c r="AA1569" s="25"/>
      <c r="AB1569" s="25"/>
      <c r="AC1569" s="25"/>
      <c r="AD1569" s="168"/>
    </row>
    <row r="1570" spans="18:30" ht="69.75" customHeight="1" x14ac:dyDescent="0.25">
      <c r="R1570" s="25"/>
      <c r="S1570" s="25"/>
      <c r="T1570" s="25"/>
      <c r="U1570" s="25"/>
      <c r="V1570" s="25"/>
      <c r="W1570" s="25"/>
      <c r="X1570" s="25"/>
      <c r="Y1570" s="25"/>
      <c r="Z1570" s="25"/>
      <c r="AA1570" s="25"/>
      <c r="AB1570" s="25"/>
      <c r="AC1570" s="25"/>
      <c r="AD1570" s="168"/>
    </row>
    <row r="1571" spans="18:30" ht="69.75" customHeight="1" x14ac:dyDescent="0.25">
      <c r="R1571" s="25"/>
      <c r="S1571" s="25"/>
      <c r="T1571" s="25"/>
      <c r="U1571" s="25"/>
      <c r="V1571" s="25"/>
      <c r="W1571" s="25"/>
      <c r="X1571" s="25"/>
      <c r="Y1571" s="25"/>
      <c r="Z1571" s="25"/>
      <c r="AA1571" s="25"/>
      <c r="AB1571" s="25"/>
      <c r="AC1571" s="25"/>
      <c r="AD1571" s="168"/>
    </row>
    <row r="1572" spans="18:30" ht="69.75" customHeight="1" x14ac:dyDescent="0.25">
      <c r="R1572" s="25"/>
      <c r="S1572" s="25"/>
      <c r="T1572" s="25"/>
      <c r="U1572" s="25"/>
      <c r="V1572" s="25"/>
      <c r="W1572" s="25"/>
      <c r="X1572" s="25"/>
      <c r="Y1572" s="25"/>
      <c r="Z1572" s="25"/>
      <c r="AA1572" s="25"/>
      <c r="AB1572" s="25"/>
      <c r="AC1572" s="25"/>
      <c r="AD1572" s="168"/>
    </row>
    <row r="1573" spans="18:30" ht="69.75" customHeight="1" x14ac:dyDescent="0.25">
      <c r="R1573" s="25"/>
      <c r="S1573" s="25"/>
      <c r="T1573" s="25"/>
      <c r="U1573" s="25"/>
      <c r="V1573" s="25"/>
      <c r="W1573" s="25"/>
      <c r="X1573" s="25"/>
      <c r="Y1573" s="25"/>
      <c r="Z1573" s="25"/>
      <c r="AA1573" s="25"/>
      <c r="AB1573" s="25"/>
      <c r="AC1573" s="25"/>
      <c r="AD1573" s="168"/>
    </row>
    <row r="1574" spans="18:30" ht="69.75" customHeight="1" x14ac:dyDescent="0.25">
      <c r="R1574" s="25"/>
      <c r="S1574" s="25"/>
      <c r="T1574" s="25"/>
      <c r="U1574" s="25"/>
      <c r="V1574" s="25"/>
      <c r="W1574" s="25"/>
      <c r="X1574" s="25"/>
      <c r="Y1574" s="25"/>
      <c r="Z1574" s="25"/>
      <c r="AA1574" s="25"/>
      <c r="AB1574" s="25"/>
      <c r="AC1574" s="25"/>
      <c r="AD1574" s="168"/>
    </row>
    <row r="1575" spans="18:30" ht="69.75" customHeight="1" x14ac:dyDescent="0.25">
      <c r="R1575" s="25"/>
      <c r="S1575" s="25"/>
      <c r="T1575" s="25"/>
      <c r="U1575" s="25"/>
      <c r="V1575" s="25"/>
      <c r="W1575" s="25"/>
      <c r="X1575" s="25"/>
      <c r="Y1575" s="25"/>
      <c r="Z1575" s="25"/>
      <c r="AA1575" s="25"/>
      <c r="AB1575" s="25"/>
      <c r="AC1575" s="25"/>
      <c r="AD1575" s="168"/>
    </row>
    <row r="1576" spans="18:30" ht="69.75" customHeight="1" x14ac:dyDescent="0.25">
      <c r="R1576" s="25"/>
      <c r="S1576" s="25"/>
      <c r="T1576" s="25"/>
      <c r="U1576" s="25"/>
      <c r="V1576" s="25"/>
      <c r="W1576" s="25"/>
      <c r="X1576" s="25"/>
      <c r="Y1576" s="25"/>
      <c r="Z1576" s="25"/>
      <c r="AA1576" s="25"/>
      <c r="AB1576" s="25"/>
      <c r="AC1576" s="25"/>
      <c r="AD1576" s="168"/>
    </row>
    <row r="1577" spans="18:30" ht="69.75" customHeight="1" x14ac:dyDescent="0.25">
      <c r="R1577" s="25"/>
      <c r="S1577" s="25"/>
      <c r="T1577" s="25"/>
      <c r="U1577" s="25"/>
      <c r="V1577" s="25"/>
      <c r="W1577" s="25"/>
      <c r="X1577" s="25"/>
      <c r="Y1577" s="25"/>
      <c r="Z1577" s="25"/>
      <c r="AA1577" s="25"/>
      <c r="AB1577" s="25"/>
      <c r="AC1577" s="25"/>
      <c r="AD1577" s="168"/>
    </row>
    <row r="1578" spans="18:30" ht="69.75" customHeight="1" x14ac:dyDescent="0.25">
      <c r="R1578" s="25"/>
      <c r="S1578" s="25"/>
      <c r="T1578" s="25"/>
      <c r="U1578" s="25"/>
      <c r="V1578" s="25"/>
      <c r="W1578" s="25"/>
      <c r="X1578" s="25"/>
      <c r="Y1578" s="25"/>
      <c r="Z1578" s="25"/>
      <c r="AA1578" s="25"/>
      <c r="AB1578" s="25"/>
      <c r="AC1578" s="25"/>
      <c r="AD1578" s="168"/>
    </row>
    <row r="1579" spans="18:30" ht="69.75" customHeight="1" x14ac:dyDescent="0.25">
      <c r="R1579" s="25"/>
      <c r="S1579" s="25"/>
      <c r="T1579" s="25"/>
      <c r="U1579" s="25"/>
      <c r="V1579" s="25"/>
      <c r="W1579" s="25"/>
      <c r="X1579" s="25"/>
      <c r="Y1579" s="25"/>
      <c r="Z1579" s="25"/>
      <c r="AA1579" s="25"/>
      <c r="AB1579" s="25"/>
      <c r="AC1579" s="25"/>
      <c r="AD1579" s="168"/>
    </row>
    <row r="1580" spans="18:30" ht="69.75" customHeight="1" x14ac:dyDescent="0.25">
      <c r="R1580" s="25"/>
      <c r="S1580" s="25"/>
      <c r="T1580" s="25"/>
      <c r="U1580" s="25"/>
      <c r="V1580" s="25"/>
      <c r="W1580" s="25"/>
      <c r="X1580" s="25"/>
      <c r="Y1580" s="25"/>
      <c r="Z1580" s="25"/>
      <c r="AA1580" s="25"/>
      <c r="AB1580" s="25"/>
      <c r="AC1580" s="25"/>
      <c r="AD1580" s="168"/>
    </row>
    <row r="1581" spans="18:30" ht="69.75" customHeight="1" x14ac:dyDescent="0.25">
      <c r="R1581" s="25"/>
      <c r="S1581" s="25"/>
      <c r="T1581" s="25"/>
      <c r="U1581" s="25"/>
      <c r="V1581" s="25"/>
      <c r="W1581" s="25"/>
      <c r="X1581" s="25"/>
      <c r="Y1581" s="25"/>
      <c r="Z1581" s="25"/>
      <c r="AA1581" s="25"/>
      <c r="AB1581" s="25"/>
      <c r="AC1581" s="25"/>
      <c r="AD1581" s="168"/>
    </row>
    <row r="1582" spans="18:30" ht="69.75" customHeight="1" x14ac:dyDescent="0.25">
      <c r="R1582" s="25"/>
      <c r="S1582" s="25"/>
      <c r="T1582" s="25"/>
      <c r="U1582" s="25"/>
      <c r="V1582" s="25"/>
      <c r="W1582" s="25"/>
      <c r="X1582" s="25"/>
      <c r="Y1582" s="25"/>
      <c r="Z1582" s="25"/>
      <c r="AA1582" s="25"/>
      <c r="AB1582" s="25"/>
      <c r="AC1582" s="25"/>
      <c r="AD1582" s="168"/>
    </row>
    <row r="1583" spans="18:30" ht="69.75" customHeight="1" x14ac:dyDescent="0.25">
      <c r="R1583" s="25"/>
      <c r="S1583" s="25"/>
      <c r="T1583" s="25"/>
      <c r="U1583" s="25"/>
      <c r="V1583" s="25"/>
      <c r="W1583" s="25"/>
      <c r="X1583" s="25"/>
      <c r="Y1583" s="25"/>
      <c r="Z1583" s="25"/>
      <c r="AA1583" s="25"/>
      <c r="AB1583" s="25"/>
      <c r="AC1583" s="25"/>
      <c r="AD1583" s="168"/>
    </row>
    <row r="1584" spans="18:30" ht="69.75" customHeight="1" x14ac:dyDescent="0.25">
      <c r="R1584" s="25"/>
      <c r="S1584" s="25"/>
      <c r="T1584" s="25"/>
      <c r="U1584" s="25"/>
      <c r="V1584" s="25"/>
      <c r="W1584" s="25"/>
      <c r="X1584" s="25"/>
      <c r="Y1584" s="25"/>
      <c r="Z1584" s="25"/>
      <c r="AA1584" s="25"/>
      <c r="AB1584" s="25"/>
      <c r="AC1584" s="25"/>
      <c r="AD1584" s="168"/>
    </row>
    <row r="1585" spans="18:30" ht="69.75" customHeight="1" x14ac:dyDescent="0.25">
      <c r="R1585" s="25"/>
      <c r="S1585" s="25"/>
      <c r="T1585" s="25"/>
      <c r="U1585" s="25"/>
      <c r="V1585" s="25"/>
      <c r="W1585" s="25"/>
      <c r="X1585" s="25"/>
      <c r="Y1585" s="25"/>
      <c r="Z1585" s="25"/>
      <c r="AA1585" s="25"/>
      <c r="AB1585" s="25"/>
      <c r="AC1585" s="25"/>
      <c r="AD1585" s="168"/>
    </row>
    <row r="1586" spans="18:30" ht="69.75" customHeight="1" x14ac:dyDescent="0.25">
      <c r="R1586" s="25"/>
      <c r="S1586" s="25"/>
      <c r="T1586" s="25"/>
      <c r="U1586" s="25"/>
      <c r="V1586" s="25"/>
      <c r="W1586" s="25"/>
      <c r="X1586" s="25"/>
      <c r="Y1586" s="25"/>
      <c r="Z1586" s="25"/>
      <c r="AA1586" s="25"/>
      <c r="AB1586" s="25"/>
      <c r="AC1586" s="25"/>
      <c r="AD1586" s="168"/>
    </row>
    <row r="1587" spans="18:30" ht="69.75" customHeight="1" x14ac:dyDescent="0.25">
      <c r="R1587" s="25"/>
      <c r="S1587" s="25"/>
      <c r="T1587" s="25"/>
      <c r="U1587" s="25"/>
      <c r="V1587" s="25"/>
      <c r="W1587" s="25"/>
      <c r="X1587" s="25"/>
      <c r="Y1587" s="25"/>
      <c r="Z1587" s="25"/>
      <c r="AA1587" s="25"/>
      <c r="AB1587" s="25"/>
      <c r="AC1587" s="25"/>
      <c r="AD1587" s="168"/>
    </row>
    <row r="1588" spans="18:30" ht="69.75" customHeight="1" x14ac:dyDescent="0.25">
      <c r="R1588" s="25"/>
      <c r="S1588" s="25"/>
      <c r="T1588" s="25"/>
      <c r="U1588" s="25"/>
      <c r="V1588" s="25"/>
      <c r="W1588" s="25"/>
      <c r="X1588" s="25"/>
      <c r="Y1588" s="25"/>
      <c r="Z1588" s="25"/>
      <c r="AA1588" s="25"/>
      <c r="AB1588" s="25"/>
      <c r="AC1588" s="25"/>
      <c r="AD1588" s="168"/>
    </row>
    <row r="1589" spans="18:30" ht="69.75" customHeight="1" x14ac:dyDescent="0.25">
      <c r="R1589" s="25"/>
      <c r="S1589" s="25"/>
      <c r="T1589" s="25"/>
      <c r="U1589" s="25"/>
      <c r="V1589" s="25"/>
      <c r="W1589" s="25"/>
      <c r="X1589" s="25"/>
      <c r="Y1589" s="25"/>
      <c r="Z1589" s="25"/>
      <c r="AA1589" s="25"/>
      <c r="AB1589" s="25"/>
      <c r="AC1589" s="25"/>
      <c r="AD1589" s="168"/>
    </row>
    <row r="1590" spans="18:30" ht="69.75" customHeight="1" x14ac:dyDescent="0.25">
      <c r="R1590" s="25"/>
      <c r="S1590" s="25"/>
      <c r="T1590" s="25"/>
      <c r="U1590" s="25"/>
      <c r="V1590" s="25"/>
      <c r="W1590" s="25"/>
      <c r="X1590" s="25"/>
      <c r="Y1590" s="25"/>
      <c r="Z1590" s="25"/>
      <c r="AA1590" s="25"/>
      <c r="AB1590" s="25"/>
      <c r="AC1590" s="25"/>
      <c r="AD1590" s="168"/>
    </row>
    <row r="1591" spans="18:30" ht="69.75" customHeight="1" x14ac:dyDescent="0.25">
      <c r="R1591" s="25"/>
      <c r="S1591" s="25"/>
      <c r="T1591" s="25"/>
      <c r="U1591" s="25"/>
      <c r="V1591" s="25"/>
      <c r="W1591" s="25"/>
      <c r="X1591" s="25"/>
      <c r="Y1591" s="25"/>
      <c r="Z1591" s="25"/>
      <c r="AA1591" s="25"/>
      <c r="AB1591" s="25"/>
      <c r="AC1591" s="25"/>
      <c r="AD1591" s="168"/>
    </row>
    <row r="1592" spans="18:30" ht="69.75" customHeight="1" x14ac:dyDescent="0.25">
      <c r="R1592" s="25"/>
      <c r="S1592" s="25"/>
      <c r="T1592" s="25"/>
      <c r="U1592" s="25"/>
      <c r="V1592" s="25"/>
      <c r="W1592" s="25"/>
      <c r="X1592" s="25"/>
      <c r="Y1592" s="25"/>
      <c r="Z1592" s="25"/>
      <c r="AA1592" s="25"/>
      <c r="AB1592" s="25"/>
      <c r="AC1592" s="25"/>
      <c r="AD1592" s="168"/>
    </row>
    <row r="1593" spans="18:30" ht="69.75" customHeight="1" x14ac:dyDescent="0.25">
      <c r="R1593" s="25"/>
      <c r="S1593" s="25"/>
      <c r="T1593" s="25"/>
      <c r="U1593" s="25"/>
      <c r="V1593" s="25"/>
      <c r="W1593" s="25"/>
      <c r="X1593" s="25"/>
      <c r="Y1593" s="25"/>
      <c r="Z1593" s="25"/>
      <c r="AA1593" s="25"/>
      <c r="AB1593" s="25"/>
      <c r="AC1593" s="25"/>
      <c r="AD1593" s="168"/>
    </row>
    <row r="1594" spans="18:30" ht="69.75" customHeight="1" x14ac:dyDescent="0.25">
      <c r="R1594" s="25"/>
      <c r="S1594" s="25"/>
      <c r="T1594" s="25"/>
      <c r="U1594" s="25"/>
      <c r="V1594" s="25"/>
      <c r="W1594" s="25"/>
      <c r="X1594" s="25"/>
      <c r="Y1594" s="25"/>
      <c r="Z1594" s="25"/>
      <c r="AA1594" s="25"/>
      <c r="AB1594" s="25"/>
      <c r="AC1594" s="25"/>
      <c r="AD1594" s="168"/>
    </row>
    <row r="1595" spans="18:30" ht="69.75" customHeight="1" x14ac:dyDescent="0.25">
      <c r="R1595" s="25"/>
      <c r="S1595" s="25"/>
      <c r="T1595" s="25"/>
      <c r="U1595" s="25"/>
      <c r="V1595" s="25"/>
      <c r="W1595" s="25"/>
      <c r="X1595" s="25"/>
      <c r="Y1595" s="25"/>
      <c r="Z1595" s="25"/>
      <c r="AA1595" s="25"/>
      <c r="AB1595" s="25"/>
      <c r="AC1595" s="25"/>
      <c r="AD1595" s="168"/>
    </row>
    <row r="1596" spans="18:30" ht="69.75" customHeight="1" x14ac:dyDescent="0.25">
      <c r="R1596" s="25"/>
      <c r="S1596" s="25"/>
      <c r="T1596" s="25"/>
      <c r="U1596" s="25"/>
      <c r="V1596" s="25"/>
      <c r="W1596" s="25"/>
      <c r="X1596" s="25"/>
      <c r="Y1596" s="25"/>
      <c r="Z1596" s="25"/>
      <c r="AA1596" s="25"/>
      <c r="AB1596" s="25"/>
      <c r="AC1596" s="25"/>
      <c r="AD1596" s="168"/>
    </row>
    <row r="1597" spans="18:30" ht="69.75" customHeight="1" x14ac:dyDescent="0.25">
      <c r="R1597" s="25"/>
      <c r="S1597" s="25"/>
      <c r="T1597" s="25"/>
      <c r="U1597" s="25"/>
      <c r="V1597" s="25"/>
      <c r="W1597" s="25"/>
      <c r="X1597" s="25"/>
      <c r="Y1597" s="25"/>
      <c r="Z1597" s="25"/>
      <c r="AA1597" s="25"/>
      <c r="AB1597" s="25"/>
      <c r="AC1597" s="25"/>
      <c r="AD1597" s="168"/>
    </row>
    <row r="1598" spans="18:30" ht="69.75" customHeight="1" x14ac:dyDescent="0.25">
      <c r="R1598" s="25"/>
      <c r="S1598" s="25"/>
      <c r="T1598" s="25"/>
      <c r="U1598" s="25"/>
      <c r="V1598" s="25"/>
      <c r="W1598" s="25"/>
      <c r="X1598" s="25"/>
      <c r="Y1598" s="25"/>
      <c r="Z1598" s="25"/>
      <c r="AA1598" s="25"/>
      <c r="AB1598" s="25"/>
      <c r="AC1598" s="25"/>
      <c r="AD1598" s="168"/>
    </row>
    <row r="1599" spans="18:30" ht="69.75" customHeight="1" x14ac:dyDescent="0.25">
      <c r="R1599" s="25"/>
      <c r="S1599" s="25"/>
      <c r="T1599" s="25"/>
      <c r="U1599" s="25"/>
      <c r="V1599" s="25"/>
      <c r="W1599" s="25"/>
      <c r="X1599" s="25"/>
      <c r="Y1599" s="25"/>
      <c r="Z1599" s="25"/>
      <c r="AA1599" s="25"/>
      <c r="AB1599" s="25"/>
      <c r="AC1599" s="25"/>
      <c r="AD1599" s="168"/>
    </row>
    <row r="1600" spans="18:30" ht="69.75" customHeight="1" x14ac:dyDescent="0.25">
      <c r="R1600" s="25"/>
      <c r="S1600" s="25"/>
      <c r="T1600" s="25"/>
      <c r="U1600" s="25"/>
      <c r="V1600" s="25"/>
      <c r="W1600" s="25"/>
      <c r="X1600" s="25"/>
      <c r="Y1600" s="25"/>
      <c r="Z1600" s="25"/>
      <c r="AA1600" s="25"/>
      <c r="AB1600" s="25"/>
      <c r="AC1600" s="25"/>
      <c r="AD1600" s="168"/>
    </row>
    <row r="1601" spans="18:30" ht="69.75" customHeight="1" x14ac:dyDescent="0.25">
      <c r="R1601" s="25"/>
      <c r="S1601" s="25"/>
      <c r="T1601" s="25"/>
      <c r="U1601" s="25"/>
      <c r="V1601" s="25"/>
      <c r="W1601" s="25"/>
      <c r="X1601" s="25"/>
      <c r="Y1601" s="25"/>
      <c r="Z1601" s="25"/>
      <c r="AA1601" s="25"/>
      <c r="AB1601" s="25"/>
      <c r="AC1601" s="25"/>
      <c r="AD1601" s="168"/>
    </row>
    <row r="1602" spans="18:30" ht="69.75" customHeight="1" x14ac:dyDescent="0.25">
      <c r="R1602" s="25"/>
      <c r="S1602" s="25"/>
      <c r="T1602" s="25"/>
      <c r="U1602" s="25"/>
      <c r="V1602" s="25"/>
      <c r="W1602" s="25"/>
      <c r="X1602" s="25"/>
      <c r="Y1602" s="25"/>
      <c r="Z1602" s="25"/>
      <c r="AA1602" s="25"/>
      <c r="AB1602" s="25"/>
      <c r="AC1602" s="25"/>
      <c r="AD1602" s="168"/>
    </row>
    <row r="1603" spans="18:30" ht="69.75" customHeight="1" x14ac:dyDescent="0.25">
      <c r="R1603" s="25"/>
      <c r="S1603" s="25"/>
      <c r="T1603" s="25"/>
      <c r="U1603" s="25"/>
      <c r="V1603" s="25"/>
      <c r="W1603" s="25"/>
      <c r="X1603" s="25"/>
      <c r="Y1603" s="25"/>
      <c r="Z1603" s="25"/>
      <c r="AA1603" s="25"/>
      <c r="AB1603" s="25"/>
      <c r="AC1603" s="25"/>
      <c r="AD1603" s="168"/>
    </row>
    <row r="1604" spans="18:30" ht="69.75" customHeight="1" x14ac:dyDescent="0.25">
      <c r="R1604" s="25"/>
      <c r="S1604" s="25"/>
      <c r="T1604" s="25"/>
      <c r="U1604" s="25"/>
      <c r="V1604" s="25"/>
      <c r="W1604" s="25"/>
      <c r="X1604" s="25"/>
      <c r="Y1604" s="25"/>
      <c r="Z1604" s="25"/>
      <c r="AA1604" s="25"/>
      <c r="AB1604" s="25"/>
      <c r="AC1604" s="25"/>
      <c r="AD1604" s="168"/>
    </row>
    <row r="1605" spans="18:30" ht="69.75" customHeight="1" x14ac:dyDescent="0.25">
      <c r="R1605" s="25"/>
      <c r="S1605" s="25"/>
      <c r="T1605" s="25"/>
      <c r="U1605" s="25"/>
      <c r="V1605" s="25"/>
      <c r="W1605" s="25"/>
      <c r="X1605" s="25"/>
      <c r="Y1605" s="25"/>
      <c r="Z1605" s="25"/>
      <c r="AA1605" s="25"/>
      <c r="AB1605" s="25"/>
      <c r="AC1605" s="25"/>
      <c r="AD1605" s="168"/>
    </row>
    <row r="1606" spans="18:30" ht="69.75" customHeight="1" x14ac:dyDescent="0.25">
      <c r="R1606" s="25"/>
      <c r="S1606" s="25"/>
      <c r="T1606" s="25"/>
      <c r="U1606" s="25"/>
      <c r="V1606" s="25"/>
      <c r="W1606" s="25"/>
      <c r="X1606" s="25"/>
      <c r="Y1606" s="25"/>
      <c r="Z1606" s="25"/>
      <c r="AA1606" s="25"/>
      <c r="AB1606" s="25"/>
      <c r="AC1606" s="25"/>
      <c r="AD1606" s="168"/>
    </row>
    <row r="1607" spans="18:30" ht="69.75" customHeight="1" x14ac:dyDescent="0.25">
      <c r="R1607" s="25"/>
      <c r="S1607" s="25"/>
      <c r="T1607" s="25"/>
      <c r="U1607" s="25"/>
      <c r="V1607" s="25"/>
      <c r="W1607" s="25"/>
      <c r="X1607" s="25"/>
      <c r="Y1607" s="25"/>
      <c r="Z1607" s="25"/>
      <c r="AA1607" s="25"/>
      <c r="AB1607" s="25"/>
      <c r="AC1607" s="25"/>
      <c r="AD1607" s="168"/>
    </row>
    <row r="1608" spans="18:30" ht="69.75" customHeight="1" x14ac:dyDescent="0.25">
      <c r="R1608" s="25"/>
      <c r="S1608" s="25"/>
      <c r="T1608" s="25"/>
      <c r="U1608" s="25"/>
      <c r="V1608" s="25"/>
      <c r="W1608" s="25"/>
      <c r="X1608" s="25"/>
      <c r="Y1608" s="25"/>
      <c r="Z1608" s="25"/>
      <c r="AA1608" s="25"/>
      <c r="AB1608" s="25"/>
      <c r="AC1608" s="25"/>
      <c r="AD1608" s="168"/>
    </row>
    <row r="1609" spans="18:30" ht="69.75" customHeight="1" x14ac:dyDescent="0.25">
      <c r="R1609" s="25"/>
      <c r="S1609" s="25"/>
      <c r="T1609" s="25"/>
      <c r="U1609" s="25"/>
      <c r="V1609" s="25"/>
      <c r="W1609" s="25"/>
      <c r="X1609" s="25"/>
      <c r="Y1609" s="25"/>
      <c r="Z1609" s="25"/>
      <c r="AA1609" s="25"/>
      <c r="AB1609" s="25"/>
      <c r="AC1609" s="25"/>
      <c r="AD1609" s="168"/>
    </row>
    <row r="1610" spans="18:30" ht="69.75" customHeight="1" x14ac:dyDescent="0.25">
      <c r="R1610" s="25"/>
      <c r="S1610" s="25"/>
      <c r="T1610" s="25"/>
      <c r="U1610" s="25"/>
      <c r="V1610" s="25"/>
      <c r="W1610" s="25"/>
      <c r="X1610" s="25"/>
      <c r="Y1610" s="25"/>
      <c r="Z1610" s="25"/>
      <c r="AA1610" s="25"/>
      <c r="AB1610" s="25"/>
      <c r="AC1610" s="25"/>
      <c r="AD1610" s="168"/>
    </row>
    <row r="1611" spans="18:30" ht="69.75" customHeight="1" x14ac:dyDescent="0.25">
      <c r="R1611" s="25"/>
      <c r="S1611" s="25"/>
      <c r="T1611" s="25"/>
      <c r="U1611" s="25"/>
      <c r="V1611" s="25"/>
      <c r="W1611" s="25"/>
      <c r="X1611" s="25"/>
      <c r="Y1611" s="25"/>
      <c r="Z1611" s="25"/>
      <c r="AA1611" s="25"/>
      <c r="AB1611" s="25"/>
      <c r="AC1611" s="25"/>
      <c r="AD1611" s="168"/>
    </row>
    <row r="1612" spans="18:30" ht="69.75" customHeight="1" x14ac:dyDescent="0.25">
      <c r="R1612" s="25"/>
      <c r="S1612" s="25"/>
      <c r="T1612" s="25"/>
      <c r="U1612" s="25"/>
      <c r="V1612" s="25"/>
      <c r="W1612" s="25"/>
      <c r="X1612" s="25"/>
      <c r="Y1612" s="25"/>
      <c r="Z1612" s="25"/>
      <c r="AA1612" s="25"/>
      <c r="AB1612" s="25"/>
      <c r="AC1612" s="25"/>
      <c r="AD1612" s="168"/>
    </row>
    <row r="1613" spans="18:30" ht="69.75" customHeight="1" x14ac:dyDescent="0.25">
      <c r="R1613" s="25"/>
      <c r="S1613" s="25"/>
      <c r="T1613" s="25"/>
      <c r="U1613" s="25"/>
      <c r="V1613" s="25"/>
      <c r="W1613" s="25"/>
      <c r="X1613" s="25"/>
      <c r="Y1613" s="25"/>
      <c r="Z1613" s="25"/>
      <c r="AA1613" s="25"/>
      <c r="AB1613" s="25"/>
      <c r="AC1613" s="25"/>
      <c r="AD1613" s="168"/>
    </row>
    <row r="1614" spans="18:30" ht="69.75" customHeight="1" x14ac:dyDescent="0.25">
      <c r="R1614" s="25"/>
      <c r="S1614" s="25"/>
      <c r="T1614" s="25"/>
      <c r="U1614" s="25"/>
      <c r="V1614" s="25"/>
      <c r="W1614" s="25"/>
      <c r="X1614" s="25"/>
      <c r="Y1614" s="25"/>
      <c r="Z1614" s="25"/>
      <c r="AA1614" s="25"/>
      <c r="AB1614" s="25"/>
      <c r="AC1614" s="25"/>
      <c r="AD1614" s="168"/>
    </row>
    <row r="1615" spans="18:30" ht="69.75" customHeight="1" x14ac:dyDescent="0.25">
      <c r="R1615" s="25"/>
      <c r="S1615" s="25"/>
      <c r="T1615" s="25"/>
      <c r="U1615" s="25"/>
      <c r="V1615" s="25"/>
      <c r="W1615" s="25"/>
      <c r="X1615" s="25"/>
      <c r="Y1615" s="25"/>
      <c r="Z1615" s="25"/>
      <c r="AA1615" s="25"/>
      <c r="AB1615" s="25"/>
      <c r="AC1615" s="25"/>
      <c r="AD1615" s="168"/>
    </row>
    <row r="1616" spans="18:30" ht="69.75" customHeight="1" x14ac:dyDescent="0.25">
      <c r="R1616" s="25"/>
      <c r="S1616" s="25"/>
      <c r="T1616" s="25"/>
      <c r="U1616" s="25"/>
      <c r="V1616" s="25"/>
      <c r="W1616" s="25"/>
      <c r="X1616" s="25"/>
      <c r="Y1616" s="25"/>
      <c r="Z1616" s="25"/>
      <c r="AA1616" s="25"/>
      <c r="AB1616" s="25"/>
      <c r="AC1616" s="25"/>
      <c r="AD1616" s="168"/>
    </row>
    <row r="1617" spans="18:30" ht="69.75" customHeight="1" x14ac:dyDescent="0.25">
      <c r="R1617" s="25"/>
      <c r="S1617" s="25"/>
      <c r="T1617" s="25"/>
      <c r="U1617" s="25"/>
      <c r="V1617" s="25"/>
      <c r="W1617" s="25"/>
      <c r="X1617" s="25"/>
      <c r="Y1617" s="25"/>
      <c r="Z1617" s="25"/>
      <c r="AA1617" s="25"/>
      <c r="AB1617" s="25"/>
      <c r="AC1617" s="25"/>
      <c r="AD1617" s="168"/>
    </row>
    <row r="1618" spans="18:30" ht="69.75" customHeight="1" x14ac:dyDescent="0.25">
      <c r="R1618" s="25"/>
      <c r="S1618" s="25"/>
      <c r="T1618" s="25"/>
      <c r="U1618" s="25"/>
      <c r="V1618" s="25"/>
      <c r="W1618" s="25"/>
      <c r="X1618" s="25"/>
      <c r="Y1618" s="25"/>
      <c r="Z1618" s="25"/>
      <c r="AA1618" s="25"/>
      <c r="AB1618" s="25"/>
      <c r="AC1618" s="25"/>
      <c r="AD1618" s="168"/>
    </row>
    <row r="1619" spans="18:30" ht="69.75" customHeight="1" x14ac:dyDescent="0.25">
      <c r="R1619" s="25"/>
      <c r="S1619" s="25"/>
      <c r="T1619" s="25"/>
      <c r="U1619" s="25"/>
      <c r="V1619" s="25"/>
      <c r="W1619" s="25"/>
      <c r="X1619" s="25"/>
      <c r="Y1619" s="25"/>
      <c r="Z1619" s="25"/>
      <c r="AA1619" s="25"/>
      <c r="AB1619" s="25"/>
      <c r="AC1619" s="25"/>
      <c r="AD1619" s="168"/>
    </row>
    <row r="1620" spans="18:30" ht="69.75" customHeight="1" x14ac:dyDescent="0.25">
      <c r="R1620" s="25"/>
      <c r="S1620" s="25"/>
      <c r="T1620" s="25"/>
      <c r="U1620" s="25"/>
      <c r="V1620" s="25"/>
      <c r="W1620" s="25"/>
      <c r="X1620" s="25"/>
      <c r="Y1620" s="25"/>
      <c r="Z1620" s="25"/>
      <c r="AA1620" s="25"/>
      <c r="AB1620" s="25"/>
      <c r="AC1620" s="25"/>
      <c r="AD1620" s="168"/>
    </row>
    <row r="1621" spans="18:30" ht="69.75" customHeight="1" x14ac:dyDescent="0.25">
      <c r="R1621" s="25"/>
      <c r="S1621" s="25"/>
      <c r="T1621" s="25"/>
      <c r="U1621" s="25"/>
      <c r="V1621" s="25"/>
      <c r="W1621" s="25"/>
      <c r="X1621" s="25"/>
      <c r="Y1621" s="25"/>
      <c r="Z1621" s="25"/>
      <c r="AA1621" s="25"/>
      <c r="AB1621" s="25"/>
      <c r="AC1621" s="25"/>
      <c r="AD1621" s="168"/>
    </row>
    <row r="1622" spans="18:30" ht="69.75" customHeight="1" x14ac:dyDescent="0.25">
      <c r="R1622" s="25"/>
      <c r="S1622" s="25"/>
      <c r="T1622" s="25"/>
      <c r="U1622" s="25"/>
      <c r="V1622" s="25"/>
      <c r="W1622" s="25"/>
      <c r="X1622" s="25"/>
      <c r="Y1622" s="25"/>
      <c r="Z1622" s="25"/>
      <c r="AA1622" s="25"/>
      <c r="AB1622" s="25"/>
      <c r="AC1622" s="25"/>
      <c r="AD1622" s="168"/>
    </row>
  </sheetData>
  <mergeCells count="183">
    <mergeCell ref="C57:I57"/>
    <mergeCell ref="J57:P57"/>
    <mergeCell ref="C58:I58"/>
    <mergeCell ref="J58:P58"/>
    <mergeCell ref="C59:I59"/>
    <mergeCell ref="J59:P59"/>
    <mergeCell ref="AX46:AX51"/>
    <mergeCell ref="AY46:AY51"/>
    <mergeCell ref="A52:C54"/>
    <mergeCell ref="S52:S54"/>
    <mergeCell ref="AF52:AF54"/>
    <mergeCell ref="AG52:AY54"/>
    <mergeCell ref="AR46:AR51"/>
    <mergeCell ref="AS46:AS51"/>
    <mergeCell ref="AT46:AT51"/>
    <mergeCell ref="AU46:AU51"/>
    <mergeCell ref="AV46:AV51"/>
    <mergeCell ref="AW46:AW51"/>
    <mergeCell ref="AL46:AL51"/>
    <mergeCell ref="AM46:AM51"/>
    <mergeCell ref="AN46:AN51"/>
    <mergeCell ref="AO46:AO51"/>
    <mergeCell ref="AP46:AP51"/>
    <mergeCell ref="AQ46:AQ51"/>
    <mergeCell ref="AX40:AX45"/>
    <mergeCell ref="AY40:AY45"/>
    <mergeCell ref="A46:A51"/>
    <mergeCell ref="B46:B51"/>
    <mergeCell ref="C46:C51"/>
    <mergeCell ref="AG46:AG51"/>
    <mergeCell ref="AH46:AH51"/>
    <mergeCell ref="AI46:AI51"/>
    <mergeCell ref="AJ46:AJ51"/>
    <mergeCell ref="AK46:AK51"/>
    <mergeCell ref="AR40:AR45"/>
    <mergeCell ref="AS40:AS45"/>
    <mergeCell ref="AT40:AT45"/>
    <mergeCell ref="AU40:AU45"/>
    <mergeCell ref="AV40:AV45"/>
    <mergeCell ref="AW40:AW45"/>
    <mergeCell ref="AL40:AL45"/>
    <mergeCell ref="AM40:AM45"/>
    <mergeCell ref="AN40:AN45"/>
    <mergeCell ref="AO40:AO45"/>
    <mergeCell ref="AP40:AP45"/>
    <mergeCell ref="AQ40:AQ45"/>
    <mergeCell ref="AX34:AX39"/>
    <mergeCell ref="AY34:AY39"/>
    <mergeCell ref="A40:A45"/>
    <mergeCell ref="B40:B45"/>
    <mergeCell ref="C40:C45"/>
    <mergeCell ref="AG40:AG45"/>
    <mergeCell ref="AH40:AH45"/>
    <mergeCell ref="AI40:AI45"/>
    <mergeCell ref="AJ40:AJ45"/>
    <mergeCell ref="AK40:AK45"/>
    <mergeCell ref="AR34:AR39"/>
    <mergeCell ref="AS34:AS39"/>
    <mergeCell ref="AT34:AT39"/>
    <mergeCell ref="AU34:AU39"/>
    <mergeCell ref="AV34:AV39"/>
    <mergeCell ref="AW34:AW39"/>
    <mergeCell ref="AL34:AL39"/>
    <mergeCell ref="AM34:AM39"/>
    <mergeCell ref="AN34:AN39"/>
    <mergeCell ref="AO34:AO39"/>
    <mergeCell ref="AP34:AP39"/>
    <mergeCell ref="AQ34:AQ39"/>
    <mergeCell ref="AX28:AX33"/>
    <mergeCell ref="AY28:AY33"/>
    <mergeCell ref="A34:A39"/>
    <mergeCell ref="B34:B39"/>
    <mergeCell ref="C34:C39"/>
    <mergeCell ref="AG34:AG39"/>
    <mergeCell ref="AH34:AH39"/>
    <mergeCell ref="AI34:AI39"/>
    <mergeCell ref="AJ34:AJ39"/>
    <mergeCell ref="AK34:AK39"/>
    <mergeCell ref="AR28:AR33"/>
    <mergeCell ref="AS28:AS33"/>
    <mergeCell ref="AT28:AT33"/>
    <mergeCell ref="AU28:AU33"/>
    <mergeCell ref="AV28:AV33"/>
    <mergeCell ref="AW28:AW33"/>
    <mergeCell ref="AL28:AL33"/>
    <mergeCell ref="AM28:AM33"/>
    <mergeCell ref="AN28:AN33"/>
    <mergeCell ref="AO28:AO33"/>
    <mergeCell ref="AP28:AP33"/>
    <mergeCell ref="AQ28:AQ33"/>
    <mergeCell ref="AX22:AX27"/>
    <mergeCell ref="AY22:AY27"/>
    <mergeCell ref="A28:A33"/>
    <mergeCell ref="B28:B33"/>
    <mergeCell ref="C28:C33"/>
    <mergeCell ref="AG28:AG33"/>
    <mergeCell ref="AH28:AH33"/>
    <mergeCell ref="AI28:AI33"/>
    <mergeCell ref="AJ28:AJ33"/>
    <mergeCell ref="AK28:AK33"/>
    <mergeCell ref="AR22:AR27"/>
    <mergeCell ref="AS22:AS27"/>
    <mergeCell ref="AT22:AT27"/>
    <mergeCell ref="AU22:AU27"/>
    <mergeCell ref="AV22:AV27"/>
    <mergeCell ref="AW22:AW27"/>
    <mergeCell ref="AL22:AL27"/>
    <mergeCell ref="AM22:AM27"/>
    <mergeCell ref="AN22:AN27"/>
    <mergeCell ref="AO22:AO27"/>
    <mergeCell ref="AP22:AP27"/>
    <mergeCell ref="AQ22:AQ27"/>
    <mergeCell ref="AX16:AX21"/>
    <mergeCell ref="AY16:AY21"/>
    <mergeCell ref="A22:A27"/>
    <mergeCell ref="B22:B27"/>
    <mergeCell ref="C22:C27"/>
    <mergeCell ref="AG22:AG27"/>
    <mergeCell ref="AH22:AH27"/>
    <mergeCell ref="AI22:AI27"/>
    <mergeCell ref="AJ22:AJ27"/>
    <mergeCell ref="AK22:AK27"/>
    <mergeCell ref="AR16:AR21"/>
    <mergeCell ref="AS16:AS21"/>
    <mergeCell ref="AT16:AT21"/>
    <mergeCell ref="AU16:AU21"/>
    <mergeCell ref="AV16:AV21"/>
    <mergeCell ref="AW16:AW21"/>
    <mergeCell ref="AL16:AL21"/>
    <mergeCell ref="AM16:AM21"/>
    <mergeCell ref="AN16:AN21"/>
    <mergeCell ref="AO16:AO21"/>
    <mergeCell ref="AP16:AP21"/>
    <mergeCell ref="AQ16:AQ21"/>
    <mergeCell ref="AX10:AX15"/>
    <mergeCell ref="AY10:AY15"/>
    <mergeCell ref="A16:A21"/>
    <mergeCell ref="B16:B21"/>
    <mergeCell ref="C16:C21"/>
    <mergeCell ref="AG16:AG21"/>
    <mergeCell ref="AH16:AH21"/>
    <mergeCell ref="AI16:AI21"/>
    <mergeCell ref="AJ16:AJ21"/>
    <mergeCell ref="AK16:AK21"/>
    <mergeCell ref="AR10:AR15"/>
    <mergeCell ref="AS10:AS15"/>
    <mergeCell ref="AT10:AT15"/>
    <mergeCell ref="AU10:AU15"/>
    <mergeCell ref="AV10:AV15"/>
    <mergeCell ref="AW10:AW15"/>
    <mergeCell ref="AL10:AL15"/>
    <mergeCell ref="AM10:AM15"/>
    <mergeCell ref="AN10:AN15"/>
    <mergeCell ref="AO10:AO15"/>
    <mergeCell ref="AP10:AP15"/>
    <mergeCell ref="AQ10:AQ15"/>
    <mergeCell ref="AO8:AX8"/>
    <mergeCell ref="AY8:AY9"/>
    <mergeCell ref="A10:A15"/>
    <mergeCell ref="B10:B15"/>
    <mergeCell ref="C10:C15"/>
    <mergeCell ref="AG10:AG15"/>
    <mergeCell ref="AH10:AH15"/>
    <mergeCell ref="AI10:AI15"/>
    <mergeCell ref="AJ10:AJ15"/>
    <mergeCell ref="AK10:AK15"/>
    <mergeCell ref="A5:D5"/>
    <mergeCell ref="E5:AY5"/>
    <mergeCell ref="A6:D6"/>
    <mergeCell ref="E6:AY6"/>
    <mergeCell ref="A7:AY7"/>
    <mergeCell ref="A8:F8"/>
    <mergeCell ref="G8:S8"/>
    <mergeCell ref="T8:AF8"/>
    <mergeCell ref="AG8:AK8"/>
    <mergeCell ref="AL8:AM8"/>
    <mergeCell ref="A1:D3"/>
    <mergeCell ref="E1:AY1"/>
    <mergeCell ref="E2:AY2"/>
    <mergeCell ref="E3:AD3"/>
    <mergeCell ref="AE3:AY3"/>
    <mergeCell ref="A4:D4"/>
    <mergeCell ref="E4:AY4"/>
  </mergeCells>
  <pageMargins left="0.7" right="0.7" top="0.75" bottom="0.75" header="0.3" footer="0.3"/>
  <drawing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03913E-DC3C-924D-952A-11CF697CA967}">
  <dimension ref="A1:AL1028"/>
  <sheetViews>
    <sheetView showGridLines="0" zoomScale="64" zoomScaleNormal="64" workbookViewId="0">
      <selection activeCell="F200" sqref="F200"/>
    </sheetView>
  </sheetViews>
  <sheetFormatPr baseColWidth="10" defaultColWidth="10.7109375" defaultRowHeight="15" outlineLevelRow="2" x14ac:dyDescent="0.25"/>
  <cols>
    <col min="1" max="1" width="16.28515625" customWidth="1"/>
    <col min="2" max="2" width="36.7109375" customWidth="1"/>
    <col min="3" max="4" width="19.140625" customWidth="1"/>
    <col min="5" max="5" width="17.7109375" customWidth="1"/>
    <col min="6" max="6" width="20.28515625" customWidth="1"/>
    <col min="7" max="7" width="19.28515625" customWidth="1"/>
    <col min="8" max="8" width="20.28515625" customWidth="1"/>
    <col min="9" max="9" width="14.28515625" style="184" customWidth="1"/>
    <col min="10" max="10" width="14.28515625" customWidth="1"/>
    <col min="11" max="11" width="14.140625" customWidth="1"/>
    <col min="12" max="12" width="34.28515625" customWidth="1"/>
  </cols>
  <sheetData>
    <row r="1" spans="1:12" ht="30.75" customHeight="1" x14ac:dyDescent="0.25">
      <c r="A1" s="620"/>
      <c r="B1" s="620"/>
      <c r="C1" s="621" t="s">
        <v>38</v>
      </c>
      <c r="D1" s="621"/>
      <c r="E1" s="621"/>
      <c r="F1" s="621"/>
      <c r="G1" s="621"/>
      <c r="H1" s="621"/>
      <c r="I1" s="621"/>
      <c r="J1" s="621"/>
      <c r="K1" s="621"/>
      <c r="L1" s="621"/>
    </row>
    <row r="2" spans="1:12" ht="30.75" customHeight="1" x14ac:dyDescent="0.25">
      <c r="A2" s="620"/>
      <c r="B2" s="620"/>
      <c r="C2" s="622" t="s">
        <v>119</v>
      </c>
      <c r="D2" s="623"/>
      <c r="E2" s="623"/>
      <c r="F2" s="623"/>
      <c r="G2" s="623"/>
      <c r="H2" s="623"/>
      <c r="I2" s="623"/>
      <c r="J2" s="623"/>
      <c r="K2" s="623"/>
      <c r="L2" s="623"/>
    </row>
    <row r="3" spans="1:12" ht="26.25" customHeight="1" x14ac:dyDescent="0.4">
      <c r="A3" s="620"/>
      <c r="B3" s="620"/>
      <c r="C3" s="624" t="s">
        <v>39</v>
      </c>
      <c r="D3" s="624"/>
      <c r="E3" s="624"/>
      <c r="F3" s="624"/>
      <c r="G3" s="624"/>
      <c r="H3" s="625" t="s">
        <v>257</v>
      </c>
      <c r="I3" s="625"/>
      <c r="J3" s="625"/>
      <c r="K3" s="625"/>
      <c r="L3" s="625"/>
    </row>
    <row r="4" spans="1:12" ht="26.25" customHeight="1" x14ac:dyDescent="0.25">
      <c r="A4" s="626" t="s">
        <v>0</v>
      </c>
      <c r="B4" s="626"/>
      <c r="C4" s="627" t="s">
        <v>347</v>
      </c>
      <c r="D4" s="627"/>
      <c r="E4" s="627"/>
      <c r="F4" s="627"/>
      <c r="G4" s="627"/>
      <c r="H4" s="627"/>
      <c r="I4" s="627"/>
      <c r="J4" s="627"/>
      <c r="K4" s="627"/>
      <c r="L4" s="627"/>
    </row>
    <row r="5" spans="1:12" ht="21" customHeight="1" x14ac:dyDescent="0.25">
      <c r="A5" s="626" t="s">
        <v>2</v>
      </c>
      <c r="B5" s="626"/>
      <c r="C5" s="627" t="s">
        <v>348</v>
      </c>
      <c r="D5" s="627"/>
      <c r="E5" s="627"/>
      <c r="F5" s="627"/>
      <c r="G5" s="627"/>
      <c r="H5" s="627"/>
      <c r="I5" s="627"/>
      <c r="J5" s="627"/>
      <c r="K5" s="627"/>
      <c r="L5" s="627"/>
    </row>
    <row r="7" spans="1:12" s="3" customFormat="1" ht="27" hidden="1" customHeight="1" x14ac:dyDescent="0.25">
      <c r="A7" s="606" t="s">
        <v>120</v>
      </c>
      <c r="B7" s="606"/>
      <c r="C7" s="606"/>
      <c r="D7" s="606"/>
      <c r="E7" s="606"/>
      <c r="F7" s="606"/>
      <c r="G7" s="606"/>
      <c r="H7" s="606"/>
      <c r="I7" s="182"/>
    </row>
    <row r="8" spans="1:12" s="3" customFormat="1" ht="27" hidden="1" customHeight="1" x14ac:dyDescent="0.25">
      <c r="A8" s="140" t="s">
        <v>48</v>
      </c>
      <c r="B8" s="140" t="s">
        <v>349</v>
      </c>
      <c r="C8" s="37" t="s">
        <v>121</v>
      </c>
      <c r="D8" s="141" t="s">
        <v>122</v>
      </c>
      <c r="E8" s="141" t="s">
        <v>123</v>
      </c>
      <c r="F8" s="141" t="s">
        <v>124</v>
      </c>
      <c r="G8" s="141" t="s">
        <v>125</v>
      </c>
      <c r="H8" s="141" t="s">
        <v>126</v>
      </c>
      <c r="I8" s="182"/>
    </row>
    <row r="9" spans="1:12" s="144" customFormat="1" ht="49.9" hidden="1" customHeight="1" outlineLevel="1" x14ac:dyDescent="0.25">
      <c r="A9" s="611" t="s">
        <v>128</v>
      </c>
      <c r="B9" s="142" t="s">
        <v>350</v>
      </c>
      <c r="C9" s="142" t="s">
        <v>198</v>
      </c>
      <c r="D9" s="143">
        <v>450000000</v>
      </c>
      <c r="E9" s="143">
        <v>450000000</v>
      </c>
      <c r="F9" s="143">
        <v>0</v>
      </c>
      <c r="G9" s="143">
        <v>0</v>
      </c>
      <c r="H9" s="143">
        <v>0</v>
      </c>
      <c r="I9" s="183"/>
    </row>
    <row r="10" spans="1:12" s="144" customFormat="1" ht="49.9" hidden="1" customHeight="1" outlineLevel="1" x14ac:dyDescent="0.25">
      <c r="A10" s="612"/>
      <c r="B10" s="611" t="s">
        <v>351</v>
      </c>
      <c r="C10" s="142" t="s">
        <v>198</v>
      </c>
      <c r="D10" s="143">
        <v>550985000</v>
      </c>
      <c r="E10" s="143">
        <v>550985000</v>
      </c>
      <c r="F10" s="143">
        <v>0</v>
      </c>
      <c r="G10" s="143">
        <v>0</v>
      </c>
      <c r="H10" s="143">
        <v>0</v>
      </c>
      <c r="I10" s="183"/>
    </row>
    <row r="11" spans="1:12" s="144" customFormat="1" ht="49.9" hidden="1" customHeight="1" outlineLevel="1" x14ac:dyDescent="0.25">
      <c r="A11" s="612"/>
      <c r="B11" s="613"/>
      <c r="C11" s="142" t="s">
        <v>352</v>
      </c>
      <c r="D11" s="143">
        <v>62855322</v>
      </c>
      <c r="E11" s="143">
        <v>62855322</v>
      </c>
      <c r="F11" s="143">
        <v>0</v>
      </c>
      <c r="G11" s="143">
        <v>0</v>
      </c>
      <c r="H11" s="143">
        <v>0</v>
      </c>
      <c r="I11" s="183"/>
    </row>
    <row r="12" spans="1:12" s="144" customFormat="1" ht="49.9" hidden="1" customHeight="1" outlineLevel="1" x14ac:dyDescent="0.25">
      <c r="A12" s="612"/>
      <c r="B12" s="142" t="s">
        <v>353</v>
      </c>
      <c r="C12" s="142" t="s">
        <v>354</v>
      </c>
      <c r="D12" s="143">
        <v>658814131</v>
      </c>
      <c r="E12" s="143">
        <v>658814131</v>
      </c>
      <c r="F12" s="143">
        <v>0</v>
      </c>
      <c r="G12" s="143">
        <v>0</v>
      </c>
      <c r="H12" s="143">
        <v>0</v>
      </c>
      <c r="I12" s="183"/>
    </row>
    <row r="13" spans="1:12" s="144" customFormat="1" ht="49.9" hidden="1" customHeight="1" outlineLevel="1" x14ac:dyDescent="0.25">
      <c r="A13" s="612"/>
      <c r="B13" s="611" t="s">
        <v>355</v>
      </c>
      <c r="C13" s="142" t="s">
        <v>198</v>
      </c>
      <c r="D13" s="143">
        <v>601054131</v>
      </c>
      <c r="E13" s="143">
        <v>601054131</v>
      </c>
      <c r="F13" s="143">
        <v>0</v>
      </c>
      <c r="G13" s="143">
        <v>0</v>
      </c>
      <c r="H13" s="143">
        <v>0</v>
      </c>
      <c r="I13" s="183"/>
    </row>
    <row r="14" spans="1:12" s="144" customFormat="1" ht="49.9" hidden="1" customHeight="1" outlineLevel="1" x14ac:dyDescent="0.25">
      <c r="A14" s="612"/>
      <c r="B14" s="613"/>
      <c r="C14" s="142" t="s">
        <v>356</v>
      </c>
      <c r="D14" s="143">
        <v>20000000</v>
      </c>
      <c r="E14" s="143">
        <v>20000000</v>
      </c>
      <c r="F14" s="143">
        <v>0</v>
      </c>
      <c r="G14" s="143">
        <v>0</v>
      </c>
      <c r="H14" s="143">
        <v>0</v>
      </c>
      <c r="I14" s="183"/>
    </row>
    <row r="15" spans="1:12" s="144" customFormat="1" ht="49.9" hidden="1" customHeight="1" outlineLevel="1" x14ac:dyDescent="0.25">
      <c r="A15" s="612"/>
      <c r="B15" s="611" t="s">
        <v>357</v>
      </c>
      <c r="C15" s="142" t="s">
        <v>198</v>
      </c>
      <c r="D15" s="143">
        <v>1093590131</v>
      </c>
      <c r="E15" s="143">
        <v>1093590131</v>
      </c>
      <c r="F15" s="143">
        <v>0</v>
      </c>
      <c r="G15" s="143">
        <v>0</v>
      </c>
      <c r="H15" s="143">
        <v>0</v>
      </c>
      <c r="I15" s="183"/>
    </row>
    <row r="16" spans="1:12" s="144" customFormat="1" ht="49.9" hidden="1" customHeight="1" outlineLevel="1" x14ac:dyDescent="0.25">
      <c r="A16" s="612"/>
      <c r="B16" s="613"/>
      <c r="C16" s="142" t="s">
        <v>354</v>
      </c>
      <c r="D16" s="143">
        <v>319199869</v>
      </c>
      <c r="E16" s="143">
        <v>319199869</v>
      </c>
      <c r="F16" s="143">
        <v>0</v>
      </c>
      <c r="G16" s="143">
        <v>0</v>
      </c>
      <c r="H16" s="143">
        <v>0</v>
      </c>
      <c r="I16" s="183"/>
    </row>
    <row r="17" spans="1:9" s="144" customFormat="1" ht="49.9" hidden="1" customHeight="1" outlineLevel="1" x14ac:dyDescent="0.25">
      <c r="A17" s="612"/>
      <c r="B17" s="145" t="s">
        <v>358</v>
      </c>
      <c r="C17" s="142" t="s">
        <v>198</v>
      </c>
      <c r="D17" s="143">
        <v>403410000</v>
      </c>
      <c r="E17" s="143">
        <v>403410000</v>
      </c>
      <c r="F17" s="143">
        <v>0</v>
      </c>
      <c r="G17" s="143">
        <v>0</v>
      </c>
      <c r="H17" s="143">
        <v>0</v>
      </c>
      <c r="I17" s="183"/>
    </row>
    <row r="18" spans="1:9" s="144" customFormat="1" ht="49.9" hidden="1" customHeight="1" outlineLevel="1" x14ac:dyDescent="0.25">
      <c r="A18" s="613"/>
      <c r="B18" s="142" t="s">
        <v>359</v>
      </c>
      <c r="C18" s="142" t="s">
        <v>198</v>
      </c>
      <c r="D18" s="143">
        <v>775545944</v>
      </c>
      <c r="E18" s="143">
        <v>775545944</v>
      </c>
      <c r="F18" s="143">
        <v>0</v>
      </c>
      <c r="G18" s="143">
        <v>0</v>
      </c>
      <c r="H18" s="143">
        <v>0</v>
      </c>
      <c r="I18" s="183"/>
    </row>
    <row r="19" spans="1:9" s="144" customFormat="1" ht="49.9" hidden="1" customHeight="1" outlineLevel="1" collapsed="1" x14ac:dyDescent="0.25">
      <c r="A19" s="619" t="s">
        <v>129</v>
      </c>
      <c r="B19" s="142" t="s">
        <v>350</v>
      </c>
      <c r="C19" s="142" t="s">
        <v>198</v>
      </c>
      <c r="D19" s="143">
        <v>450000000</v>
      </c>
      <c r="E19" s="143">
        <v>450000000</v>
      </c>
      <c r="F19" s="143">
        <v>0</v>
      </c>
      <c r="G19" s="143">
        <v>0</v>
      </c>
      <c r="H19" s="143">
        <v>0</v>
      </c>
      <c r="I19" s="183"/>
    </row>
    <row r="20" spans="1:9" s="144" customFormat="1" ht="49.9" hidden="1" customHeight="1" outlineLevel="1" x14ac:dyDescent="0.25">
      <c r="A20" s="617"/>
      <c r="B20" s="611" t="s">
        <v>351</v>
      </c>
      <c r="C20" s="142" t="s">
        <v>198</v>
      </c>
      <c r="D20" s="143">
        <v>550985000</v>
      </c>
      <c r="E20" s="143">
        <v>550985000</v>
      </c>
      <c r="F20" s="143">
        <v>0</v>
      </c>
      <c r="G20" s="143">
        <v>0</v>
      </c>
      <c r="H20" s="143">
        <v>0</v>
      </c>
      <c r="I20" s="183"/>
    </row>
    <row r="21" spans="1:9" s="144" customFormat="1" ht="49.9" hidden="1" customHeight="1" outlineLevel="1" x14ac:dyDescent="0.25">
      <c r="A21" s="617"/>
      <c r="B21" s="613"/>
      <c r="C21" s="142" t="s">
        <v>352</v>
      </c>
      <c r="D21" s="143">
        <v>62855322</v>
      </c>
      <c r="E21" s="143">
        <v>62855322</v>
      </c>
      <c r="F21" s="143">
        <v>0</v>
      </c>
      <c r="G21" s="143">
        <v>0</v>
      </c>
      <c r="H21" s="143">
        <v>0</v>
      </c>
      <c r="I21" s="183"/>
    </row>
    <row r="22" spans="1:9" s="144" customFormat="1" ht="49.9" hidden="1" customHeight="1" outlineLevel="1" x14ac:dyDescent="0.25">
      <c r="A22" s="617"/>
      <c r="B22" s="142" t="s">
        <v>353</v>
      </c>
      <c r="C22" s="142" t="s">
        <v>354</v>
      </c>
      <c r="D22" s="143">
        <v>658814131</v>
      </c>
      <c r="E22" s="143">
        <v>658814131</v>
      </c>
      <c r="F22" s="143">
        <v>0</v>
      </c>
      <c r="G22" s="143">
        <v>0</v>
      </c>
      <c r="H22" s="143">
        <v>0</v>
      </c>
      <c r="I22" s="183"/>
    </row>
    <row r="23" spans="1:9" s="144" customFormat="1" ht="49.9" hidden="1" customHeight="1" outlineLevel="1" x14ac:dyDescent="0.25">
      <c r="A23" s="617"/>
      <c r="B23" s="611" t="s">
        <v>355</v>
      </c>
      <c r="C23" s="142" t="s">
        <v>198</v>
      </c>
      <c r="D23" s="143">
        <v>601054131</v>
      </c>
      <c r="E23" s="143">
        <v>601054131</v>
      </c>
      <c r="F23" s="143">
        <v>0</v>
      </c>
      <c r="G23" s="143">
        <v>0</v>
      </c>
      <c r="H23" s="143">
        <v>0</v>
      </c>
      <c r="I23" s="183"/>
    </row>
    <row r="24" spans="1:9" s="144" customFormat="1" ht="49.9" hidden="1" customHeight="1" outlineLevel="1" x14ac:dyDescent="0.25">
      <c r="A24" s="617"/>
      <c r="B24" s="613"/>
      <c r="C24" s="142" t="s">
        <v>356</v>
      </c>
      <c r="D24" s="143">
        <v>20000000</v>
      </c>
      <c r="E24" s="143">
        <v>20000000</v>
      </c>
      <c r="F24" s="143">
        <v>0</v>
      </c>
      <c r="G24" s="143">
        <v>0</v>
      </c>
      <c r="H24" s="143">
        <v>0</v>
      </c>
      <c r="I24" s="183"/>
    </row>
    <row r="25" spans="1:9" s="144" customFormat="1" ht="49.9" hidden="1" customHeight="1" outlineLevel="1" x14ac:dyDescent="0.25">
      <c r="A25" s="617"/>
      <c r="B25" s="611" t="s">
        <v>357</v>
      </c>
      <c r="C25" s="142" t="s">
        <v>198</v>
      </c>
      <c r="D25" s="143">
        <v>1093590131</v>
      </c>
      <c r="E25" s="143">
        <v>1093590131</v>
      </c>
      <c r="F25" s="143">
        <v>49763000</v>
      </c>
      <c r="G25" s="143">
        <v>0</v>
      </c>
      <c r="H25" s="143">
        <v>0</v>
      </c>
      <c r="I25" s="183"/>
    </row>
    <row r="26" spans="1:9" s="144" customFormat="1" ht="49.9" hidden="1" customHeight="1" outlineLevel="1" x14ac:dyDescent="0.25">
      <c r="A26" s="617"/>
      <c r="B26" s="613"/>
      <c r="C26" s="142" t="s">
        <v>354</v>
      </c>
      <c r="D26" s="143">
        <v>319199869</v>
      </c>
      <c r="E26" s="143">
        <v>319199869</v>
      </c>
      <c r="F26" s="143">
        <v>30213000</v>
      </c>
      <c r="G26" s="143">
        <v>0</v>
      </c>
      <c r="H26" s="143">
        <v>0</v>
      </c>
      <c r="I26" s="183"/>
    </row>
    <row r="27" spans="1:9" s="144" customFormat="1" ht="49.9" hidden="1" customHeight="1" outlineLevel="1" x14ac:dyDescent="0.25">
      <c r="A27" s="617"/>
      <c r="B27" s="145" t="s">
        <v>358</v>
      </c>
      <c r="C27" s="142" t="s">
        <v>198</v>
      </c>
      <c r="D27" s="143">
        <v>403410000</v>
      </c>
      <c r="E27" s="143">
        <v>403410000</v>
      </c>
      <c r="F27" s="143">
        <v>10000000</v>
      </c>
      <c r="G27" s="143">
        <v>0</v>
      </c>
      <c r="H27" s="143">
        <v>0</v>
      </c>
      <c r="I27" s="183"/>
    </row>
    <row r="28" spans="1:9" s="144" customFormat="1" ht="49.9" hidden="1" customHeight="1" outlineLevel="1" x14ac:dyDescent="0.25">
      <c r="A28" s="592"/>
      <c r="B28" s="142" t="s">
        <v>359</v>
      </c>
      <c r="C28" s="142" t="s">
        <v>198</v>
      </c>
      <c r="D28" s="143">
        <v>775545944</v>
      </c>
      <c r="E28" s="143">
        <v>775545944</v>
      </c>
      <c r="F28" s="143">
        <v>56548312</v>
      </c>
      <c r="G28" s="143">
        <v>0</v>
      </c>
      <c r="H28" s="143">
        <v>0</v>
      </c>
      <c r="I28" s="183"/>
    </row>
    <row r="29" spans="1:9" s="144" customFormat="1" ht="49.9" hidden="1" customHeight="1" outlineLevel="1" collapsed="1" x14ac:dyDescent="0.25">
      <c r="A29" s="619" t="s">
        <v>130</v>
      </c>
      <c r="B29" s="142" t="s">
        <v>350</v>
      </c>
      <c r="C29" s="142" t="s">
        <v>198</v>
      </c>
      <c r="D29" s="143">
        <v>450000000</v>
      </c>
      <c r="E29" s="143">
        <v>450000000</v>
      </c>
      <c r="F29" s="143">
        <v>373112000</v>
      </c>
      <c r="G29" s="143">
        <v>0</v>
      </c>
      <c r="H29" s="143">
        <v>0</v>
      </c>
      <c r="I29" s="183"/>
    </row>
    <row r="30" spans="1:9" s="144" customFormat="1" ht="49.9" hidden="1" customHeight="1" outlineLevel="1" x14ac:dyDescent="0.25">
      <c r="A30" s="617"/>
      <c r="B30" s="611" t="s">
        <v>351</v>
      </c>
      <c r="C30" s="142" t="s">
        <v>198</v>
      </c>
      <c r="D30" s="143">
        <v>550985000</v>
      </c>
      <c r="E30" s="143">
        <v>550985000</v>
      </c>
      <c r="F30" s="143">
        <v>465500000</v>
      </c>
      <c r="G30" s="143">
        <v>0</v>
      </c>
      <c r="H30" s="143">
        <v>0</v>
      </c>
      <c r="I30" s="183"/>
    </row>
    <row r="31" spans="1:9" s="144" customFormat="1" ht="49.9" hidden="1" customHeight="1" outlineLevel="1" x14ac:dyDescent="0.25">
      <c r="A31" s="617"/>
      <c r="B31" s="613"/>
      <c r="C31" s="142" t="s">
        <v>352</v>
      </c>
      <c r="D31" s="143">
        <v>62855322</v>
      </c>
      <c r="E31" s="143">
        <v>62855322</v>
      </c>
      <c r="F31" s="143">
        <v>0</v>
      </c>
      <c r="G31" s="143">
        <v>0</v>
      </c>
      <c r="H31" s="143">
        <v>0</v>
      </c>
      <c r="I31" s="183"/>
    </row>
    <row r="32" spans="1:9" s="144" customFormat="1" ht="49.9" hidden="1" customHeight="1" outlineLevel="1" x14ac:dyDescent="0.25">
      <c r="A32" s="617"/>
      <c r="B32" s="142" t="s">
        <v>353</v>
      </c>
      <c r="C32" s="142" t="s">
        <v>354</v>
      </c>
      <c r="D32" s="143">
        <v>658814131</v>
      </c>
      <c r="E32" s="143">
        <v>658814131</v>
      </c>
      <c r="F32" s="143">
        <v>451588000</v>
      </c>
      <c r="G32" s="143">
        <v>0</v>
      </c>
      <c r="H32" s="143">
        <v>0</v>
      </c>
      <c r="I32" s="183"/>
    </row>
    <row r="33" spans="1:9" s="144" customFormat="1" ht="49.9" hidden="1" customHeight="1" outlineLevel="1" x14ac:dyDescent="0.25">
      <c r="A33" s="617"/>
      <c r="B33" s="611" t="s">
        <v>355</v>
      </c>
      <c r="C33" s="142" t="s">
        <v>198</v>
      </c>
      <c r="D33" s="143">
        <v>601054131</v>
      </c>
      <c r="E33" s="143">
        <v>601054131</v>
      </c>
      <c r="F33" s="143">
        <v>433428000</v>
      </c>
      <c r="G33" s="143">
        <v>0</v>
      </c>
      <c r="H33" s="143">
        <v>0</v>
      </c>
      <c r="I33" s="183"/>
    </row>
    <row r="34" spans="1:9" s="144" customFormat="1" ht="49.9" hidden="1" customHeight="1" outlineLevel="1" x14ac:dyDescent="0.25">
      <c r="A34" s="617"/>
      <c r="B34" s="613"/>
      <c r="C34" s="142" t="s">
        <v>356</v>
      </c>
      <c r="D34" s="143">
        <v>20000000</v>
      </c>
      <c r="E34" s="143">
        <v>20000000</v>
      </c>
      <c r="F34" s="143">
        <v>0</v>
      </c>
      <c r="G34" s="143">
        <v>0</v>
      </c>
      <c r="H34" s="143">
        <v>0</v>
      </c>
      <c r="I34" s="183"/>
    </row>
    <row r="35" spans="1:9" s="144" customFormat="1" ht="49.9" hidden="1" customHeight="1" outlineLevel="1" x14ac:dyDescent="0.25">
      <c r="A35" s="617"/>
      <c r="B35" s="611" t="s">
        <v>357</v>
      </c>
      <c r="C35" s="142" t="s">
        <v>198</v>
      </c>
      <c r="D35" s="143">
        <v>1093590131</v>
      </c>
      <c r="E35" s="143">
        <v>1093590131</v>
      </c>
      <c r="F35" s="143">
        <v>548275984</v>
      </c>
      <c r="G35" s="143">
        <v>0</v>
      </c>
      <c r="H35" s="143">
        <v>0</v>
      </c>
      <c r="I35" s="183"/>
    </row>
    <row r="36" spans="1:9" s="144" customFormat="1" ht="49.9" hidden="1" customHeight="1" outlineLevel="1" x14ac:dyDescent="0.25">
      <c r="A36" s="617"/>
      <c r="B36" s="613"/>
      <c r="C36" s="142" t="s">
        <v>354</v>
      </c>
      <c r="D36" s="143">
        <v>319199869</v>
      </c>
      <c r="E36" s="143">
        <v>319199869</v>
      </c>
      <c r="F36" s="143">
        <v>286832000</v>
      </c>
      <c r="G36" s="143">
        <v>0</v>
      </c>
      <c r="H36" s="143">
        <v>0</v>
      </c>
      <c r="I36" s="183"/>
    </row>
    <row r="37" spans="1:9" s="144" customFormat="1" ht="49.9" hidden="1" customHeight="1" outlineLevel="1" x14ac:dyDescent="0.25">
      <c r="A37" s="617"/>
      <c r="B37" s="145" t="s">
        <v>358</v>
      </c>
      <c r="C37" s="142" t="s">
        <v>198</v>
      </c>
      <c r="D37" s="143">
        <v>403410000</v>
      </c>
      <c r="E37" s="143">
        <v>403410000</v>
      </c>
      <c r="F37" s="143">
        <v>92564000</v>
      </c>
      <c r="G37" s="143">
        <v>0</v>
      </c>
      <c r="H37" s="143">
        <v>0</v>
      </c>
      <c r="I37" s="183"/>
    </row>
    <row r="38" spans="1:9" s="144" customFormat="1" ht="49.9" hidden="1" customHeight="1" outlineLevel="1" x14ac:dyDescent="0.25">
      <c r="A38" s="592"/>
      <c r="B38" s="142" t="s">
        <v>359</v>
      </c>
      <c r="C38" s="142" t="s">
        <v>198</v>
      </c>
      <c r="D38" s="143">
        <v>775545944</v>
      </c>
      <c r="E38" s="143">
        <v>775545944</v>
      </c>
      <c r="F38" s="143">
        <v>404965456</v>
      </c>
      <c r="G38" s="143">
        <v>11541544</v>
      </c>
      <c r="H38" s="143">
        <v>11541544</v>
      </c>
      <c r="I38" s="183"/>
    </row>
    <row r="39" spans="1:9" s="144" customFormat="1" ht="49.9" hidden="1" customHeight="1" outlineLevel="1" x14ac:dyDescent="0.25">
      <c r="A39" s="619" t="s">
        <v>131</v>
      </c>
      <c r="B39" s="142" t="s">
        <v>350</v>
      </c>
      <c r="C39" s="142" t="s">
        <v>198</v>
      </c>
      <c r="D39" s="143">
        <v>450000000</v>
      </c>
      <c r="E39" s="143">
        <v>450000000</v>
      </c>
      <c r="F39" s="143">
        <v>373112000</v>
      </c>
      <c r="G39" s="143">
        <v>26409699</v>
      </c>
      <c r="H39" s="143">
        <v>26409699</v>
      </c>
      <c r="I39" s="183"/>
    </row>
    <row r="40" spans="1:9" s="144" customFormat="1" ht="49.9" hidden="1" customHeight="1" outlineLevel="1" x14ac:dyDescent="0.25">
      <c r="A40" s="617"/>
      <c r="B40" s="611" t="s">
        <v>351</v>
      </c>
      <c r="C40" s="142" t="s">
        <v>198</v>
      </c>
      <c r="D40" s="143">
        <v>550985000</v>
      </c>
      <c r="E40" s="143">
        <v>550985000</v>
      </c>
      <c r="F40" s="143">
        <v>465500000</v>
      </c>
      <c r="G40" s="143">
        <v>35398499</v>
      </c>
      <c r="H40" s="143">
        <v>35398499</v>
      </c>
      <c r="I40" s="183"/>
    </row>
    <row r="41" spans="1:9" s="144" customFormat="1" ht="49.9" hidden="1" customHeight="1" outlineLevel="1" x14ac:dyDescent="0.25">
      <c r="A41" s="617"/>
      <c r="B41" s="613"/>
      <c r="C41" s="142" t="s">
        <v>352</v>
      </c>
      <c r="D41" s="143">
        <v>62855322</v>
      </c>
      <c r="E41" s="143">
        <v>62855322</v>
      </c>
      <c r="F41" s="143">
        <v>0</v>
      </c>
      <c r="G41" s="143">
        <v>0</v>
      </c>
      <c r="H41" s="143">
        <v>0</v>
      </c>
      <c r="I41" s="183"/>
    </row>
    <row r="42" spans="1:9" s="144" customFormat="1" ht="49.9" hidden="1" customHeight="1" outlineLevel="1" x14ac:dyDescent="0.25">
      <c r="A42" s="617"/>
      <c r="B42" s="142" t="s">
        <v>353</v>
      </c>
      <c r="C42" s="142" t="s">
        <v>354</v>
      </c>
      <c r="D42" s="143">
        <v>658814131</v>
      </c>
      <c r="E42" s="143">
        <v>658814131</v>
      </c>
      <c r="F42" s="143">
        <v>472900000</v>
      </c>
      <c r="G42" s="143">
        <v>38096468</v>
      </c>
      <c r="H42" s="143">
        <v>38096468</v>
      </c>
      <c r="I42" s="183"/>
    </row>
    <row r="43" spans="1:9" s="144" customFormat="1" ht="49.9" hidden="1" customHeight="1" outlineLevel="1" x14ac:dyDescent="0.25">
      <c r="A43" s="617"/>
      <c r="B43" s="611" t="s">
        <v>355</v>
      </c>
      <c r="C43" s="142" t="s">
        <v>198</v>
      </c>
      <c r="D43" s="143">
        <v>601054131</v>
      </c>
      <c r="E43" s="143">
        <v>601054131</v>
      </c>
      <c r="F43" s="143">
        <v>433428000</v>
      </c>
      <c r="G43" s="143">
        <v>45142900</v>
      </c>
      <c r="H43" s="143">
        <v>45142900</v>
      </c>
      <c r="I43" s="183"/>
    </row>
    <row r="44" spans="1:9" s="144" customFormat="1" ht="49.9" hidden="1" customHeight="1" outlineLevel="1" x14ac:dyDescent="0.25">
      <c r="A44" s="617"/>
      <c r="B44" s="613"/>
      <c r="C44" s="142" t="s">
        <v>356</v>
      </c>
      <c r="D44" s="143">
        <v>20000000</v>
      </c>
      <c r="E44" s="143">
        <v>20000000</v>
      </c>
      <c r="F44" s="143">
        <v>0</v>
      </c>
      <c r="G44" s="143">
        <v>0</v>
      </c>
      <c r="H44" s="143">
        <v>0</v>
      </c>
      <c r="I44" s="183"/>
    </row>
    <row r="45" spans="1:9" s="144" customFormat="1" ht="49.9" hidden="1" customHeight="1" outlineLevel="1" x14ac:dyDescent="0.25">
      <c r="A45" s="617"/>
      <c r="B45" s="611" t="s">
        <v>357</v>
      </c>
      <c r="C45" s="142" t="s">
        <v>198</v>
      </c>
      <c r="D45" s="143">
        <v>1093590131</v>
      </c>
      <c r="E45" s="143">
        <v>1093590131</v>
      </c>
      <c r="F45" s="143">
        <v>573298666</v>
      </c>
      <c r="G45" s="143">
        <v>51721448</v>
      </c>
      <c r="H45" s="143">
        <v>51721448</v>
      </c>
      <c r="I45" s="183"/>
    </row>
    <row r="46" spans="1:9" s="144" customFormat="1" ht="49.9" hidden="1" customHeight="1" outlineLevel="1" x14ac:dyDescent="0.25">
      <c r="A46" s="617"/>
      <c r="B46" s="613"/>
      <c r="C46" s="142" t="s">
        <v>354</v>
      </c>
      <c r="D46" s="143">
        <v>319199869</v>
      </c>
      <c r="E46" s="143">
        <v>319199869</v>
      </c>
      <c r="F46" s="143">
        <v>286832000</v>
      </c>
      <c r="G46" s="143">
        <v>26956333</v>
      </c>
      <c r="H46" s="143">
        <v>26956333</v>
      </c>
      <c r="I46" s="183"/>
    </row>
    <row r="47" spans="1:9" s="144" customFormat="1" ht="49.9" hidden="1" customHeight="1" outlineLevel="1" x14ac:dyDescent="0.25">
      <c r="A47" s="617"/>
      <c r="B47" s="145" t="s">
        <v>358</v>
      </c>
      <c r="C47" s="142" t="s">
        <v>198</v>
      </c>
      <c r="D47" s="143">
        <v>403410000</v>
      </c>
      <c r="E47" s="143">
        <v>403410000</v>
      </c>
      <c r="F47" s="143">
        <v>164519000</v>
      </c>
      <c r="G47" s="143">
        <v>2848433</v>
      </c>
      <c r="H47" s="143">
        <v>2848433</v>
      </c>
      <c r="I47" s="183"/>
    </row>
    <row r="48" spans="1:9" s="144" customFormat="1" ht="49.9" hidden="1" customHeight="1" outlineLevel="1" x14ac:dyDescent="0.25">
      <c r="A48" s="592"/>
      <c r="B48" s="142" t="s">
        <v>359</v>
      </c>
      <c r="C48" s="142" t="s">
        <v>198</v>
      </c>
      <c r="D48" s="143">
        <v>775545944</v>
      </c>
      <c r="E48" s="143">
        <v>775545944</v>
      </c>
      <c r="F48" s="143">
        <v>433527167</v>
      </c>
      <c r="G48" s="143">
        <v>36332725</v>
      </c>
      <c r="H48" s="143">
        <v>36332725</v>
      </c>
      <c r="I48" s="183"/>
    </row>
    <row r="49" spans="1:9" s="144" customFormat="1" ht="49.9" hidden="1" customHeight="1" outlineLevel="1" x14ac:dyDescent="0.25">
      <c r="A49" s="619" t="s">
        <v>132</v>
      </c>
      <c r="B49" s="142" t="s">
        <v>350</v>
      </c>
      <c r="C49" s="147" t="s">
        <v>198</v>
      </c>
      <c r="D49" s="148">
        <v>450000000</v>
      </c>
      <c r="E49" s="148">
        <v>450000000</v>
      </c>
      <c r="F49" s="148">
        <v>377292000</v>
      </c>
      <c r="G49" s="148">
        <v>210279165</v>
      </c>
      <c r="H49" s="148">
        <v>210279165</v>
      </c>
      <c r="I49" s="183"/>
    </row>
    <row r="50" spans="1:9" s="144" customFormat="1" ht="49.9" hidden="1" customHeight="1" outlineLevel="1" x14ac:dyDescent="0.25">
      <c r="A50" s="617"/>
      <c r="B50" s="611" t="s">
        <v>351</v>
      </c>
      <c r="C50" s="147" t="s">
        <v>198</v>
      </c>
      <c r="D50" s="148">
        <v>753985000</v>
      </c>
      <c r="E50" s="148">
        <v>763985000</v>
      </c>
      <c r="F50" s="148">
        <v>480083000</v>
      </c>
      <c r="G50" s="148">
        <v>254439132</v>
      </c>
      <c r="H50" s="148">
        <v>254439132</v>
      </c>
      <c r="I50" s="183"/>
    </row>
    <row r="51" spans="1:9" s="144" customFormat="1" ht="49.9" hidden="1" customHeight="1" outlineLevel="1" x14ac:dyDescent="0.25">
      <c r="A51" s="617"/>
      <c r="B51" s="613"/>
      <c r="C51" s="147" t="s">
        <v>352</v>
      </c>
      <c r="D51" s="148">
        <v>62855322</v>
      </c>
      <c r="E51" s="148">
        <v>62855322</v>
      </c>
      <c r="F51" s="148">
        <v>62855322</v>
      </c>
      <c r="G51" s="148">
        <v>62855322</v>
      </c>
      <c r="H51" s="148">
        <v>62855322</v>
      </c>
      <c r="I51" s="183"/>
    </row>
    <row r="52" spans="1:9" s="144" customFormat="1" ht="49.9" hidden="1" customHeight="1" outlineLevel="1" x14ac:dyDescent="0.25">
      <c r="A52" s="617"/>
      <c r="B52" s="142" t="s">
        <v>353</v>
      </c>
      <c r="C52" s="147" t="s">
        <v>354</v>
      </c>
      <c r="D52" s="148">
        <v>658814131</v>
      </c>
      <c r="E52" s="148">
        <v>658814131</v>
      </c>
      <c r="F52" s="148">
        <v>545531000</v>
      </c>
      <c r="G52" s="148">
        <v>232554035</v>
      </c>
      <c r="H52" s="148">
        <v>232554035</v>
      </c>
      <c r="I52" s="183"/>
    </row>
    <row r="53" spans="1:9" s="144" customFormat="1" ht="49.9" hidden="1" customHeight="1" outlineLevel="1" x14ac:dyDescent="0.25">
      <c r="A53" s="617"/>
      <c r="B53" s="611" t="s">
        <v>355</v>
      </c>
      <c r="C53" s="147" t="s">
        <v>198</v>
      </c>
      <c r="D53" s="148">
        <v>536054131</v>
      </c>
      <c r="E53" s="148">
        <v>536054131</v>
      </c>
      <c r="F53" s="148">
        <v>437787131</v>
      </c>
      <c r="G53" s="148">
        <v>269195535</v>
      </c>
      <c r="H53" s="148">
        <v>269195535</v>
      </c>
      <c r="I53" s="183"/>
    </row>
    <row r="54" spans="1:9" s="144" customFormat="1" ht="49.9" hidden="1" customHeight="1" outlineLevel="1" x14ac:dyDescent="0.25">
      <c r="A54" s="617"/>
      <c r="B54" s="613"/>
      <c r="C54" s="147" t="s">
        <v>356</v>
      </c>
      <c r="D54" s="148">
        <v>20000000</v>
      </c>
      <c r="E54" s="148">
        <v>20000000</v>
      </c>
      <c r="F54" s="148">
        <v>0</v>
      </c>
      <c r="G54" s="148">
        <v>0</v>
      </c>
      <c r="H54" s="148">
        <v>0</v>
      </c>
      <c r="I54" s="183"/>
    </row>
    <row r="55" spans="1:9" s="144" customFormat="1" ht="49.9" hidden="1" customHeight="1" outlineLevel="1" x14ac:dyDescent="0.25">
      <c r="A55" s="617"/>
      <c r="B55" s="611" t="s">
        <v>357</v>
      </c>
      <c r="C55" s="147" t="s">
        <v>198</v>
      </c>
      <c r="D55" s="148">
        <v>1080590131</v>
      </c>
      <c r="E55" s="148">
        <v>1080590131</v>
      </c>
      <c r="F55" s="148">
        <v>618799416</v>
      </c>
      <c r="G55" s="148">
        <v>252268566</v>
      </c>
      <c r="H55" s="148">
        <v>252268566</v>
      </c>
      <c r="I55" s="183"/>
    </row>
    <row r="56" spans="1:9" s="144" customFormat="1" ht="49.9" hidden="1" customHeight="1" outlineLevel="1" x14ac:dyDescent="0.25">
      <c r="A56" s="617"/>
      <c r="B56" s="613"/>
      <c r="C56" s="147" t="s">
        <v>354</v>
      </c>
      <c r="D56" s="148">
        <v>319199869</v>
      </c>
      <c r="E56" s="148">
        <v>319199869</v>
      </c>
      <c r="F56" s="148">
        <v>286832000</v>
      </c>
      <c r="G56" s="148">
        <v>157706433</v>
      </c>
      <c r="H56" s="148">
        <v>157706433</v>
      </c>
      <c r="I56" s="183"/>
    </row>
    <row r="57" spans="1:9" s="144" customFormat="1" ht="49.9" hidden="1" customHeight="1" outlineLevel="1" x14ac:dyDescent="0.25">
      <c r="A57" s="617"/>
      <c r="B57" s="145" t="s">
        <v>358</v>
      </c>
      <c r="C57" s="147" t="s">
        <v>198</v>
      </c>
      <c r="D57" s="148">
        <v>263410000</v>
      </c>
      <c r="E57" s="148">
        <v>263410000</v>
      </c>
      <c r="F57" s="148">
        <v>191691000</v>
      </c>
      <c r="G57" s="148">
        <v>78561375</v>
      </c>
      <c r="H57" s="148">
        <v>78561375</v>
      </c>
      <c r="I57" s="183"/>
    </row>
    <row r="58" spans="1:9" s="144" customFormat="1" ht="49.9" hidden="1" customHeight="1" outlineLevel="1" x14ac:dyDescent="0.25">
      <c r="A58" s="592"/>
      <c r="B58" s="142" t="s">
        <v>359</v>
      </c>
      <c r="C58" s="147" t="s">
        <v>198</v>
      </c>
      <c r="D58" s="148">
        <v>790545944</v>
      </c>
      <c r="E58" s="148">
        <v>780545944</v>
      </c>
      <c r="F58" s="148">
        <v>488375819</v>
      </c>
      <c r="G58" s="148">
        <v>278527169</v>
      </c>
      <c r="H58" s="148">
        <v>278527169</v>
      </c>
      <c r="I58" s="183"/>
    </row>
    <row r="59" spans="1:9" s="144" customFormat="1" ht="49.9" hidden="1" customHeight="1" outlineLevel="1" x14ac:dyDescent="0.25">
      <c r="A59" s="619" t="s">
        <v>133</v>
      </c>
      <c r="B59" s="142" t="s">
        <v>350</v>
      </c>
      <c r="C59" s="147" t="s">
        <v>198</v>
      </c>
      <c r="D59" s="148">
        <v>450000000</v>
      </c>
      <c r="E59" s="149">
        <v>450000000</v>
      </c>
      <c r="F59" s="148">
        <v>447516000</v>
      </c>
      <c r="G59" s="148">
        <v>316341865</v>
      </c>
      <c r="H59" s="148">
        <f>+G59</f>
        <v>316341865</v>
      </c>
      <c r="I59" s="183"/>
    </row>
    <row r="60" spans="1:9" s="144" customFormat="1" ht="49.9" hidden="1" customHeight="1" outlineLevel="1" x14ac:dyDescent="0.25">
      <c r="A60" s="617"/>
      <c r="B60" s="611" t="s">
        <v>351</v>
      </c>
      <c r="C60" s="147" t="s">
        <v>198</v>
      </c>
      <c r="D60" s="148">
        <v>753985000</v>
      </c>
      <c r="E60" s="149">
        <v>763985000</v>
      </c>
      <c r="F60" s="148">
        <v>607617783</v>
      </c>
      <c r="G60" s="148">
        <v>387105399</v>
      </c>
      <c r="H60" s="148">
        <f t="shared" ref="H60:H68" si="0">+G60</f>
        <v>387105399</v>
      </c>
      <c r="I60" s="183"/>
    </row>
    <row r="61" spans="1:9" s="144" customFormat="1" ht="49.9" hidden="1" customHeight="1" outlineLevel="1" x14ac:dyDescent="0.25">
      <c r="A61" s="617"/>
      <c r="B61" s="613"/>
      <c r="C61" s="147" t="s">
        <v>352</v>
      </c>
      <c r="D61" s="148">
        <v>62855322</v>
      </c>
      <c r="E61" s="149">
        <v>62855322</v>
      </c>
      <c r="F61" s="148">
        <v>62855322</v>
      </c>
      <c r="G61" s="148">
        <v>62855322</v>
      </c>
      <c r="H61" s="148">
        <f t="shared" si="0"/>
        <v>62855322</v>
      </c>
      <c r="I61" s="183"/>
    </row>
    <row r="62" spans="1:9" s="144" customFormat="1" ht="49.9" hidden="1" customHeight="1" outlineLevel="1" x14ac:dyDescent="0.25">
      <c r="A62" s="617"/>
      <c r="B62" s="142" t="s">
        <v>353</v>
      </c>
      <c r="C62" s="147" t="s">
        <v>354</v>
      </c>
      <c r="D62" s="148">
        <v>658814131</v>
      </c>
      <c r="E62" s="149">
        <v>658814131</v>
      </c>
      <c r="F62" s="148">
        <v>644978000</v>
      </c>
      <c r="G62" s="148">
        <v>368534169</v>
      </c>
      <c r="H62" s="148">
        <f t="shared" si="0"/>
        <v>368534169</v>
      </c>
      <c r="I62" s="183"/>
    </row>
    <row r="63" spans="1:9" s="144" customFormat="1" ht="49.9" hidden="1" customHeight="1" outlineLevel="1" x14ac:dyDescent="0.25">
      <c r="A63" s="617"/>
      <c r="B63" s="611" t="s">
        <v>355</v>
      </c>
      <c r="C63" s="147" t="s">
        <v>198</v>
      </c>
      <c r="D63" s="148">
        <v>536054131</v>
      </c>
      <c r="E63" s="149">
        <v>536054131</v>
      </c>
      <c r="F63" s="148">
        <v>535986131</v>
      </c>
      <c r="G63" s="148">
        <v>403638440.30888337</v>
      </c>
      <c r="H63" s="148">
        <f t="shared" si="0"/>
        <v>403638440.30888337</v>
      </c>
      <c r="I63" s="183"/>
    </row>
    <row r="64" spans="1:9" s="144" customFormat="1" ht="49.9" hidden="1" customHeight="1" outlineLevel="1" x14ac:dyDescent="0.25">
      <c r="A64" s="617"/>
      <c r="B64" s="613"/>
      <c r="C64" s="147" t="s">
        <v>356</v>
      </c>
      <c r="D64" s="148">
        <v>20000000</v>
      </c>
      <c r="E64" s="148">
        <v>20000000</v>
      </c>
      <c r="F64" s="148">
        <v>0</v>
      </c>
      <c r="G64" s="148">
        <v>0</v>
      </c>
      <c r="H64" s="148">
        <v>0</v>
      </c>
      <c r="I64" s="183"/>
    </row>
    <row r="65" spans="1:9" s="144" customFormat="1" ht="49.9" hidden="1" customHeight="1" outlineLevel="1" x14ac:dyDescent="0.25">
      <c r="A65" s="617"/>
      <c r="B65" s="611" t="s">
        <v>357</v>
      </c>
      <c r="C65" s="147" t="s">
        <v>198</v>
      </c>
      <c r="D65" s="148">
        <v>1080590131</v>
      </c>
      <c r="E65" s="148">
        <v>1080590131</v>
      </c>
      <c r="F65" s="149">
        <v>1012453063</v>
      </c>
      <c r="G65" s="148">
        <v>505007680.18480587</v>
      </c>
      <c r="H65" s="148">
        <f t="shared" si="0"/>
        <v>505007680.18480587</v>
      </c>
      <c r="I65" s="183"/>
    </row>
    <row r="66" spans="1:9" s="144" customFormat="1" ht="49.9" hidden="1" customHeight="1" outlineLevel="1" x14ac:dyDescent="0.25">
      <c r="A66" s="617"/>
      <c r="B66" s="613"/>
      <c r="C66" s="147" t="s">
        <v>354</v>
      </c>
      <c r="D66" s="148">
        <v>319199869</v>
      </c>
      <c r="E66" s="148">
        <v>319199869</v>
      </c>
      <c r="F66" s="148">
        <v>313688000</v>
      </c>
      <c r="G66" s="148">
        <v>227490433</v>
      </c>
      <c r="H66" s="148">
        <f t="shared" si="0"/>
        <v>227490433</v>
      </c>
      <c r="I66" s="183"/>
    </row>
    <row r="67" spans="1:9" s="144" customFormat="1" ht="49.9" hidden="1" customHeight="1" outlineLevel="1" x14ac:dyDescent="0.25">
      <c r="A67" s="617"/>
      <c r="B67" s="145" t="s">
        <v>358</v>
      </c>
      <c r="C67" s="147" t="s">
        <v>198</v>
      </c>
      <c r="D67" s="148">
        <v>263410000</v>
      </c>
      <c r="E67" s="148">
        <v>263410000</v>
      </c>
      <c r="F67" s="148">
        <v>232617000</v>
      </c>
      <c r="G67" s="148">
        <v>139980686.50631076</v>
      </c>
      <c r="H67" s="148">
        <f t="shared" si="0"/>
        <v>139980686.50631076</v>
      </c>
      <c r="I67" s="183"/>
    </row>
    <row r="68" spans="1:9" s="144" customFormat="1" ht="49.9" hidden="1" customHeight="1" outlineLevel="1" x14ac:dyDescent="0.25">
      <c r="A68" s="592"/>
      <c r="B68" s="142" t="s">
        <v>359</v>
      </c>
      <c r="C68" s="147" t="s">
        <v>198</v>
      </c>
      <c r="D68" s="148">
        <v>790545944</v>
      </c>
      <c r="E68" s="149">
        <v>780545944</v>
      </c>
      <c r="F68" s="148">
        <v>731213017</v>
      </c>
      <c r="G68" s="148">
        <v>381508875</v>
      </c>
      <c r="H68" s="148">
        <f t="shared" si="0"/>
        <v>381508875</v>
      </c>
      <c r="I68" s="183"/>
    </row>
    <row r="69" spans="1:9" ht="16.5" hidden="1" customHeight="1" collapsed="1" x14ac:dyDescent="0.25"/>
    <row r="70" spans="1:9" ht="26.25" hidden="1" customHeight="1" x14ac:dyDescent="0.25">
      <c r="A70" s="606" t="s">
        <v>134</v>
      </c>
      <c r="B70" s="606"/>
      <c r="C70" s="606"/>
      <c r="D70" s="606"/>
      <c r="E70" s="606"/>
      <c r="F70" s="606"/>
      <c r="G70" s="606"/>
      <c r="H70" s="606"/>
    </row>
    <row r="71" spans="1:9" ht="25.5" hidden="1" customHeight="1" x14ac:dyDescent="0.25">
      <c r="A71" s="140" t="s">
        <v>48</v>
      </c>
      <c r="B71" s="140" t="s">
        <v>349</v>
      </c>
      <c r="C71" s="37" t="s">
        <v>121</v>
      </c>
      <c r="D71" s="141" t="s">
        <v>122</v>
      </c>
      <c r="E71" s="141" t="s">
        <v>123</v>
      </c>
      <c r="F71" s="141" t="s">
        <v>124</v>
      </c>
      <c r="G71" s="141" t="s">
        <v>125</v>
      </c>
      <c r="H71" s="141" t="s">
        <v>126</v>
      </c>
    </row>
    <row r="72" spans="1:9" ht="49.9" hidden="1" customHeight="1" outlineLevel="1" x14ac:dyDescent="0.25">
      <c r="A72" s="601" t="s">
        <v>135</v>
      </c>
      <c r="B72" s="142" t="s">
        <v>359</v>
      </c>
      <c r="C72" s="147" t="s">
        <v>198</v>
      </c>
      <c r="D72" s="148">
        <v>790545944</v>
      </c>
      <c r="E72" s="149">
        <v>780545944</v>
      </c>
      <c r="F72" s="38"/>
      <c r="G72" s="38"/>
      <c r="H72" s="38"/>
    </row>
    <row r="73" spans="1:9" ht="49.9" hidden="1" customHeight="1" outlineLevel="1" x14ac:dyDescent="0.25">
      <c r="A73" s="601"/>
      <c r="B73" s="600" t="s">
        <v>351</v>
      </c>
      <c r="C73" s="147" t="s">
        <v>198</v>
      </c>
      <c r="D73" s="148">
        <v>753985000</v>
      </c>
      <c r="E73" s="149">
        <v>763985000</v>
      </c>
      <c r="F73" s="38"/>
      <c r="G73" s="38"/>
      <c r="H73" s="38"/>
    </row>
    <row r="74" spans="1:9" ht="49.9" hidden="1" customHeight="1" outlineLevel="1" x14ac:dyDescent="0.25">
      <c r="A74" s="601"/>
      <c r="B74" s="600"/>
      <c r="C74" s="147" t="s">
        <v>352</v>
      </c>
      <c r="D74" s="148">
        <v>62855322</v>
      </c>
      <c r="E74" s="149">
        <v>62855322</v>
      </c>
      <c r="F74" s="38"/>
      <c r="G74" s="38"/>
      <c r="H74" s="38"/>
    </row>
    <row r="75" spans="1:9" ht="49.9" hidden="1" customHeight="1" outlineLevel="1" x14ac:dyDescent="0.25">
      <c r="A75" s="601"/>
      <c r="B75" s="600" t="s">
        <v>357</v>
      </c>
      <c r="C75" s="147" t="s">
        <v>198</v>
      </c>
      <c r="D75" s="148">
        <v>1080590131</v>
      </c>
      <c r="E75" s="148">
        <v>1080590131</v>
      </c>
      <c r="F75" s="38"/>
      <c r="G75" s="38"/>
      <c r="H75" s="38"/>
    </row>
    <row r="76" spans="1:9" ht="49.9" hidden="1" customHeight="1" outlineLevel="1" x14ac:dyDescent="0.25">
      <c r="A76" s="601"/>
      <c r="B76" s="600"/>
      <c r="C76" s="147" t="s">
        <v>354</v>
      </c>
      <c r="D76" s="148">
        <v>319199869</v>
      </c>
      <c r="E76" s="148">
        <v>319199869</v>
      </c>
      <c r="F76" s="38"/>
      <c r="G76" s="38"/>
      <c r="H76" s="38"/>
    </row>
    <row r="77" spans="1:9" ht="49.9" hidden="1" customHeight="1" outlineLevel="1" x14ac:dyDescent="0.25">
      <c r="A77" s="601"/>
      <c r="B77" s="600" t="s">
        <v>355</v>
      </c>
      <c r="C77" s="147" t="s">
        <v>198</v>
      </c>
      <c r="D77" s="148">
        <v>536054131</v>
      </c>
      <c r="E77" s="149">
        <v>536054131</v>
      </c>
      <c r="F77" s="38"/>
      <c r="G77" s="38"/>
      <c r="H77" s="38"/>
    </row>
    <row r="78" spans="1:9" ht="49.9" hidden="1" customHeight="1" outlineLevel="1" x14ac:dyDescent="0.25">
      <c r="A78" s="601"/>
      <c r="B78" s="600"/>
      <c r="C78" s="147" t="s">
        <v>356</v>
      </c>
      <c r="D78" s="148">
        <v>20000000</v>
      </c>
      <c r="E78" s="148">
        <v>20000000</v>
      </c>
      <c r="F78" s="38"/>
      <c r="G78" s="38"/>
      <c r="H78" s="38"/>
    </row>
    <row r="79" spans="1:9" ht="49.9" hidden="1" customHeight="1" outlineLevel="1" x14ac:dyDescent="0.25">
      <c r="A79" s="601"/>
      <c r="B79" s="142" t="s">
        <v>358</v>
      </c>
      <c r="C79" s="147" t="s">
        <v>198</v>
      </c>
      <c r="D79" s="148">
        <v>263410000</v>
      </c>
      <c r="E79" s="148">
        <v>263410000</v>
      </c>
      <c r="F79" s="38"/>
      <c r="G79" s="38"/>
      <c r="H79" s="38"/>
    </row>
    <row r="80" spans="1:9" ht="49.9" hidden="1" customHeight="1" outlineLevel="1" x14ac:dyDescent="0.25">
      <c r="A80" s="601"/>
      <c r="B80" s="142" t="s">
        <v>353</v>
      </c>
      <c r="C80" s="147" t="s">
        <v>354</v>
      </c>
      <c r="D80" s="148">
        <v>658814131</v>
      </c>
      <c r="E80" s="149">
        <v>658814131</v>
      </c>
      <c r="F80" s="38"/>
      <c r="G80" s="38"/>
      <c r="H80" s="38"/>
    </row>
    <row r="81" spans="1:8" ht="49.9" hidden="1" customHeight="1" outlineLevel="1" x14ac:dyDescent="0.25">
      <c r="A81" s="601"/>
      <c r="B81" s="142" t="s">
        <v>350</v>
      </c>
      <c r="C81" s="147" t="s">
        <v>198</v>
      </c>
      <c r="D81" s="148">
        <v>450000000</v>
      </c>
      <c r="E81" s="149">
        <v>450000000</v>
      </c>
      <c r="F81" s="38"/>
      <c r="G81" s="38"/>
      <c r="H81" s="38"/>
    </row>
    <row r="82" spans="1:8" ht="49.9" hidden="1" customHeight="1" outlineLevel="1" x14ac:dyDescent="0.25">
      <c r="A82" s="618" t="s">
        <v>136</v>
      </c>
      <c r="B82" s="142" t="s">
        <v>359</v>
      </c>
      <c r="C82" s="147" t="s">
        <v>360</v>
      </c>
      <c r="D82" s="148">
        <v>1564678000</v>
      </c>
      <c r="E82" s="149">
        <v>1564678000</v>
      </c>
      <c r="F82" s="149">
        <v>188232000</v>
      </c>
      <c r="G82" s="149">
        <v>188232000</v>
      </c>
      <c r="H82" s="149">
        <v>0</v>
      </c>
    </row>
    <row r="83" spans="1:8" ht="49.9" hidden="1" customHeight="1" outlineLevel="1" x14ac:dyDescent="0.25">
      <c r="A83" s="618"/>
      <c r="B83" s="142" t="s">
        <v>351</v>
      </c>
      <c r="C83" s="147" t="s">
        <v>360</v>
      </c>
      <c r="D83" s="149">
        <v>1374057000</v>
      </c>
      <c r="E83" s="149">
        <v>1374057000</v>
      </c>
      <c r="F83" s="149">
        <v>582050000</v>
      </c>
      <c r="G83" s="149">
        <v>582050000</v>
      </c>
      <c r="H83" s="149">
        <v>0</v>
      </c>
    </row>
    <row r="84" spans="1:8" ht="49.9" hidden="1" customHeight="1" outlineLevel="1" x14ac:dyDescent="0.25">
      <c r="A84" s="618"/>
      <c r="B84" s="600" t="s">
        <v>357</v>
      </c>
      <c r="C84" s="147" t="s">
        <v>360</v>
      </c>
      <c r="D84" s="148">
        <v>2007824000</v>
      </c>
      <c r="E84" s="148">
        <v>2007824000</v>
      </c>
      <c r="F84" s="148">
        <v>292843000</v>
      </c>
      <c r="G84" s="148">
        <v>292843000</v>
      </c>
      <c r="H84" s="149">
        <v>0</v>
      </c>
    </row>
    <row r="85" spans="1:8" ht="49.9" hidden="1" customHeight="1" outlineLevel="1" x14ac:dyDescent="0.25">
      <c r="A85" s="618"/>
      <c r="B85" s="600"/>
      <c r="C85" s="147" t="s">
        <v>361</v>
      </c>
      <c r="D85" s="148">
        <v>792348000</v>
      </c>
      <c r="E85" s="148">
        <v>792348000</v>
      </c>
      <c r="F85" s="148">
        <v>115947000</v>
      </c>
      <c r="G85" s="148">
        <v>115947000</v>
      </c>
      <c r="H85" s="149">
        <v>0</v>
      </c>
    </row>
    <row r="86" spans="1:8" ht="49.9" hidden="1" customHeight="1" outlineLevel="1" x14ac:dyDescent="0.25">
      <c r="A86" s="618"/>
      <c r="B86" s="600"/>
      <c r="C86" s="147" t="s">
        <v>362</v>
      </c>
      <c r="D86" s="148">
        <v>173604000</v>
      </c>
      <c r="E86" s="148">
        <v>173604000</v>
      </c>
      <c r="F86" s="148">
        <v>0</v>
      </c>
      <c r="G86" s="148">
        <v>0</v>
      </c>
      <c r="H86" s="149">
        <v>0</v>
      </c>
    </row>
    <row r="87" spans="1:8" ht="49.9" hidden="1" customHeight="1" outlineLevel="1" x14ac:dyDescent="0.25">
      <c r="A87" s="618"/>
      <c r="B87" s="600" t="s">
        <v>355</v>
      </c>
      <c r="C87" s="147" t="s">
        <v>360</v>
      </c>
      <c r="D87" s="148">
        <v>1180481000</v>
      </c>
      <c r="E87" s="148">
        <v>1180481000</v>
      </c>
      <c r="F87" s="148">
        <v>740287000</v>
      </c>
      <c r="G87" s="148">
        <v>740287000</v>
      </c>
      <c r="H87" s="149">
        <v>0</v>
      </c>
    </row>
    <row r="88" spans="1:8" ht="49.9" hidden="1" customHeight="1" outlineLevel="1" x14ac:dyDescent="0.25">
      <c r="A88" s="618"/>
      <c r="B88" s="600"/>
      <c r="C88" s="147" t="s">
        <v>362</v>
      </c>
      <c r="D88" s="148">
        <v>300000000</v>
      </c>
      <c r="E88" s="148">
        <v>300000000</v>
      </c>
      <c r="F88" s="148">
        <v>0</v>
      </c>
      <c r="G88" s="148">
        <v>0</v>
      </c>
      <c r="H88" s="149">
        <v>0</v>
      </c>
    </row>
    <row r="89" spans="1:8" ht="49.9" hidden="1" customHeight="1" outlineLevel="1" x14ac:dyDescent="0.25">
      <c r="A89" s="618"/>
      <c r="B89" s="142" t="s">
        <v>358</v>
      </c>
      <c r="C89" s="147" t="s">
        <v>360</v>
      </c>
      <c r="D89" s="148">
        <v>689070000</v>
      </c>
      <c r="E89" s="148">
        <v>689070000</v>
      </c>
      <c r="F89" s="148">
        <v>34584000</v>
      </c>
      <c r="G89" s="148">
        <v>34584000</v>
      </c>
      <c r="H89" s="149">
        <v>0</v>
      </c>
    </row>
    <row r="90" spans="1:8" ht="49.9" hidden="1" customHeight="1" outlineLevel="1" x14ac:dyDescent="0.25">
      <c r="A90" s="618"/>
      <c r="B90" s="600" t="s">
        <v>353</v>
      </c>
      <c r="C90" s="147" t="s">
        <v>361</v>
      </c>
      <c r="D90" s="148">
        <v>1277236000</v>
      </c>
      <c r="E90" s="149">
        <v>1277236000</v>
      </c>
      <c r="F90" s="149">
        <v>385283000</v>
      </c>
      <c r="G90" s="149">
        <v>385283000</v>
      </c>
      <c r="H90" s="149">
        <v>0</v>
      </c>
    </row>
    <row r="91" spans="1:8" ht="49.9" hidden="1" customHeight="1" outlineLevel="1" x14ac:dyDescent="0.25">
      <c r="A91" s="618"/>
      <c r="B91" s="600"/>
      <c r="C91" s="147" t="s">
        <v>362</v>
      </c>
      <c r="D91" s="148">
        <v>16912000</v>
      </c>
      <c r="E91" s="149">
        <v>16912000</v>
      </c>
      <c r="F91" s="149">
        <v>0</v>
      </c>
      <c r="G91" s="149">
        <v>0</v>
      </c>
      <c r="H91" s="149">
        <v>0</v>
      </c>
    </row>
    <row r="92" spans="1:8" ht="49.9" hidden="1" customHeight="1" outlineLevel="1" x14ac:dyDescent="0.25">
      <c r="A92" s="618"/>
      <c r="B92" s="142" t="s">
        <v>350</v>
      </c>
      <c r="C92" s="147" t="s">
        <v>360</v>
      </c>
      <c r="D92" s="148">
        <v>691670000</v>
      </c>
      <c r="E92" s="148">
        <v>691670000</v>
      </c>
      <c r="F92" s="149">
        <v>326043000</v>
      </c>
      <c r="G92" s="149">
        <v>326043000</v>
      </c>
      <c r="H92" s="149">
        <v>0</v>
      </c>
    </row>
    <row r="93" spans="1:8" ht="49.9" hidden="1" customHeight="1" outlineLevel="1" x14ac:dyDescent="0.25">
      <c r="A93" s="618" t="s">
        <v>137</v>
      </c>
      <c r="B93" s="142" t="s">
        <v>359</v>
      </c>
      <c r="C93" s="147" t="s">
        <v>360</v>
      </c>
      <c r="D93" s="148">
        <v>1564678000</v>
      </c>
      <c r="E93" s="149">
        <v>1564678000</v>
      </c>
      <c r="F93" s="149">
        <v>537224000</v>
      </c>
      <c r="G93" s="149">
        <v>537224000</v>
      </c>
      <c r="H93" s="149">
        <v>0</v>
      </c>
    </row>
    <row r="94" spans="1:8" ht="49.9" hidden="1" customHeight="1" outlineLevel="1" x14ac:dyDescent="0.25">
      <c r="A94" s="618"/>
      <c r="B94" s="142" t="s">
        <v>351</v>
      </c>
      <c r="C94" s="147" t="s">
        <v>360</v>
      </c>
      <c r="D94" s="149">
        <v>1374057000</v>
      </c>
      <c r="E94" s="149">
        <v>1374057000</v>
      </c>
      <c r="F94" s="149">
        <v>1121617000</v>
      </c>
      <c r="G94" s="149">
        <v>1121617000</v>
      </c>
      <c r="H94" s="149">
        <v>3498367</v>
      </c>
    </row>
    <row r="95" spans="1:8" ht="49.9" hidden="1" customHeight="1" outlineLevel="1" x14ac:dyDescent="0.25">
      <c r="A95" s="618"/>
      <c r="B95" s="600" t="s">
        <v>357</v>
      </c>
      <c r="C95" s="147" t="s">
        <v>360</v>
      </c>
      <c r="D95" s="148">
        <v>2007824000</v>
      </c>
      <c r="E95" s="148">
        <v>2007824000</v>
      </c>
      <c r="F95" s="148">
        <v>1198459150</v>
      </c>
      <c r="G95" s="148">
        <v>1198459150</v>
      </c>
      <c r="H95" s="148">
        <v>34478553</v>
      </c>
    </row>
    <row r="96" spans="1:8" ht="49.9" hidden="1" customHeight="1" outlineLevel="1" x14ac:dyDescent="0.25">
      <c r="A96" s="618"/>
      <c r="B96" s="600"/>
      <c r="C96" s="147" t="s">
        <v>361</v>
      </c>
      <c r="D96" s="148">
        <v>792348000</v>
      </c>
      <c r="E96" s="148">
        <v>792348000</v>
      </c>
      <c r="F96" s="148">
        <v>595485000</v>
      </c>
      <c r="G96" s="148">
        <v>595485000</v>
      </c>
      <c r="H96" s="148">
        <v>3931767</v>
      </c>
    </row>
    <row r="97" spans="1:8" ht="49.9" hidden="1" customHeight="1" outlineLevel="1" x14ac:dyDescent="0.25">
      <c r="A97" s="618"/>
      <c r="B97" s="600"/>
      <c r="C97" s="147" t="s">
        <v>362</v>
      </c>
      <c r="D97" s="148">
        <v>173604000</v>
      </c>
      <c r="E97" s="148">
        <v>173604000</v>
      </c>
      <c r="F97" s="148">
        <v>0</v>
      </c>
      <c r="G97" s="148">
        <v>0</v>
      </c>
      <c r="H97" s="148">
        <v>0</v>
      </c>
    </row>
    <row r="98" spans="1:8" ht="49.9" hidden="1" customHeight="1" outlineLevel="1" x14ac:dyDescent="0.25">
      <c r="A98" s="618"/>
      <c r="B98" s="600" t="s">
        <v>355</v>
      </c>
      <c r="C98" s="147" t="s">
        <v>360</v>
      </c>
      <c r="D98" s="148">
        <v>1180481000</v>
      </c>
      <c r="E98" s="148">
        <v>1180481000</v>
      </c>
      <c r="F98" s="148">
        <v>1001575000</v>
      </c>
      <c r="G98" s="148">
        <v>1001575000</v>
      </c>
      <c r="H98" s="148">
        <v>27208599</v>
      </c>
    </row>
    <row r="99" spans="1:8" ht="49.9" hidden="1" customHeight="1" outlineLevel="1" x14ac:dyDescent="0.25">
      <c r="A99" s="618"/>
      <c r="B99" s="600"/>
      <c r="C99" s="147" t="s">
        <v>362</v>
      </c>
      <c r="D99" s="148">
        <v>300000000</v>
      </c>
      <c r="E99" s="148">
        <v>300000000</v>
      </c>
      <c r="F99" s="148">
        <v>0</v>
      </c>
      <c r="G99" s="148">
        <v>0</v>
      </c>
      <c r="H99" s="148">
        <v>0</v>
      </c>
    </row>
    <row r="100" spans="1:8" ht="49.9" hidden="1" customHeight="1" outlineLevel="1" x14ac:dyDescent="0.25">
      <c r="A100" s="618"/>
      <c r="B100" s="142" t="s">
        <v>358</v>
      </c>
      <c r="C100" s="147" t="s">
        <v>360</v>
      </c>
      <c r="D100" s="148">
        <v>689070000</v>
      </c>
      <c r="E100" s="148">
        <v>689070000</v>
      </c>
      <c r="F100" s="148">
        <v>343006000</v>
      </c>
      <c r="G100" s="148">
        <v>343006000</v>
      </c>
      <c r="H100" s="148">
        <v>0</v>
      </c>
    </row>
    <row r="101" spans="1:8" ht="49.9" hidden="1" customHeight="1" outlineLevel="1" x14ac:dyDescent="0.25">
      <c r="A101" s="618"/>
      <c r="B101" s="600" t="s">
        <v>353</v>
      </c>
      <c r="C101" s="147" t="s">
        <v>361</v>
      </c>
      <c r="D101" s="148">
        <v>1277236000</v>
      </c>
      <c r="E101" s="149">
        <v>1277236000</v>
      </c>
      <c r="F101" s="149">
        <v>1137979000</v>
      </c>
      <c r="G101" s="149">
        <v>1137979000</v>
      </c>
      <c r="H101" s="149">
        <v>2672200</v>
      </c>
    </row>
    <row r="102" spans="1:8" ht="49.9" hidden="1" customHeight="1" outlineLevel="1" x14ac:dyDescent="0.25">
      <c r="A102" s="618"/>
      <c r="B102" s="600"/>
      <c r="C102" s="147" t="s">
        <v>362</v>
      </c>
      <c r="D102" s="148">
        <v>16912000</v>
      </c>
      <c r="E102" s="149">
        <v>16912000</v>
      </c>
      <c r="F102" s="149">
        <v>0</v>
      </c>
      <c r="G102" s="149">
        <v>0</v>
      </c>
      <c r="H102" s="149">
        <v>0</v>
      </c>
    </row>
    <row r="103" spans="1:8" ht="49.9" hidden="1" customHeight="1" outlineLevel="1" x14ac:dyDescent="0.25">
      <c r="A103" s="618"/>
      <c r="B103" s="142" t="s">
        <v>350</v>
      </c>
      <c r="C103" s="147" t="s">
        <v>360</v>
      </c>
      <c r="D103" s="148">
        <v>691670000</v>
      </c>
      <c r="E103" s="148">
        <v>691670000</v>
      </c>
      <c r="F103" s="149">
        <v>415638000</v>
      </c>
      <c r="G103" s="149">
        <v>415638000</v>
      </c>
      <c r="H103" s="149">
        <v>13025300</v>
      </c>
    </row>
    <row r="104" spans="1:8" ht="49.9" hidden="1" customHeight="1" outlineLevel="1" x14ac:dyDescent="0.25">
      <c r="A104" s="618" t="s">
        <v>138</v>
      </c>
      <c r="B104" s="142" t="s">
        <v>359</v>
      </c>
      <c r="C104" s="147" t="s">
        <v>360</v>
      </c>
      <c r="D104" s="148">
        <v>1564678000</v>
      </c>
      <c r="E104" s="149">
        <v>837335614</v>
      </c>
      <c r="F104" s="149">
        <v>664703857</v>
      </c>
      <c r="G104" s="149">
        <v>664703857</v>
      </c>
      <c r="H104" s="149">
        <v>41026232</v>
      </c>
    </row>
    <row r="105" spans="1:8" ht="49.9" hidden="1" customHeight="1" outlineLevel="1" x14ac:dyDescent="0.25">
      <c r="A105" s="618"/>
      <c r="B105" s="142" t="s">
        <v>351</v>
      </c>
      <c r="C105" s="147" t="s">
        <v>360</v>
      </c>
      <c r="D105" s="149">
        <v>1374057000</v>
      </c>
      <c r="E105" s="149">
        <v>1262994000</v>
      </c>
      <c r="F105" s="149">
        <v>1215729000</v>
      </c>
      <c r="G105" s="149">
        <v>1215729000</v>
      </c>
      <c r="H105" s="149">
        <v>92283634</v>
      </c>
    </row>
    <row r="106" spans="1:8" ht="49.9" hidden="1" customHeight="1" outlineLevel="1" x14ac:dyDescent="0.25">
      <c r="A106" s="618"/>
      <c r="B106" s="600" t="s">
        <v>357</v>
      </c>
      <c r="C106" s="147" t="s">
        <v>360</v>
      </c>
      <c r="D106" s="148">
        <v>2007824000</v>
      </c>
      <c r="E106" s="148">
        <v>1670091000</v>
      </c>
      <c r="F106" s="148">
        <v>1319795150</v>
      </c>
      <c r="G106" s="148">
        <v>1319795150</v>
      </c>
      <c r="H106" s="148">
        <v>76115753</v>
      </c>
    </row>
    <row r="107" spans="1:8" ht="49.9" hidden="1" customHeight="1" outlineLevel="1" x14ac:dyDescent="0.25">
      <c r="A107" s="618"/>
      <c r="B107" s="600"/>
      <c r="C107" s="147" t="s">
        <v>361</v>
      </c>
      <c r="D107" s="148">
        <v>792348000</v>
      </c>
      <c r="E107" s="148">
        <v>792348000</v>
      </c>
      <c r="F107" s="148">
        <v>622989000</v>
      </c>
      <c r="G107" s="148">
        <v>622989000</v>
      </c>
      <c r="H107" s="148">
        <v>45443400</v>
      </c>
    </row>
    <row r="108" spans="1:8" ht="49.9" hidden="1" customHeight="1" outlineLevel="1" x14ac:dyDescent="0.25">
      <c r="A108" s="618"/>
      <c r="B108" s="600"/>
      <c r="C108" s="147" t="s">
        <v>362</v>
      </c>
      <c r="D108" s="148">
        <v>173604000</v>
      </c>
      <c r="E108" s="148">
        <v>173604000</v>
      </c>
      <c r="F108" s="148">
        <v>0</v>
      </c>
      <c r="G108" s="148">
        <v>0</v>
      </c>
      <c r="H108" s="148">
        <v>0</v>
      </c>
    </row>
    <row r="109" spans="1:8" ht="49.9" hidden="1" customHeight="1" outlineLevel="1" x14ac:dyDescent="0.25">
      <c r="A109" s="618"/>
      <c r="B109" s="600" t="s">
        <v>355</v>
      </c>
      <c r="C109" s="147" t="s">
        <v>360</v>
      </c>
      <c r="D109" s="148">
        <v>1180481000</v>
      </c>
      <c r="E109" s="148">
        <v>1153575000</v>
      </c>
      <c r="F109" s="148">
        <v>1001575000</v>
      </c>
      <c r="G109" s="148">
        <v>1001575000</v>
      </c>
      <c r="H109" s="148">
        <v>129841932</v>
      </c>
    </row>
    <row r="110" spans="1:8" ht="49.9" hidden="1" customHeight="1" outlineLevel="1" x14ac:dyDescent="0.25">
      <c r="A110" s="618"/>
      <c r="B110" s="600"/>
      <c r="C110" s="147" t="s">
        <v>362</v>
      </c>
      <c r="D110" s="148">
        <v>300000000</v>
      </c>
      <c r="E110" s="148">
        <v>300000000</v>
      </c>
      <c r="F110" s="148">
        <v>0</v>
      </c>
      <c r="G110" s="148">
        <v>0</v>
      </c>
      <c r="H110" s="148">
        <v>0</v>
      </c>
    </row>
    <row r="111" spans="1:8" ht="49.9" hidden="1" customHeight="1" outlineLevel="1" x14ac:dyDescent="0.25">
      <c r="A111" s="618"/>
      <c r="B111" s="142" t="s">
        <v>358</v>
      </c>
      <c r="C111" s="147" t="s">
        <v>360</v>
      </c>
      <c r="D111" s="148">
        <v>689070000</v>
      </c>
      <c r="E111" s="148">
        <v>483246000</v>
      </c>
      <c r="F111" s="148">
        <v>344744634</v>
      </c>
      <c r="G111" s="148">
        <v>344744634</v>
      </c>
      <c r="H111" s="148">
        <v>29463567</v>
      </c>
    </row>
    <row r="112" spans="1:8" ht="49.9" hidden="1" customHeight="1" outlineLevel="1" x14ac:dyDescent="0.25">
      <c r="A112" s="618"/>
      <c r="B112" s="600" t="s">
        <v>353</v>
      </c>
      <c r="C112" s="147" t="s">
        <v>361</v>
      </c>
      <c r="D112" s="148">
        <v>1277236000</v>
      </c>
      <c r="E112" s="149">
        <v>1277236000</v>
      </c>
      <c r="F112" s="149">
        <v>1137979000</v>
      </c>
      <c r="G112" s="149">
        <v>1137979000</v>
      </c>
      <c r="H112" s="149">
        <v>52827934</v>
      </c>
    </row>
    <row r="113" spans="1:8" ht="49.9" hidden="1" customHeight="1" outlineLevel="1" x14ac:dyDescent="0.25">
      <c r="A113" s="618"/>
      <c r="B113" s="600"/>
      <c r="C113" s="147" t="s">
        <v>362</v>
      </c>
      <c r="D113" s="148">
        <v>16912000</v>
      </c>
      <c r="E113" s="149">
        <v>16912000</v>
      </c>
      <c r="F113" s="149">
        <v>0</v>
      </c>
      <c r="G113" s="149">
        <v>0</v>
      </c>
      <c r="H113" s="149">
        <v>0</v>
      </c>
    </row>
    <row r="114" spans="1:8" ht="49.9" hidden="1" customHeight="1" outlineLevel="1" x14ac:dyDescent="0.25">
      <c r="A114" s="618"/>
      <c r="B114" s="142" t="s">
        <v>350</v>
      </c>
      <c r="C114" s="147" t="s">
        <v>360</v>
      </c>
      <c r="D114" s="148">
        <v>691670000</v>
      </c>
      <c r="E114" s="148">
        <v>528678000</v>
      </c>
      <c r="F114" s="149">
        <v>516118000</v>
      </c>
      <c r="G114" s="149">
        <v>516118000</v>
      </c>
      <c r="H114" s="149">
        <v>54300600</v>
      </c>
    </row>
    <row r="115" spans="1:8" ht="49.9" hidden="1" customHeight="1" outlineLevel="1" x14ac:dyDescent="0.25">
      <c r="A115" s="598" t="s">
        <v>139</v>
      </c>
      <c r="B115" s="142" t="s">
        <v>359</v>
      </c>
      <c r="C115" s="147" t="s">
        <v>360</v>
      </c>
      <c r="D115" s="166">
        <v>1564678000</v>
      </c>
      <c r="E115" s="167">
        <v>871335614</v>
      </c>
      <c r="F115" s="167">
        <v>664703857</v>
      </c>
      <c r="G115" s="167">
        <v>664703857</v>
      </c>
      <c r="H115" s="167">
        <v>118345946</v>
      </c>
    </row>
    <row r="116" spans="1:8" ht="49.9" hidden="1" customHeight="1" outlineLevel="1" x14ac:dyDescent="0.25">
      <c r="A116" s="599"/>
      <c r="B116" s="142" t="s">
        <v>351</v>
      </c>
      <c r="C116" s="147" t="s">
        <v>360</v>
      </c>
      <c r="D116" s="167">
        <v>1374057000</v>
      </c>
      <c r="E116" s="167">
        <v>1262994000</v>
      </c>
      <c r="F116" s="167">
        <v>1215729000</v>
      </c>
      <c r="G116" s="167">
        <v>1215729000</v>
      </c>
      <c r="H116" s="167">
        <v>211528368</v>
      </c>
    </row>
    <row r="117" spans="1:8" ht="49.9" hidden="1" customHeight="1" outlineLevel="1" x14ac:dyDescent="0.25">
      <c r="A117" s="599"/>
      <c r="B117" s="600" t="s">
        <v>357</v>
      </c>
      <c r="C117" s="147" t="s">
        <v>360</v>
      </c>
      <c r="D117" s="166">
        <v>2007824000</v>
      </c>
      <c r="E117" s="166">
        <v>1636091000</v>
      </c>
      <c r="F117" s="166">
        <v>1319795150</v>
      </c>
      <c r="G117" s="166">
        <v>1319795150</v>
      </c>
      <c r="H117" s="166">
        <v>267779765</v>
      </c>
    </row>
    <row r="118" spans="1:8" ht="49.9" hidden="1" customHeight="1" outlineLevel="1" x14ac:dyDescent="0.25">
      <c r="A118" s="599"/>
      <c r="B118" s="600"/>
      <c r="C118" s="147" t="s">
        <v>361</v>
      </c>
      <c r="D118" s="166">
        <v>792348000</v>
      </c>
      <c r="E118" s="166">
        <v>792348000</v>
      </c>
      <c r="F118" s="166">
        <v>622989000</v>
      </c>
      <c r="G118" s="166">
        <v>622989000</v>
      </c>
      <c r="H118" s="166">
        <v>107635600</v>
      </c>
    </row>
    <row r="119" spans="1:8" ht="49.9" hidden="1" customHeight="1" outlineLevel="1" x14ac:dyDescent="0.25">
      <c r="A119" s="599"/>
      <c r="B119" s="600"/>
      <c r="C119" s="147" t="s">
        <v>362</v>
      </c>
      <c r="D119" s="166">
        <v>173604000</v>
      </c>
      <c r="E119" s="166">
        <v>173604000</v>
      </c>
      <c r="F119" s="166">
        <v>0</v>
      </c>
      <c r="G119" s="166">
        <v>0</v>
      </c>
      <c r="H119" s="166">
        <v>0</v>
      </c>
    </row>
    <row r="120" spans="1:8" ht="49.9" hidden="1" customHeight="1" outlineLevel="1" x14ac:dyDescent="0.25">
      <c r="A120" s="599"/>
      <c r="B120" s="600" t="s">
        <v>355</v>
      </c>
      <c r="C120" s="147" t="s">
        <v>360</v>
      </c>
      <c r="D120" s="166">
        <v>1180481000</v>
      </c>
      <c r="E120" s="166">
        <v>1153575000</v>
      </c>
      <c r="F120" s="166">
        <v>1001575000</v>
      </c>
      <c r="G120" s="166">
        <v>1001575000</v>
      </c>
      <c r="H120" s="166">
        <v>243619999</v>
      </c>
    </row>
    <row r="121" spans="1:8" ht="49.9" hidden="1" customHeight="1" outlineLevel="1" x14ac:dyDescent="0.25">
      <c r="A121" s="599"/>
      <c r="B121" s="600"/>
      <c r="C121" s="147" t="s">
        <v>362</v>
      </c>
      <c r="D121" s="166">
        <v>300000000</v>
      </c>
      <c r="E121" s="166">
        <v>300000000</v>
      </c>
      <c r="F121" s="166">
        <v>0</v>
      </c>
      <c r="G121" s="166">
        <v>0</v>
      </c>
      <c r="H121" s="166">
        <v>0</v>
      </c>
    </row>
    <row r="122" spans="1:8" ht="49.9" hidden="1" customHeight="1" outlineLevel="1" x14ac:dyDescent="0.25">
      <c r="A122" s="599"/>
      <c r="B122" s="142" t="s">
        <v>358</v>
      </c>
      <c r="C122" s="147" t="s">
        <v>360</v>
      </c>
      <c r="D122" s="166">
        <v>689070000</v>
      </c>
      <c r="E122" s="166">
        <v>483246000</v>
      </c>
      <c r="F122" s="166">
        <v>358986578</v>
      </c>
      <c r="G122" s="166">
        <v>358986578</v>
      </c>
      <c r="H122" s="166">
        <v>71775801</v>
      </c>
    </row>
    <row r="123" spans="1:8" ht="49.9" hidden="1" customHeight="1" outlineLevel="1" x14ac:dyDescent="0.25">
      <c r="A123" s="599"/>
      <c r="B123" s="600" t="s">
        <v>353</v>
      </c>
      <c r="C123" s="147" t="s">
        <v>361</v>
      </c>
      <c r="D123" s="166">
        <v>1277236000</v>
      </c>
      <c r="E123" s="167">
        <v>1277236000</v>
      </c>
      <c r="F123" s="167">
        <v>1162045000</v>
      </c>
      <c r="G123" s="167">
        <v>1162045000</v>
      </c>
      <c r="H123" s="167">
        <v>164897501</v>
      </c>
    </row>
    <row r="124" spans="1:8" ht="49.9" hidden="1" customHeight="1" outlineLevel="1" x14ac:dyDescent="0.25">
      <c r="A124" s="599"/>
      <c r="B124" s="600"/>
      <c r="C124" s="147" t="s">
        <v>362</v>
      </c>
      <c r="D124" s="166">
        <v>16912000</v>
      </c>
      <c r="E124" s="167">
        <v>16912000</v>
      </c>
      <c r="F124" s="167">
        <v>0</v>
      </c>
      <c r="G124" s="167">
        <v>0</v>
      </c>
      <c r="H124" s="167">
        <v>0</v>
      </c>
    </row>
    <row r="125" spans="1:8" ht="49.9" hidden="1" customHeight="1" outlineLevel="1" x14ac:dyDescent="0.25">
      <c r="A125" s="605"/>
      <c r="B125" s="142" t="s">
        <v>350</v>
      </c>
      <c r="C125" s="147" t="s">
        <v>360</v>
      </c>
      <c r="D125" s="166">
        <v>691670000</v>
      </c>
      <c r="E125" s="166">
        <v>528678000</v>
      </c>
      <c r="F125" s="167">
        <v>516118000</v>
      </c>
      <c r="G125" s="167">
        <v>516118000</v>
      </c>
      <c r="H125" s="167">
        <v>104126700</v>
      </c>
    </row>
    <row r="126" spans="1:8" ht="49.9" hidden="1" customHeight="1" outlineLevel="1" x14ac:dyDescent="0.25">
      <c r="A126" s="598" t="s">
        <v>140</v>
      </c>
      <c r="B126" s="142" t="s">
        <v>359</v>
      </c>
      <c r="C126" s="147" t="s">
        <v>360</v>
      </c>
      <c r="D126" s="166">
        <v>1564678000</v>
      </c>
      <c r="E126" s="167">
        <v>871335614</v>
      </c>
      <c r="F126" s="167">
        <v>871181753</v>
      </c>
      <c r="G126" s="167">
        <v>871181753</v>
      </c>
      <c r="H126" s="167">
        <v>208815171</v>
      </c>
    </row>
    <row r="127" spans="1:8" ht="49.9" hidden="1" customHeight="1" outlineLevel="1" x14ac:dyDescent="0.25">
      <c r="A127" s="599"/>
      <c r="B127" s="142" t="s">
        <v>351</v>
      </c>
      <c r="C127" s="147" t="s">
        <v>360</v>
      </c>
      <c r="D127" s="167">
        <v>1374057000</v>
      </c>
      <c r="E127" s="167">
        <v>1262994000</v>
      </c>
      <c r="F127" s="167">
        <v>1215729000</v>
      </c>
      <c r="G127" s="167">
        <v>1215729000</v>
      </c>
      <c r="H127" s="167">
        <v>386596068</v>
      </c>
    </row>
    <row r="128" spans="1:8" ht="49.9" hidden="1" customHeight="1" outlineLevel="1" x14ac:dyDescent="0.25">
      <c r="A128" s="599"/>
      <c r="B128" s="600" t="s">
        <v>357</v>
      </c>
      <c r="C128" s="147" t="s">
        <v>360</v>
      </c>
      <c r="D128" s="166">
        <v>2007824000</v>
      </c>
      <c r="E128" s="166">
        <v>1636091000</v>
      </c>
      <c r="F128" s="167">
        <v>1569526714</v>
      </c>
      <c r="G128" s="167">
        <v>1569526714</v>
      </c>
      <c r="H128" s="167">
        <v>483936563</v>
      </c>
    </row>
    <row r="129" spans="1:8" ht="49.9" hidden="1" customHeight="1" outlineLevel="1" x14ac:dyDescent="0.25">
      <c r="A129" s="599"/>
      <c r="B129" s="600"/>
      <c r="C129" s="147" t="s">
        <v>361</v>
      </c>
      <c r="D129" s="166">
        <v>792348000</v>
      </c>
      <c r="E129" s="166">
        <v>792348000</v>
      </c>
      <c r="F129" s="167">
        <v>622989000</v>
      </c>
      <c r="G129" s="167">
        <v>622989000</v>
      </c>
      <c r="H129" s="167">
        <v>189768200</v>
      </c>
    </row>
    <row r="130" spans="1:8" ht="49.9" hidden="1" customHeight="1" outlineLevel="1" x14ac:dyDescent="0.25">
      <c r="A130" s="599"/>
      <c r="B130" s="600"/>
      <c r="C130" s="147" t="s">
        <v>362</v>
      </c>
      <c r="D130" s="166">
        <v>173604000</v>
      </c>
      <c r="E130" s="166">
        <v>173604000</v>
      </c>
      <c r="F130" s="167">
        <v>0</v>
      </c>
      <c r="G130" s="167">
        <v>0</v>
      </c>
      <c r="H130" s="167">
        <v>0</v>
      </c>
    </row>
    <row r="131" spans="1:8" ht="49.9" hidden="1" customHeight="1" outlineLevel="1" x14ac:dyDescent="0.25">
      <c r="A131" s="599"/>
      <c r="B131" s="600" t="s">
        <v>355</v>
      </c>
      <c r="C131" s="147" t="s">
        <v>360</v>
      </c>
      <c r="D131" s="166">
        <v>1180481000</v>
      </c>
      <c r="E131" s="166">
        <v>1153575000</v>
      </c>
      <c r="F131" s="167">
        <v>1151575000</v>
      </c>
      <c r="G131" s="167">
        <v>1151575000</v>
      </c>
      <c r="H131" s="167">
        <v>358671999</v>
      </c>
    </row>
    <row r="132" spans="1:8" ht="49.9" hidden="1" customHeight="1" outlineLevel="1" x14ac:dyDescent="0.25">
      <c r="A132" s="599"/>
      <c r="B132" s="600"/>
      <c r="C132" s="147" t="s">
        <v>362</v>
      </c>
      <c r="D132" s="166">
        <v>300000000</v>
      </c>
      <c r="E132" s="166">
        <v>300000000</v>
      </c>
      <c r="F132" s="167">
        <v>0</v>
      </c>
      <c r="G132" s="167">
        <v>0</v>
      </c>
      <c r="H132" s="167">
        <v>0</v>
      </c>
    </row>
    <row r="133" spans="1:8" ht="49.9" hidden="1" customHeight="1" outlineLevel="1" x14ac:dyDescent="0.25">
      <c r="A133" s="599"/>
      <c r="B133" s="142" t="s">
        <v>358</v>
      </c>
      <c r="C133" s="147" t="s">
        <v>360</v>
      </c>
      <c r="D133" s="166">
        <v>689070000</v>
      </c>
      <c r="E133" s="166">
        <v>483246000</v>
      </c>
      <c r="F133" s="167">
        <v>455766292</v>
      </c>
      <c r="G133" s="167">
        <v>455766292</v>
      </c>
      <c r="H133" s="167">
        <v>122385759</v>
      </c>
    </row>
    <row r="134" spans="1:8" ht="49.9" hidden="1" customHeight="1" outlineLevel="1" x14ac:dyDescent="0.25">
      <c r="A134" s="599"/>
      <c r="B134" s="600" t="s">
        <v>353</v>
      </c>
      <c r="C134" s="147" t="s">
        <v>361</v>
      </c>
      <c r="D134" s="166">
        <v>1277236000</v>
      </c>
      <c r="E134" s="167">
        <v>1277236000</v>
      </c>
      <c r="F134" s="167">
        <v>1162045000</v>
      </c>
      <c r="G134" s="167">
        <v>1162045000</v>
      </c>
      <c r="H134" s="167">
        <v>318285901</v>
      </c>
    </row>
    <row r="135" spans="1:8" ht="49.9" hidden="1" customHeight="1" outlineLevel="1" x14ac:dyDescent="0.25">
      <c r="A135" s="599"/>
      <c r="B135" s="600"/>
      <c r="C135" s="147" t="s">
        <v>362</v>
      </c>
      <c r="D135" s="166">
        <v>16912000</v>
      </c>
      <c r="E135" s="167">
        <v>16912000</v>
      </c>
      <c r="F135" s="167">
        <v>0</v>
      </c>
      <c r="G135" s="167">
        <v>0</v>
      </c>
      <c r="H135" s="167">
        <v>0</v>
      </c>
    </row>
    <row r="136" spans="1:8" ht="49.9" hidden="1" customHeight="1" outlineLevel="1" x14ac:dyDescent="0.25">
      <c r="A136" s="605"/>
      <c r="B136" s="142" t="s">
        <v>350</v>
      </c>
      <c r="C136" s="147" t="s">
        <v>360</v>
      </c>
      <c r="D136" s="166">
        <v>691670000</v>
      </c>
      <c r="E136" s="166">
        <v>528678000</v>
      </c>
      <c r="F136" s="167">
        <v>516118000</v>
      </c>
      <c r="G136" s="167">
        <v>516118000</v>
      </c>
      <c r="H136" s="167">
        <v>163380167</v>
      </c>
    </row>
    <row r="137" spans="1:8" ht="49.9" hidden="1" customHeight="1" outlineLevel="1" x14ac:dyDescent="0.25">
      <c r="A137" s="598" t="s">
        <v>128</v>
      </c>
      <c r="B137" s="142" t="s">
        <v>359</v>
      </c>
      <c r="C137" s="147" t="s">
        <v>360</v>
      </c>
      <c r="D137" s="166">
        <v>1564678000</v>
      </c>
      <c r="E137" s="167">
        <v>871335614</v>
      </c>
      <c r="F137" s="167">
        <v>871181753</v>
      </c>
      <c r="G137" s="167">
        <v>871181753</v>
      </c>
      <c r="H137" s="167">
        <v>283862781</v>
      </c>
    </row>
    <row r="138" spans="1:8" ht="49.9" hidden="1" customHeight="1" outlineLevel="1" x14ac:dyDescent="0.25">
      <c r="A138" s="599"/>
      <c r="B138" s="142" t="s">
        <v>351</v>
      </c>
      <c r="C138" s="147" t="s">
        <v>360</v>
      </c>
      <c r="D138" s="167">
        <v>1374057000</v>
      </c>
      <c r="E138" s="167">
        <v>1262994000</v>
      </c>
      <c r="F138" s="167">
        <v>1215729000</v>
      </c>
      <c r="G138" s="167">
        <v>1240619000</v>
      </c>
      <c r="H138" s="167">
        <v>533879068</v>
      </c>
    </row>
    <row r="139" spans="1:8" ht="49.9" hidden="1" customHeight="1" outlineLevel="1" x14ac:dyDescent="0.25">
      <c r="A139" s="599"/>
      <c r="B139" s="600" t="s">
        <v>357</v>
      </c>
      <c r="C139" s="147" t="s">
        <v>360</v>
      </c>
      <c r="D139" s="166">
        <v>2007824000</v>
      </c>
      <c r="E139" s="166">
        <v>1636091000</v>
      </c>
      <c r="F139" s="167">
        <v>1569526714</v>
      </c>
      <c r="G139" s="167">
        <v>1569526714</v>
      </c>
      <c r="H139" s="167">
        <v>619554113</v>
      </c>
    </row>
    <row r="140" spans="1:8" ht="49.9" hidden="1" customHeight="1" outlineLevel="1" x14ac:dyDescent="0.25">
      <c r="A140" s="599"/>
      <c r="B140" s="600"/>
      <c r="C140" s="147" t="s">
        <v>361</v>
      </c>
      <c r="D140" s="166">
        <v>792348000</v>
      </c>
      <c r="E140" s="166">
        <v>792348000</v>
      </c>
      <c r="F140" s="167">
        <v>622989000</v>
      </c>
      <c r="G140" s="167">
        <v>622989000</v>
      </c>
      <c r="H140" s="167">
        <v>262045200</v>
      </c>
    </row>
    <row r="141" spans="1:8" ht="49.9" hidden="1" customHeight="1" outlineLevel="1" x14ac:dyDescent="0.25">
      <c r="A141" s="599"/>
      <c r="B141" s="600"/>
      <c r="C141" s="147" t="s">
        <v>362</v>
      </c>
      <c r="D141" s="166">
        <v>173604000</v>
      </c>
      <c r="E141" s="166">
        <v>173604000</v>
      </c>
      <c r="F141" s="167">
        <v>0</v>
      </c>
      <c r="G141" s="167">
        <v>0</v>
      </c>
      <c r="H141" s="167">
        <v>0</v>
      </c>
    </row>
    <row r="142" spans="1:8" ht="49.9" hidden="1" customHeight="1" outlineLevel="1" x14ac:dyDescent="0.25">
      <c r="A142" s="599"/>
      <c r="B142" s="600" t="s">
        <v>355</v>
      </c>
      <c r="C142" s="147" t="s">
        <v>360</v>
      </c>
      <c r="D142" s="166">
        <v>1180481000</v>
      </c>
      <c r="E142" s="166">
        <v>1153575000</v>
      </c>
      <c r="F142" s="167">
        <v>1151575000</v>
      </c>
      <c r="G142" s="167">
        <v>1151575000</v>
      </c>
      <c r="H142" s="167">
        <v>470285999</v>
      </c>
    </row>
    <row r="143" spans="1:8" ht="49.9" hidden="1" customHeight="1" outlineLevel="1" x14ac:dyDescent="0.25">
      <c r="A143" s="599"/>
      <c r="B143" s="600"/>
      <c r="C143" s="147" t="s">
        <v>362</v>
      </c>
      <c r="D143" s="166">
        <v>300000000</v>
      </c>
      <c r="E143" s="166">
        <v>300000000</v>
      </c>
      <c r="F143" s="167">
        <v>0</v>
      </c>
      <c r="G143" s="167">
        <v>0</v>
      </c>
      <c r="H143" s="167">
        <v>0</v>
      </c>
    </row>
    <row r="144" spans="1:8" ht="49.9" hidden="1" customHeight="1" outlineLevel="1" x14ac:dyDescent="0.25">
      <c r="A144" s="599"/>
      <c r="B144" s="142" t="s">
        <v>358</v>
      </c>
      <c r="C144" s="147" t="s">
        <v>360</v>
      </c>
      <c r="D144" s="166">
        <v>689070000</v>
      </c>
      <c r="E144" s="166">
        <v>483246000</v>
      </c>
      <c r="F144" s="167">
        <v>455766292</v>
      </c>
      <c r="G144" s="167">
        <v>455766292</v>
      </c>
      <c r="H144" s="167">
        <v>175150260</v>
      </c>
    </row>
    <row r="145" spans="1:8" ht="49.9" hidden="1" customHeight="1" outlineLevel="1" x14ac:dyDescent="0.25">
      <c r="A145" s="599"/>
      <c r="B145" s="600" t="s">
        <v>353</v>
      </c>
      <c r="C145" s="147" t="s">
        <v>361</v>
      </c>
      <c r="D145" s="166">
        <v>1277236000</v>
      </c>
      <c r="E145" s="167">
        <v>1277236000</v>
      </c>
      <c r="F145" s="167">
        <v>1162045000</v>
      </c>
      <c r="G145" s="167">
        <v>1162045000</v>
      </c>
      <c r="H145" s="167">
        <v>452002301</v>
      </c>
    </row>
    <row r="146" spans="1:8" ht="49.9" hidden="1" customHeight="1" outlineLevel="1" x14ac:dyDescent="0.25">
      <c r="A146" s="599"/>
      <c r="B146" s="600"/>
      <c r="C146" s="147" t="s">
        <v>362</v>
      </c>
      <c r="D146" s="166">
        <v>16912000</v>
      </c>
      <c r="E146" s="167">
        <v>16912000</v>
      </c>
      <c r="F146" s="167">
        <v>0</v>
      </c>
      <c r="G146" s="167">
        <v>0</v>
      </c>
      <c r="H146" s="167">
        <v>0</v>
      </c>
    </row>
    <row r="147" spans="1:8" ht="49.9" hidden="1" customHeight="1" outlineLevel="1" x14ac:dyDescent="0.25">
      <c r="A147" s="605"/>
      <c r="B147" s="142" t="s">
        <v>350</v>
      </c>
      <c r="C147" s="147" t="s">
        <v>360</v>
      </c>
      <c r="D147" s="166">
        <v>691670000</v>
      </c>
      <c r="E147" s="166">
        <v>528678000</v>
      </c>
      <c r="F147" s="167">
        <v>516118000</v>
      </c>
      <c r="G147" s="167">
        <v>516118000</v>
      </c>
      <c r="H147" s="167">
        <v>222122167</v>
      </c>
    </row>
    <row r="148" spans="1:8" ht="51" hidden="1" customHeight="1" outlineLevel="1" x14ac:dyDescent="0.25">
      <c r="A148" s="598" t="s">
        <v>129</v>
      </c>
      <c r="B148" s="142" t="s">
        <v>359</v>
      </c>
      <c r="C148" s="147" t="s">
        <v>360</v>
      </c>
      <c r="D148" s="166">
        <v>1564678000</v>
      </c>
      <c r="E148" s="167">
        <v>1598678000</v>
      </c>
      <c r="F148" s="167">
        <v>871181753</v>
      </c>
      <c r="G148" s="167">
        <v>871181753</v>
      </c>
      <c r="H148" s="167">
        <v>437562435</v>
      </c>
    </row>
    <row r="149" spans="1:8" ht="51" hidden="1" customHeight="1" outlineLevel="1" x14ac:dyDescent="0.25">
      <c r="A149" s="599"/>
      <c r="B149" s="142" t="s">
        <v>351</v>
      </c>
      <c r="C149" s="147" t="s">
        <v>360</v>
      </c>
      <c r="D149" s="167">
        <v>1374057000</v>
      </c>
      <c r="E149" s="167">
        <v>1374057000</v>
      </c>
      <c r="F149" s="167">
        <v>1240619000</v>
      </c>
      <c r="G149" s="167">
        <v>1240619000</v>
      </c>
      <c r="H149" s="167">
        <v>676839068</v>
      </c>
    </row>
    <row r="150" spans="1:8" ht="51" hidden="1" customHeight="1" outlineLevel="1" x14ac:dyDescent="0.25">
      <c r="A150" s="599"/>
      <c r="B150" s="600" t="s">
        <v>357</v>
      </c>
      <c r="C150" s="147" t="s">
        <v>360</v>
      </c>
      <c r="D150" s="166">
        <v>2007824000</v>
      </c>
      <c r="E150" s="166">
        <v>1948824000</v>
      </c>
      <c r="F150" s="167">
        <v>1569526714</v>
      </c>
      <c r="G150" s="167">
        <v>1569526714</v>
      </c>
      <c r="H150" s="167">
        <v>753836463</v>
      </c>
    </row>
    <row r="151" spans="1:8" ht="51" hidden="1" customHeight="1" outlineLevel="1" x14ac:dyDescent="0.25">
      <c r="A151" s="599"/>
      <c r="B151" s="600"/>
      <c r="C151" s="147" t="s">
        <v>361</v>
      </c>
      <c r="D151" s="166">
        <v>792348000</v>
      </c>
      <c r="E151" s="166">
        <v>792348000</v>
      </c>
      <c r="F151" s="167">
        <v>622989000</v>
      </c>
      <c r="G151" s="167">
        <v>622989000</v>
      </c>
      <c r="H151" s="167">
        <v>334322200</v>
      </c>
    </row>
    <row r="152" spans="1:8" ht="51" hidden="1" customHeight="1" outlineLevel="1" x14ac:dyDescent="0.25">
      <c r="A152" s="599"/>
      <c r="B152" s="600"/>
      <c r="C152" s="147" t="s">
        <v>362</v>
      </c>
      <c r="D152" s="166">
        <v>173604000</v>
      </c>
      <c r="E152" s="166">
        <v>173604000</v>
      </c>
      <c r="F152" s="167">
        <v>0</v>
      </c>
      <c r="G152" s="167">
        <v>0</v>
      </c>
      <c r="H152" s="167">
        <v>0</v>
      </c>
    </row>
    <row r="153" spans="1:8" ht="51" hidden="1" customHeight="1" outlineLevel="1" x14ac:dyDescent="0.25">
      <c r="A153" s="599"/>
      <c r="B153" s="600" t="s">
        <v>355</v>
      </c>
      <c r="C153" s="147" t="s">
        <v>360</v>
      </c>
      <c r="D153" s="166">
        <v>1180481000</v>
      </c>
      <c r="E153" s="166">
        <v>1180481000</v>
      </c>
      <c r="F153" s="167">
        <v>1151575000</v>
      </c>
      <c r="G153" s="167">
        <v>1151575000</v>
      </c>
      <c r="H153" s="167">
        <v>581899999</v>
      </c>
    </row>
    <row r="154" spans="1:8" ht="51" hidden="1" customHeight="1" outlineLevel="1" x14ac:dyDescent="0.25">
      <c r="A154" s="599"/>
      <c r="B154" s="600"/>
      <c r="C154" s="147" t="s">
        <v>362</v>
      </c>
      <c r="D154" s="166">
        <v>300000000</v>
      </c>
      <c r="E154" s="166">
        <v>300000000</v>
      </c>
      <c r="F154" s="167">
        <v>0</v>
      </c>
      <c r="G154" s="167">
        <v>0</v>
      </c>
      <c r="H154" s="167">
        <v>0</v>
      </c>
    </row>
    <row r="155" spans="1:8" ht="51" hidden="1" customHeight="1" outlineLevel="1" x14ac:dyDescent="0.25">
      <c r="A155" s="599"/>
      <c r="B155" s="142" t="s">
        <v>358</v>
      </c>
      <c r="C155" s="147" t="s">
        <v>360</v>
      </c>
      <c r="D155" s="166">
        <v>689070000</v>
      </c>
      <c r="E155" s="166">
        <v>714070000</v>
      </c>
      <c r="F155" s="167">
        <v>492530292</v>
      </c>
      <c r="G155" s="167">
        <v>492530292</v>
      </c>
      <c r="H155" s="167">
        <v>214552860</v>
      </c>
    </row>
    <row r="156" spans="1:8" ht="51" hidden="1" customHeight="1" outlineLevel="1" x14ac:dyDescent="0.25">
      <c r="A156" s="599"/>
      <c r="B156" s="600" t="s">
        <v>353</v>
      </c>
      <c r="C156" s="147" t="s">
        <v>361</v>
      </c>
      <c r="D156" s="166">
        <v>1277236000</v>
      </c>
      <c r="E156" s="167">
        <v>1277236000</v>
      </c>
      <c r="F156" s="167">
        <v>1162045000</v>
      </c>
      <c r="G156" s="167">
        <v>1162045000</v>
      </c>
      <c r="H156" s="167">
        <v>586299268</v>
      </c>
    </row>
    <row r="157" spans="1:8" ht="51" hidden="1" customHeight="1" outlineLevel="1" x14ac:dyDescent="0.25">
      <c r="A157" s="599"/>
      <c r="B157" s="600"/>
      <c r="C157" s="147" t="s">
        <v>362</v>
      </c>
      <c r="D157" s="166">
        <v>16912000</v>
      </c>
      <c r="E157" s="167">
        <v>16912000</v>
      </c>
      <c r="F157" s="167">
        <v>0</v>
      </c>
      <c r="G157" s="167">
        <v>0</v>
      </c>
      <c r="H157" s="167">
        <v>0</v>
      </c>
    </row>
    <row r="158" spans="1:8" ht="51" hidden="1" customHeight="1" outlineLevel="1" x14ac:dyDescent="0.25">
      <c r="A158" s="605"/>
      <c r="B158" s="142" t="s">
        <v>350</v>
      </c>
      <c r="C158" s="147" t="s">
        <v>360</v>
      </c>
      <c r="D158" s="166">
        <v>691670000</v>
      </c>
      <c r="E158" s="166">
        <v>691670000</v>
      </c>
      <c r="F158" s="167">
        <v>516118000</v>
      </c>
      <c r="G158" s="167">
        <v>516118000</v>
      </c>
      <c r="H158" s="167">
        <v>280864167</v>
      </c>
    </row>
    <row r="159" spans="1:8" ht="49.9" hidden="1" customHeight="1" outlineLevel="1" x14ac:dyDescent="0.25">
      <c r="A159" s="598" t="s">
        <v>130</v>
      </c>
      <c r="B159" s="142" t="s">
        <v>359</v>
      </c>
      <c r="C159" s="147" t="s">
        <v>360</v>
      </c>
      <c r="D159" s="166">
        <v>1564678000</v>
      </c>
      <c r="E159" s="167">
        <v>1534521300</v>
      </c>
      <c r="F159" s="167">
        <v>898822087</v>
      </c>
      <c r="G159" s="167">
        <v>898822087</v>
      </c>
      <c r="H159" s="167">
        <v>529153691</v>
      </c>
    </row>
    <row r="160" spans="1:8" ht="49.9" hidden="1" customHeight="1" outlineLevel="1" x14ac:dyDescent="0.25">
      <c r="A160" s="599"/>
      <c r="B160" s="142" t="s">
        <v>351</v>
      </c>
      <c r="C160" s="147" t="s">
        <v>360</v>
      </c>
      <c r="D160" s="167">
        <v>1374057000</v>
      </c>
      <c r="E160" s="167">
        <v>1389997314</v>
      </c>
      <c r="F160" s="167">
        <v>1256382667</v>
      </c>
      <c r="G160" s="167">
        <v>1256382667</v>
      </c>
      <c r="H160" s="167">
        <v>826270468</v>
      </c>
    </row>
    <row r="161" spans="1:8" ht="49.9" hidden="1" customHeight="1" outlineLevel="1" x14ac:dyDescent="0.25">
      <c r="A161" s="599"/>
      <c r="B161" s="600" t="s">
        <v>357</v>
      </c>
      <c r="C161" s="147" t="s">
        <v>360</v>
      </c>
      <c r="D161" s="166">
        <v>2007824000</v>
      </c>
      <c r="E161" s="166">
        <v>1964948316</v>
      </c>
      <c r="F161" s="167">
        <v>1574880714</v>
      </c>
      <c r="G161" s="167">
        <v>1574880714</v>
      </c>
      <c r="H161" s="167">
        <v>928120702</v>
      </c>
    </row>
    <row r="162" spans="1:8" ht="49.9" hidden="1" customHeight="1" outlineLevel="1" x14ac:dyDescent="0.25">
      <c r="A162" s="599"/>
      <c r="B162" s="600"/>
      <c r="C162" s="147" t="s">
        <v>361</v>
      </c>
      <c r="D162" s="166">
        <v>792348000</v>
      </c>
      <c r="E162" s="166">
        <v>792348000</v>
      </c>
      <c r="F162" s="167">
        <v>630861834</v>
      </c>
      <c r="G162" s="167">
        <v>630861834</v>
      </c>
      <c r="H162" s="167">
        <v>403161200</v>
      </c>
    </row>
    <row r="163" spans="1:8" ht="49.9" hidden="1" customHeight="1" outlineLevel="1" x14ac:dyDescent="0.25">
      <c r="A163" s="599"/>
      <c r="B163" s="600"/>
      <c r="C163" s="147" t="s">
        <v>362</v>
      </c>
      <c r="D163" s="166">
        <v>173604000</v>
      </c>
      <c r="E163" s="166">
        <v>173604000</v>
      </c>
      <c r="F163" s="167">
        <v>0</v>
      </c>
      <c r="G163" s="167">
        <v>0</v>
      </c>
      <c r="H163" s="167">
        <v>0</v>
      </c>
    </row>
    <row r="164" spans="1:8" ht="49.9" hidden="1" customHeight="1" outlineLevel="1" x14ac:dyDescent="0.25">
      <c r="A164" s="599"/>
      <c r="B164" s="600" t="s">
        <v>355</v>
      </c>
      <c r="C164" s="147" t="s">
        <v>360</v>
      </c>
      <c r="D164" s="166">
        <v>1180481000</v>
      </c>
      <c r="E164" s="166">
        <v>1287481000</v>
      </c>
      <c r="F164" s="167">
        <v>1151575000</v>
      </c>
      <c r="G164" s="167">
        <v>1151575000</v>
      </c>
      <c r="H164" s="167">
        <v>693513999</v>
      </c>
    </row>
    <row r="165" spans="1:8" ht="49.9" hidden="1" customHeight="1" outlineLevel="1" x14ac:dyDescent="0.25">
      <c r="A165" s="599"/>
      <c r="B165" s="600"/>
      <c r="C165" s="147" t="s">
        <v>362</v>
      </c>
      <c r="D165" s="166">
        <v>300000000</v>
      </c>
      <c r="E165" s="166">
        <v>300000000</v>
      </c>
      <c r="F165" s="167">
        <v>0</v>
      </c>
      <c r="G165" s="167">
        <v>0</v>
      </c>
      <c r="H165" s="167">
        <v>0</v>
      </c>
    </row>
    <row r="166" spans="1:8" ht="49.9" hidden="1" customHeight="1" outlineLevel="1" x14ac:dyDescent="0.25">
      <c r="A166" s="599"/>
      <c r="B166" s="142" t="s">
        <v>358</v>
      </c>
      <c r="C166" s="147" t="s">
        <v>360</v>
      </c>
      <c r="D166" s="166">
        <v>689070000</v>
      </c>
      <c r="E166" s="166">
        <v>749390000</v>
      </c>
      <c r="F166" s="167">
        <v>492530292</v>
      </c>
      <c r="G166" s="167">
        <v>492530292</v>
      </c>
      <c r="H166" s="167">
        <v>254011027</v>
      </c>
    </row>
    <row r="167" spans="1:8" ht="49.9" hidden="1" customHeight="1" outlineLevel="1" x14ac:dyDescent="0.25">
      <c r="A167" s="599"/>
      <c r="B167" s="600" t="s">
        <v>353</v>
      </c>
      <c r="C167" s="147" t="s">
        <v>361</v>
      </c>
      <c r="D167" s="166">
        <v>1277236000</v>
      </c>
      <c r="E167" s="167">
        <v>1277236000</v>
      </c>
      <c r="F167" s="167">
        <v>1169728500</v>
      </c>
      <c r="G167" s="167">
        <v>1169728500</v>
      </c>
      <c r="H167" s="167">
        <v>730050201</v>
      </c>
    </row>
    <row r="168" spans="1:8" ht="49.9" hidden="1" customHeight="1" outlineLevel="1" x14ac:dyDescent="0.25">
      <c r="A168" s="599"/>
      <c r="B168" s="600"/>
      <c r="C168" s="147" t="s">
        <v>362</v>
      </c>
      <c r="D168" s="166">
        <v>16912000</v>
      </c>
      <c r="E168" s="167">
        <v>16912000</v>
      </c>
      <c r="F168" s="167">
        <v>16912000</v>
      </c>
      <c r="G168" s="167">
        <v>16912000</v>
      </c>
      <c r="H168" s="167">
        <v>0</v>
      </c>
    </row>
    <row r="169" spans="1:8" ht="49.9" hidden="1" customHeight="1" outlineLevel="1" x14ac:dyDescent="0.25">
      <c r="A169" s="605"/>
      <c r="B169" s="142" t="s">
        <v>350</v>
      </c>
      <c r="C169" s="147" t="s">
        <v>360</v>
      </c>
      <c r="D169" s="166">
        <v>691670000</v>
      </c>
      <c r="E169" s="166">
        <v>557942070</v>
      </c>
      <c r="F169" s="167">
        <v>516118000</v>
      </c>
      <c r="G169" s="167">
        <v>516118000</v>
      </c>
      <c r="H169" s="167">
        <v>339606167</v>
      </c>
    </row>
    <row r="170" spans="1:8" ht="49.9" hidden="1" customHeight="1" outlineLevel="1" x14ac:dyDescent="0.25">
      <c r="A170" s="598" t="s">
        <v>131</v>
      </c>
      <c r="B170" s="142" t="s">
        <v>359</v>
      </c>
      <c r="C170" s="147" t="s">
        <v>360</v>
      </c>
      <c r="D170" s="166">
        <v>1564678000</v>
      </c>
      <c r="E170" s="167">
        <v>1515081614</v>
      </c>
      <c r="F170" s="167">
        <v>1065487169</v>
      </c>
      <c r="G170" s="167">
        <v>1065487169</v>
      </c>
      <c r="H170" s="167">
        <v>616494200</v>
      </c>
    </row>
    <row r="171" spans="1:8" ht="49.9" hidden="1" customHeight="1" outlineLevel="1" x14ac:dyDescent="0.25">
      <c r="A171" s="599"/>
      <c r="B171" s="142"/>
      <c r="C171" s="147" t="s">
        <v>511</v>
      </c>
      <c r="D171" s="166">
        <v>0</v>
      </c>
      <c r="E171" s="167">
        <v>19439686</v>
      </c>
      <c r="F171" s="167">
        <v>19439686</v>
      </c>
      <c r="G171" s="167">
        <v>19439686</v>
      </c>
      <c r="H171" s="167">
        <v>0</v>
      </c>
    </row>
    <row r="172" spans="1:8" ht="49.9" hidden="1" customHeight="1" outlineLevel="1" x14ac:dyDescent="0.25">
      <c r="A172" s="599"/>
      <c r="B172" s="193" t="s">
        <v>351</v>
      </c>
      <c r="C172" s="147" t="s">
        <v>360</v>
      </c>
      <c r="D172" s="166">
        <v>1374057000</v>
      </c>
      <c r="E172" s="167">
        <v>1389997314</v>
      </c>
      <c r="F172" s="167">
        <v>1299130533</v>
      </c>
      <c r="G172" s="167">
        <v>1299130533</v>
      </c>
      <c r="H172" s="167">
        <v>974208468</v>
      </c>
    </row>
    <row r="173" spans="1:8" ht="49.9" hidden="1" customHeight="1" outlineLevel="1" x14ac:dyDescent="0.25">
      <c r="A173" s="599"/>
      <c r="B173" s="193" t="s">
        <v>357</v>
      </c>
      <c r="C173" s="147" t="s">
        <v>360</v>
      </c>
      <c r="D173" s="166">
        <v>2007824000</v>
      </c>
      <c r="E173" s="167">
        <v>1964948316</v>
      </c>
      <c r="F173" s="167">
        <v>1606130852</v>
      </c>
      <c r="G173" s="167">
        <v>1606130852</v>
      </c>
      <c r="H173" s="167">
        <v>1098028595</v>
      </c>
    </row>
    <row r="174" spans="1:8" ht="49.9" hidden="1" customHeight="1" outlineLevel="1" x14ac:dyDescent="0.25">
      <c r="A174" s="599"/>
      <c r="B174" s="193"/>
      <c r="C174" s="147" t="s">
        <v>361</v>
      </c>
      <c r="D174" s="166">
        <v>792348000</v>
      </c>
      <c r="E174" s="167">
        <v>792348000</v>
      </c>
      <c r="F174" s="167">
        <v>637164834</v>
      </c>
      <c r="G174" s="167">
        <v>637164834</v>
      </c>
      <c r="H174" s="167">
        <v>478876200</v>
      </c>
    </row>
    <row r="175" spans="1:8" ht="49.9" hidden="1" customHeight="1" outlineLevel="1" x14ac:dyDescent="0.25">
      <c r="A175" s="599"/>
      <c r="B175" s="193"/>
      <c r="C175" s="147" t="s">
        <v>362</v>
      </c>
      <c r="D175" s="166">
        <v>173604000</v>
      </c>
      <c r="E175" s="167">
        <v>173604000</v>
      </c>
      <c r="F175" s="167">
        <v>0.01</v>
      </c>
      <c r="G175" s="167">
        <v>0</v>
      </c>
      <c r="H175" s="167">
        <v>0</v>
      </c>
    </row>
    <row r="176" spans="1:8" ht="49.9" hidden="1" customHeight="1" outlineLevel="1" x14ac:dyDescent="0.25">
      <c r="A176" s="599"/>
      <c r="B176" s="193" t="s">
        <v>355</v>
      </c>
      <c r="C176" s="147" t="s">
        <v>360</v>
      </c>
      <c r="D176" s="166">
        <v>1180481000</v>
      </c>
      <c r="E176" s="167">
        <v>1287481000</v>
      </c>
      <c r="F176" s="167">
        <v>1163968667</v>
      </c>
      <c r="G176" s="167">
        <v>1163968667</v>
      </c>
      <c r="H176" s="167">
        <v>805127999</v>
      </c>
    </row>
    <row r="177" spans="1:9" ht="49.9" hidden="1" customHeight="1" outlineLevel="1" x14ac:dyDescent="0.25">
      <c r="A177" s="599"/>
      <c r="B177" s="193"/>
      <c r="C177" s="147" t="s">
        <v>362</v>
      </c>
      <c r="D177" s="166">
        <v>300000000</v>
      </c>
      <c r="E177" s="167">
        <v>300000000</v>
      </c>
      <c r="F177" s="167">
        <v>0.01</v>
      </c>
      <c r="G177" s="167">
        <v>0</v>
      </c>
      <c r="H177" s="167">
        <v>0</v>
      </c>
    </row>
    <row r="178" spans="1:9" ht="49.9" hidden="1" customHeight="1" outlineLevel="1" x14ac:dyDescent="0.25">
      <c r="A178" s="599"/>
      <c r="B178" s="142" t="s">
        <v>358</v>
      </c>
      <c r="C178" s="147" t="s">
        <v>360</v>
      </c>
      <c r="D178" s="166">
        <v>689070000</v>
      </c>
      <c r="E178" s="167">
        <v>749390000</v>
      </c>
      <c r="F178" s="167">
        <v>504299959</v>
      </c>
      <c r="G178" s="167">
        <v>504299959</v>
      </c>
      <c r="H178" s="167">
        <v>295252027</v>
      </c>
    </row>
    <row r="179" spans="1:9" ht="49.9" hidden="1" customHeight="1" outlineLevel="1" x14ac:dyDescent="0.25">
      <c r="A179" s="599"/>
      <c r="B179" s="193" t="s">
        <v>353</v>
      </c>
      <c r="C179" s="147" t="s">
        <v>361</v>
      </c>
      <c r="D179" s="166">
        <v>1277236000</v>
      </c>
      <c r="E179" s="167">
        <v>1277236000</v>
      </c>
      <c r="F179" s="167">
        <v>1185694167</v>
      </c>
      <c r="G179" s="167">
        <v>1185694167</v>
      </c>
      <c r="H179" s="167">
        <v>869117701</v>
      </c>
    </row>
    <row r="180" spans="1:9" ht="49.9" hidden="1" customHeight="1" outlineLevel="1" x14ac:dyDescent="0.25">
      <c r="A180" s="599"/>
      <c r="B180" s="193"/>
      <c r="C180" s="147" t="s">
        <v>362</v>
      </c>
      <c r="D180" s="166">
        <v>16912000</v>
      </c>
      <c r="E180" s="167">
        <v>16912000</v>
      </c>
      <c r="F180" s="167">
        <v>16912000</v>
      </c>
      <c r="G180" s="167">
        <v>16912000</v>
      </c>
      <c r="H180" s="167">
        <v>0</v>
      </c>
    </row>
    <row r="181" spans="1:9" ht="49.9" hidden="1" customHeight="1" outlineLevel="1" x14ac:dyDescent="0.25">
      <c r="A181" s="605"/>
      <c r="B181" s="142" t="s">
        <v>350</v>
      </c>
      <c r="C181" s="147" t="s">
        <v>360</v>
      </c>
      <c r="D181" s="166">
        <v>691670000</v>
      </c>
      <c r="E181" s="167">
        <v>557942070</v>
      </c>
      <c r="F181" s="167">
        <v>543649699</v>
      </c>
      <c r="G181" s="167">
        <v>543649699</v>
      </c>
      <c r="H181" s="167">
        <v>398348167</v>
      </c>
    </row>
    <row r="182" spans="1:9" ht="49.9" hidden="1" customHeight="1" outlineLevel="1" x14ac:dyDescent="0.25">
      <c r="A182" s="598" t="s">
        <v>132</v>
      </c>
      <c r="B182" s="611" t="s">
        <v>359</v>
      </c>
      <c r="C182" s="147" t="s">
        <v>360</v>
      </c>
      <c r="D182" s="166">
        <v>1564678000</v>
      </c>
      <c r="E182" s="167">
        <v>1515081614</v>
      </c>
      <c r="F182" s="167">
        <v>1291169211</v>
      </c>
      <c r="G182" s="167">
        <v>1291169211</v>
      </c>
      <c r="H182" s="167">
        <v>772252276</v>
      </c>
      <c r="I182" s="196"/>
    </row>
    <row r="183" spans="1:9" ht="49.9" hidden="1" customHeight="1" outlineLevel="1" x14ac:dyDescent="0.25">
      <c r="A183" s="599"/>
      <c r="B183" s="613"/>
      <c r="C183" s="147" t="s">
        <v>511</v>
      </c>
      <c r="D183" s="166">
        <v>0</v>
      </c>
      <c r="E183" s="167">
        <v>19439686</v>
      </c>
      <c r="F183" s="167">
        <v>19439686</v>
      </c>
      <c r="G183" s="167">
        <v>19439686</v>
      </c>
      <c r="H183" s="167">
        <v>19439686</v>
      </c>
      <c r="I183" s="196"/>
    </row>
    <row r="184" spans="1:9" ht="49.9" hidden="1" customHeight="1" outlineLevel="1" x14ac:dyDescent="0.25">
      <c r="A184" s="599"/>
      <c r="B184" s="142" t="s">
        <v>351</v>
      </c>
      <c r="C184" s="147" t="s">
        <v>360</v>
      </c>
      <c r="D184" s="167">
        <v>1374057000</v>
      </c>
      <c r="E184" s="167">
        <v>1389997314</v>
      </c>
      <c r="F184" s="167">
        <v>1325918200</v>
      </c>
      <c r="G184" s="167">
        <v>1325918200</v>
      </c>
      <c r="H184" s="167">
        <v>1113730468</v>
      </c>
      <c r="I184" s="196"/>
    </row>
    <row r="185" spans="1:9" ht="49.9" hidden="1" customHeight="1" outlineLevel="1" x14ac:dyDescent="0.25">
      <c r="A185" s="599"/>
      <c r="B185" s="600" t="s">
        <v>357</v>
      </c>
      <c r="C185" s="147" t="s">
        <v>360</v>
      </c>
      <c r="D185" s="166">
        <v>2007824000</v>
      </c>
      <c r="E185" s="166">
        <v>1964948316</v>
      </c>
      <c r="F185" s="167">
        <v>1674596499</v>
      </c>
      <c r="G185" s="167">
        <v>1674596499</v>
      </c>
      <c r="H185" s="167">
        <v>1218624163</v>
      </c>
      <c r="I185" s="196"/>
    </row>
    <row r="186" spans="1:9" ht="49.9" hidden="1" customHeight="1" outlineLevel="1" x14ac:dyDescent="0.25">
      <c r="A186" s="599"/>
      <c r="B186" s="600"/>
      <c r="C186" s="147" t="s">
        <v>361</v>
      </c>
      <c r="D186" s="166">
        <v>792348000</v>
      </c>
      <c r="E186" s="166">
        <v>792348000</v>
      </c>
      <c r="F186" s="167">
        <v>650343834</v>
      </c>
      <c r="G186" s="167">
        <v>650343834</v>
      </c>
      <c r="H186" s="167">
        <v>551153200</v>
      </c>
      <c r="I186" s="196"/>
    </row>
    <row r="187" spans="1:9" ht="49.9" hidden="1" customHeight="1" outlineLevel="1" x14ac:dyDescent="0.25">
      <c r="A187" s="599"/>
      <c r="B187" s="600"/>
      <c r="C187" s="147" t="s">
        <v>362</v>
      </c>
      <c r="D187" s="166">
        <v>173604000</v>
      </c>
      <c r="E187" s="166">
        <v>173604000</v>
      </c>
      <c r="F187" s="167">
        <v>0.01</v>
      </c>
      <c r="G187" s="167">
        <v>0</v>
      </c>
      <c r="H187" s="167">
        <v>0</v>
      </c>
      <c r="I187" s="196"/>
    </row>
    <row r="188" spans="1:9" ht="49.9" hidden="1" customHeight="1" outlineLevel="1" x14ac:dyDescent="0.25">
      <c r="A188" s="599"/>
      <c r="B188" s="600" t="s">
        <v>355</v>
      </c>
      <c r="C188" s="147" t="s">
        <v>360</v>
      </c>
      <c r="D188" s="166">
        <v>1180481000</v>
      </c>
      <c r="E188" s="166">
        <v>1287481000</v>
      </c>
      <c r="F188" s="167">
        <v>1219287834</v>
      </c>
      <c r="G188" s="167">
        <v>1219287834</v>
      </c>
      <c r="H188" s="167">
        <v>939227611</v>
      </c>
      <c r="I188" s="196"/>
    </row>
    <row r="189" spans="1:9" ht="49.9" hidden="1" customHeight="1" outlineLevel="1" x14ac:dyDescent="0.25">
      <c r="A189" s="599"/>
      <c r="B189" s="600"/>
      <c r="C189" s="147" t="s">
        <v>362</v>
      </c>
      <c r="D189" s="166">
        <v>300000000</v>
      </c>
      <c r="E189" s="166">
        <v>300000000</v>
      </c>
      <c r="F189" s="167">
        <v>300000000</v>
      </c>
      <c r="G189" s="167">
        <v>300000000</v>
      </c>
      <c r="H189" s="167">
        <v>0</v>
      </c>
      <c r="I189" s="196"/>
    </row>
    <row r="190" spans="1:9" ht="49.9" hidden="1" customHeight="1" outlineLevel="1" x14ac:dyDescent="0.25">
      <c r="A190" s="599"/>
      <c r="B190" s="142" t="s">
        <v>358</v>
      </c>
      <c r="C190" s="147" t="s">
        <v>360</v>
      </c>
      <c r="D190" s="166">
        <v>689070000</v>
      </c>
      <c r="E190" s="166">
        <v>749390000</v>
      </c>
      <c r="F190" s="167">
        <v>523621459</v>
      </c>
      <c r="G190" s="167">
        <v>523621459</v>
      </c>
      <c r="H190" s="167">
        <v>340211694</v>
      </c>
      <c r="I190" s="196"/>
    </row>
    <row r="191" spans="1:9" ht="49.9" hidden="1" customHeight="1" outlineLevel="1" x14ac:dyDescent="0.25">
      <c r="A191" s="599"/>
      <c r="B191" s="600" t="s">
        <v>353</v>
      </c>
      <c r="C191" s="147" t="s">
        <v>361</v>
      </c>
      <c r="D191" s="166">
        <v>1277236000</v>
      </c>
      <c r="E191" s="167">
        <v>1277236000</v>
      </c>
      <c r="F191" s="167">
        <v>1247264766</v>
      </c>
      <c r="G191" s="167">
        <v>1247264766</v>
      </c>
      <c r="H191" s="167">
        <v>990097101</v>
      </c>
      <c r="I191" s="196"/>
    </row>
    <row r="192" spans="1:9" ht="49.9" hidden="1" customHeight="1" outlineLevel="1" x14ac:dyDescent="0.25">
      <c r="A192" s="599"/>
      <c r="B192" s="600"/>
      <c r="C192" s="147" t="s">
        <v>362</v>
      </c>
      <c r="D192" s="166">
        <v>16912000</v>
      </c>
      <c r="E192" s="167">
        <v>16912000</v>
      </c>
      <c r="F192" s="167">
        <v>16912000</v>
      </c>
      <c r="G192" s="167">
        <v>16912000</v>
      </c>
      <c r="H192" s="167">
        <v>0</v>
      </c>
      <c r="I192" s="196"/>
    </row>
    <row r="193" spans="1:9" ht="49.9" hidden="1" customHeight="1" outlineLevel="1" x14ac:dyDescent="0.25">
      <c r="A193" s="605"/>
      <c r="B193" s="142" t="s">
        <v>350</v>
      </c>
      <c r="C193" s="147" t="s">
        <v>360</v>
      </c>
      <c r="D193" s="166">
        <v>691670000</v>
      </c>
      <c r="E193" s="166">
        <v>557942070</v>
      </c>
      <c r="F193" s="167">
        <v>556933365</v>
      </c>
      <c r="G193" s="167">
        <v>556933365</v>
      </c>
      <c r="H193" s="167">
        <v>457090167</v>
      </c>
      <c r="I193" s="196"/>
    </row>
    <row r="194" spans="1:9" ht="16.5" hidden="1" customHeight="1" outlineLevel="1" x14ac:dyDescent="0.25">
      <c r="A194" s="38" t="s">
        <v>133</v>
      </c>
      <c r="B194" s="251"/>
      <c r="C194" s="251"/>
      <c r="D194" s="251"/>
      <c r="E194" s="251"/>
      <c r="F194" s="251"/>
      <c r="G194" s="251"/>
      <c r="H194" s="251"/>
    </row>
    <row r="195" spans="1:9" ht="16.5" customHeight="1" collapsed="1" x14ac:dyDescent="0.25"/>
    <row r="196" spans="1:9" ht="24.75" customHeight="1" x14ac:dyDescent="0.25">
      <c r="A196" s="606" t="s">
        <v>141</v>
      </c>
      <c r="B196" s="606"/>
      <c r="C196" s="606"/>
      <c r="D196" s="606"/>
      <c r="E196" s="606"/>
      <c r="F196" s="606"/>
      <c r="G196" s="606"/>
      <c r="H196" s="606"/>
    </row>
    <row r="197" spans="1:9" ht="25.5" customHeight="1" x14ac:dyDescent="0.25">
      <c r="A197" s="140" t="s">
        <v>61</v>
      </c>
      <c r="B197" s="37" t="s">
        <v>121</v>
      </c>
      <c r="C197" s="37" t="s">
        <v>122</v>
      </c>
      <c r="D197" s="37" t="s">
        <v>123</v>
      </c>
      <c r="E197" s="37" t="s">
        <v>124</v>
      </c>
      <c r="F197" s="37" t="s">
        <v>125</v>
      </c>
      <c r="G197" s="37" t="s">
        <v>126</v>
      </c>
      <c r="H197" s="37" t="s">
        <v>127</v>
      </c>
    </row>
    <row r="198" spans="1:9" ht="49.9" customHeight="1" x14ac:dyDescent="0.25">
      <c r="A198" s="598" t="s">
        <v>135</v>
      </c>
      <c r="B198" s="213" t="s">
        <v>350</v>
      </c>
      <c r="C198" s="213" t="s">
        <v>360</v>
      </c>
      <c r="D198" s="167">
        <v>588053000</v>
      </c>
      <c r="E198" s="167">
        <v>588053000</v>
      </c>
      <c r="F198" s="167">
        <v>585413000</v>
      </c>
      <c r="G198" s="167">
        <v>585413000</v>
      </c>
      <c r="H198" s="167">
        <v>0</v>
      </c>
    </row>
    <row r="199" spans="1:9" ht="49.9" customHeight="1" x14ac:dyDescent="0.25">
      <c r="A199" s="599"/>
      <c r="B199" s="213" t="s">
        <v>351</v>
      </c>
      <c r="C199" s="213" t="s">
        <v>360</v>
      </c>
      <c r="D199" s="167">
        <v>6219259000</v>
      </c>
      <c r="E199" s="167">
        <v>6219259000</v>
      </c>
      <c r="F199" s="167">
        <v>1835843000</v>
      </c>
      <c r="G199" s="167">
        <v>1835843000</v>
      </c>
      <c r="H199" s="167">
        <v>0</v>
      </c>
    </row>
    <row r="200" spans="1:9" ht="49.9" customHeight="1" x14ac:dyDescent="0.25">
      <c r="A200" s="599"/>
      <c r="B200" s="213" t="s">
        <v>355</v>
      </c>
      <c r="C200" s="213" t="s">
        <v>360</v>
      </c>
      <c r="D200" s="167">
        <v>1617058000</v>
      </c>
      <c r="E200" s="167">
        <v>1617058000</v>
      </c>
      <c r="F200" s="167">
        <v>1097940000</v>
      </c>
      <c r="G200" s="167">
        <v>1097940000</v>
      </c>
      <c r="H200" s="167">
        <v>0</v>
      </c>
    </row>
    <row r="201" spans="1:9" ht="49.9" customHeight="1" x14ac:dyDescent="0.25">
      <c r="A201" s="599"/>
      <c r="B201" s="628" t="s">
        <v>579</v>
      </c>
      <c r="C201" s="213" t="s">
        <v>360</v>
      </c>
      <c r="D201" s="167">
        <v>154846000</v>
      </c>
      <c r="E201" s="167">
        <v>154846000</v>
      </c>
      <c r="F201" s="167">
        <v>154249000</v>
      </c>
      <c r="G201" s="167">
        <v>154249000</v>
      </c>
      <c r="H201" s="167">
        <v>0</v>
      </c>
    </row>
    <row r="202" spans="1:9" ht="49.9" customHeight="1" x14ac:dyDescent="0.25">
      <c r="A202" s="599"/>
      <c r="B202" s="629"/>
      <c r="C202" s="213" t="s">
        <v>361</v>
      </c>
      <c r="D202" s="167">
        <v>117874000</v>
      </c>
      <c r="E202" s="167">
        <v>117874000</v>
      </c>
      <c r="F202" s="167">
        <v>0</v>
      </c>
      <c r="G202" s="167">
        <v>0</v>
      </c>
      <c r="H202" s="167">
        <v>0</v>
      </c>
    </row>
    <row r="203" spans="1:9" ht="49.9" customHeight="1" x14ac:dyDescent="0.25">
      <c r="A203" s="599"/>
      <c r="B203" s="629"/>
      <c r="C203" s="213" t="s">
        <v>362</v>
      </c>
      <c r="D203" s="167">
        <v>1336995000</v>
      </c>
      <c r="E203" s="167">
        <v>1336995000</v>
      </c>
      <c r="F203" s="167">
        <v>1333569000</v>
      </c>
      <c r="G203" s="167">
        <v>1333569000</v>
      </c>
      <c r="H203" s="167">
        <v>0</v>
      </c>
    </row>
    <row r="204" spans="1:9" ht="49.9" customHeight="1" x14ac:dyDescent="0.25">
      <c r="A204" s="599"/>
      <c r="B204" s="630"/>
      <c r="C204" s="213" t="s">
        <v>580</v>
      </c>
      <c r="D204" s="167">
        <v>7278000</v>
      </c>
      <c r="E204" s="167">
        <v>7278000</v>
      </c>
      <c r="F204" s="167">
        <v>0</v>
      </c>
      <c r="G204" s="167">
        <v>0</v>
      </c>
      <c r="H204" s="167">
        <v>0</v>
      </c>
    </row>
    <row r="205" spans="1:9" ht="49.9" customHeight="1" x14ac:dyDescent="0.25">
      <c r="A205" s="599"/>
      <c r="B205" s="628" t="s">
        <v>357</v>
      </c>
      <c r="C205" s="213" t="s">
        <v>360</v>
      </c>
      <c r="D205" s="167">
        <v>679700000</v>
      </c>
      <c r="E205" s="167">
        <v>679700000</v>
      </c>
      <c r="F205" s="167">
        <v>652012000</v>
      </c>
      <c r="G205" s="167">
        <v>652012000</v>
      </c>
      <c r="H205" s="167">
        <v>0</v>
      </c>
    </row>
    <row r="206" spans="1:9" ht="49.9" customHeight="1" x14ac:dyDescent="0.25">
      <c r="A206" s="599"/>
      <c r="B206" s="629"/>
      <c r="C206" s="213" t="s">
        <v>361</v>
      </c>
      <c r="D206" s="167">
        <v>871058000</v>
      </c>
      <c r="E206" s="167">
        <v>871058000</v>
      </c>
      <c r="F206" s="167">
        <v>446731908</v>
      </c>
      <c r="G206" s="167">
        <v>446731908</v>
      </c>
      <c r="H206" s="167">
        <v>0</v>
      </c>
    </row>
    <row r="207" spans="1:9" ht="49.9" customHeight="1" x14ac:dyDescent="0.25">
      <c r="A207" s="599"/>
      <c r="B207" s="630"/>
      <c r="C207" s="213" t="s">
        <v>362</v>
      </c>
      <c r="D207" s="167">
        <v>1813479000</v>
      </c>
      <c r="E207" s="167">
        <v>1813479000</v>
      </c>
      <c r="F207" s="167">
        <v>1435895000</v>
      </c>
      <c r="G207" s="167">
        <v>1435895000</v>
      </c>
      <c r="H207" s="167">
        <v>0</v>
      </c>
    </row>
    <row r="208" spans="1:9" ht="49.9" customHeight="1" x14ac:dyDescent="0.25">
      <c r="A208" s="599"/>
      <c r="B208" s="213" t="s">
        <v>358</v>
      </c>
      <c r="C208" s="213" t="s">
        <v>360</v>
      </c>
      <c r="D208" s="167">
        <v>843232000</v>
      </c>
      <c r="E208" s="167">
        <v>843232000</v>
      </c>
      <c r="F208" s="167">
        <v>455184000</v>
      </c>
      <c r="G208" s="167">
        <v>455184000</v>
      </c>
      <c r="H208" s="167">
        <v>0</v>
      </c>
    </row>
    <row r="209" spans="1:8" ht="49.9" customHeight="1" x14ac:dyDescent="0.25">
      <c r="A209" s="599"/>
      <c r="B209" s="628" t="s">
        <v>359</v>
      </c>
      <c r="C209" s="213" t="s">
        <v>360</v>
      </c>
      <c r="D209" s="167">
        <v>2180745000</v>
      </c>
      <c r="E209" s="167">
        <v>2180745000</v>
      </c>
      <c r="F209" s="167">
        <v>665963000</v>
      </c>
      <c r="G209" s="167">
        <v>665963000</v>
      </c>
      <c r="H209" s="167">
        <v>0</v>
      </c>
    </row>
    <row r="210" spans="1:8" ht="49.9" customHeight="1" x14ac:dyDescent="0.25">
      <c r="A210" s="605"/>
      <c r="B210" s="630"/>
      <c r="C210" s="213" t="s">
        <v>361</v>
      </c>
      <c r="D210" s="167">
        <v>38864000</v>
      </c>
      <c r="E210" s="167">
        <v>38864000</v>
      </c>
      <c r="F210" s="167">
        <v>0</v>
      </c>
      <c r="G210" s="167">
        <v>0</v>
      </c>
      <c r="H210" s="167">
        <v>0</v>
      </c>
    </row>
    <row r="211" spans="1:8" ht="49.9" customHeight="1" x14ac:dyDescent="0.25">
      <c r="A211" s="598" t="s">
        <v>136</v>
      </c>
      <c r="B211" s="213" t="s">
        <v>350</v>
      </c>
      <c r="C211" s="213" t="s">
        <v>360</v>
      </c>
      <c r="D211" s="167">
        <v>588053000</v>
      </c>
      <c r="E211" s="167">
        <v>588053000</v>
      </c>
      <c r="F211" s="167">
        <v>585413000</v>
      </c>
      <c r="G211" s="167">
        <v>585413000</v>
      </c>
      <c r="H211" s="167">
        <v>0</v>
      </c>
    </row>
    <row r="212" spans="1:8" ht="49.9" customHeight="1" x14ac:dyDescent="0.25">
      <c r="A212" s="599"/>
      <c r="B212" s="213" t="s">
        <v>351</v>
      </c>
      <c r="C212" s="213" t="s">
        <v>360</v>
      </c>
      <c r="D212" s="167">
        <v>6219259000</v>
      </c>
      <c r="E212" s="167">
        <v>6219259000</v>
      </c>
      <c r="F212" s="167">
        <v>1835843000</v>
      </c>
      <c r="G212" s="167">
        <v>1835843000</v>
      </c>
      <c r="H212" s="167">
        <v>0</v>
      </c>
    </row>
    <row r="213" spans="1:8" ht="49.9" customHeight="1" x14ac:dyDescent="0.25">
      <c r="A213" s="599"/>
      <c r="B213" s="213" t="s">
        <v>355</v>
      </c>
      <c r="C213" s="213" t="s">
        <v>360</v>
      </c>
      <c r="D213" s="167">
        <v>1617058000</v>
      </c>
      <c r="E213" s="167">
        <v>1617058000</v>
      </c>
      <c r="F213" s="167">
        <v>1097940000</v>
      </c>
      <c r="G213" s="167">
        <v>1097940000</v>
      </c>
      <c r="H213" s="167">
        <v>0</v>
      </c>
    </row>
    <row r="214" spans="1:8" ht="49.9" customHeight="1" x14ac:dyDescent="0.25">
      <c r="A214" s="599"/>
      <c r="B214" s="628" t="s">
        <v>579</v>
      </c>
      <c r="C214" s="213" t="s">
        <v>360</v>
      </c>
      <c r="D214" s="167">
        <v>154846000</v>
      </c>
      <c r="E214" s="167">
        <v>154846000</v>
      </c>
      <c r="F214" s="167">
        <v>154249000</v>
      </c>
      <c r="G214" s="167">
        <v>154249000</v>
      </c>
      <c r="H214" s="167">
        <v>0</v>
      </c>
    </row>
    <row r="215" spans="1:8" ht="49.9" customHeight="1" x14ac:dyDescent="0.25">
      <c r="A215" s="599"/>
      <c r="B215" s="629"/>
      <c r="C215" s="213" t="s">
        <v>361</v>
      </c>
      <c r="D215" s="167">
        <v>117874000</v>
      </c>
      <c r="E215" s="167">
        <v>117874000</v>
      </c>
      <c r="F215" s="167">
        <v>0</v>
      </c>
      <c r="G215" s="167">
        <v>0</v>
      </c>
      <c r="H215" s="167">
        <v>0</v>
      </c>
    </row>
    <row r="216" spans="1:8" ht="49.9" customHeight="1" x14ac:dyDescent="0.25">
      <c r="A216" s="599"/>
      <c r="B216" s="629"/>
      <c r="C216" s="213" t="s">
        <v>362</v>
      </c>
      <c r="D216" s="167">
        <v>1336995000</v>
      </c>
      <c r="E216" s="167">
        <v>1336995000</v>
      </c>
      <c r="F216" s="167">
        <v>1333569000</v>
      </c>
      <c r="G216" s="167">
        <v>1333569000</v>
      </c>
      <c r="H216" s="167">
        <v>0</v>
      </c>
    </row>
    <row r="217" spans="1:8" ht="49.9" customHeight="1" x14ac:dyDescent="0.25">
      <c r="A217" s="599"/>
      <c r="B217" s="630"/>
      <c r="C217" s="213" t="s">
        <v>580</v>
      </c>
      <c r="D217" s="167">
        <v>7278000</v>
      </c>
      <c r="E217" s="167">
        <v>7278000</v>
      </c>
      <c r="F217" s="167">
        <v>0</v>
      </c>
      <c r="G217" s="167">
        <v>0</v>
      </c>
      <c r="H217" s="167">
        <v>0</v>
      </c>
    </row>
    <row r="218" spans="1:8" ht="49.9" customHeight="1" x14ac:dyDescent="0.25">
      <c r="A218" s="599"/>
      <c r="B218" s="628" t="s">
        <v>357</v>
      </c>
      <c r="C218" s="213" t="s">
        <v>360</v>
      </c>
      <c r="D218" s="167">
        <v>679700000</v>
      </c>
      <c r="E218" s="167">
        <v>679700000</v>
      </c>
      <c r="F218" s="167">
        <v>652012000</v>
      </c>
      <c r="G218" s="167">
        <v>652012000</v>
      </c>
      <c r="H218" s="167">
        <v>0</v>
      </c>
    </row>
    <row r="219" spans="1:8" ht="49.9" customHeight="1" x14ac:dyDescent="0.25">
      <c r="A219" s="599"/>
      <c r="B219" s="629"/>
      <c r="C219" s="213" t="s">
        <v>361</v>
      </c>
      <c r="D219" s="167">
        <v>871058000</v>
      </c>
      <c r="E219" s="167">
        <v>871058000</v>
      </c>
      <c r="F219" s="167">
        <v>446731908</v>
      </c>
      <c r="G219" s="167">
        <v>446731908</v>
      </c>
      <c r="H219" s="167">
        <v>0</v>
      </c>
    </row>
    <row r="220" spans="1:8" ht="49.9" customHeight="1" x14ac:dyDescent="0.25">
      <c r="A220" s="599"/>
      <c r="B220" s="630"/>
      <c r="C220" s="213" t="s">
        <v>362</v>
      </c>
      <c r="D220" s="167">
        <v>1813479000</v>
      </c>
      <c r="E220" s="167">
        <v>1813479000</v>
      </c>
      <c r="F220" s="167">
        <v>1435895000</v>
      </c>
      <c r="G220" s="167">
        <v>1435895000</v>
      </c>
      <c r="H220" s="167">
        <v>0</v>
      </c>
    </row>
    <row r="221" spans="1:8" ht="49.9" customHeight="1" x14ac:dyDescent="0.25">
      <c r="A221" s="599"/>
      <c r="B221" s="213" t="s">
        <v>358</v>
      </c>
      <c r="C221" s="213" t="s">
        <v>360</v>
      </c>
      <c r="D221" s="167">
        <v>843232000</v>
      </c>
      <c r="E221" s="167">
        <v>843232000</v>
      </c>
      <c r="F221" s="167">
        <v>455184000</v>
      </c>
      <c r="G221" s="167">
        <v>455184000</v>
      </c>
      <c r="H221" s="167">
        <v>0</v>
      </c>
    </row>
    <row r="222" spans="1:8" ht="49.9" customHeight="1" x14ac:dyDescent="0.25">
      <c r="A222" s="599"/>
      <c r="B222" s="628" t="s">
        <v>359</v>
      </c>
      <c r="C222" s="213" t="s">
        <v>360</v>
      </c>
      <c r="D222" s="167">
        <v>2180745000</v>
      </c>
      <c r="E222" s="167">
        <v>2180745000</v>
      </c>
      <c r="F222" s="167">
        <v>665963000</v>
      </c>
      <c r="G222" s="167">
        <v>665963000</v>
      </c>
      <c r="H222" s="167">
        <v>0</v>
      </c>
    </row>
    <row r="223" spans="1:8" ht="49.9" customHeight="1" x14ac:dyDescent="0.25">
      <c r="A223" s="605"/>
      <c r="B223" s="630"/>
      <c r="C223" s="213" t="s">
        <v>361</v>
      </c>
      <c r="D223" s="167">
        <v>38864000</v>
      </c>
      <c r="E223" s="167">
        <v>38864000</v>
      </c>
      <c r="F223" s="167">
        <v>0</v>
      </c>
      <c r="G223" s="167">
        <v>0</v>
      </c>
      <c r="H223" s="167">
        <v>0</v>
      </c>
    </row>
    <row r="224" spans="1:8" ht="49.9" customHeight="1" x14ac:dyDescent="0.25">
      <c r="A224" s="598" t="s">
        <v>137</v>
      </c>
      <c r="B224" s="227" t="s">
        <v>350</v>
      </c>
      <c r="C224" s="213" t="s">
        <v>360</v>
      </c>
      <c r="D224" s="167">
        <v>588053000</v>
      </c>
      <c r="E224" s="167">
        <v>588053000</v>
      </c>
      <c r="F224" s="167">
        <v>585413000</v>
      </c>
      <c r="G224" s="167">
        <v>585413000</v>
      </c>
      <c r="H224" s="167">
        <v>57329600</v>
      </c>
    </row>
    <row r="225" spans="1:8" ht="49.9" customHeight="1" x14ac:dyDescent="0.25">
      <c r="A225" s="599"/>
      <c r="B225" s="227" t="s">
        <v>351</v>
      </c>
      <c r="C225" s="213" t="s">
        <v>360</v>
      </c>
      <c r="D225" s="167">
        <v>6219259000</v>
      </c>
      <c r="E225" s="167">
        <v>6219259000</v>
      </c>
      <c r="F225" s="167">
        <v>1835843000</v>
      </c>
      <c r="G225" s="167">
        <v>1835843000</v>
      </c>
      <c r="H225" s="167">
        <v>172264769</v>
      </c>
    </row>
    <row r="226" spans="1:8" ht="49.9" customHeight="1" x14ac:dyDescent="0.25">
      <c r="A226" s="599"/>
      <c r="B226" s="227" t="s">
        <v>355</v>
      </c>
      <c r="C226" s="213" t="s">
        <v>360</v>
      </c>
      <c r="D226" s="167">
        <v>1617058000</v>
      </c>
      <c r="E226" s="167">
        <v>1617058000</v>
      </c>
      <c r="F226" s="167">
        <v>1097940000</v>
      </c>
      <c r="G226" s="167">
        <v>1097940000</v>
      </c>
      <c r="H226" s="167">
        <v>140877801</v>
      </c>
    </row>
    <row r="227" spans="1:8" ht="49.9" customHeight="1" x14ac:dyDescent="0.25">
      <c r="A227" s="599"/>
      <c r="B227" s="602" t="s">
        <v>579</v>
      </c>
      <c r="C227" s="213" t="s">
        <v>360</v>
      </c>
      <c r="D227" s="167">
        <v>154846000</v>
      </c>
      <c r="E227" s="167">
        <v>154846000</v>
      </c>
      <c r="F227" s="167">
        <v>154249000</v>
      </c>
      <c r="G227" s="167">
        <v>154249000</v>
      </c>
      <c r="H227" s="167">
        <v>10089534</v>
      </c>
    </row>
    <row r="228" spans="1:8" ht="49.9" customHeight="1" x14ac:dyDescent="0.25">
      <c r="A228" s="599"/>
      <c r="B228" s="603"/>
      <c r="C228" s="213" t="s">
        <v>361</v>
      </c>
      <c r="D228" s="167">
        <v>117874000</v>
      </c>
      <c r="E228" s="167">
        <v>117874000</v>
      </c>
      <c r="F228" s="167">
        <v>0</v>
      </c>
      <c r="G228" s="167">
        <v>0</v>
      </c>
      <c r="H228" s="167">
        <v>0</v>
      </c>
    </row>
    <row r="229" spans="1:8" ht="49.9" customHeight="1" x14ac:dyDescent="0.25">
      <c r="A229" s="599"/>
      <c r="B229" s="603"/>
      <c r="C229" s="213" t="s">
        <v>362</v>
      </c>
      <c r="D229" s="167">
        <v>1336995000</v>
      </c>
      <c r="E229" s="167">
        <v>1336995000</v>
      </c>
      <c r="F229" s="167">
        <v>1333569000</v>
      </c>
      <c r="G229" s="167">
        <v>1333569000</v>
      </c>
      <c r="H229" s="167">
        <v>124189766</v>
      </c>
    </row>
    <row r="230" spans="1:8" ht="49.9" customHeight="1" x14ac:dyDescent="0.25">
      <c r="A230" s="599"/>
      <c r="B230" s="604"/>
      <c r="C230" s="213" t="s">
        <v>580</v>
      </c>
      <c r="D230" s="167">
        <v>7278000</v>
      </c>
      <c r="E230" s="167">
        <v>7278000</v>
      </c>
      <c r="F230" s="167">
        <v>0</v>
      </c>
      <c r="G230" s="167">
        <v>0</v>
      </c>
      <c r="H230" s="167">
        <v>0</v>
      </c>
    </row>
    <row r="231" spans="1:8" ht="49.9" customHeight="1" x14ac:dyDescent="0.25">
      <c r="A231" s="599"/>
      <c r="B231" s="602" t="s">
        <v>357</v>
      </c>
      <c r="C231" s="213" t="s">
        <v>360</v>
      </c>
      <c r="D231" s="167">
        <v>679700000</v>
      </c>
      <c r="E231" s="167">
        <v>679700000</v>
      </c>
      <c r="F231" s="167">
        <v>672552000</v>
      </c>
      <c r="G231" s="167">
        <v>672552000</v>
      </c>
      <c r="H231" s="167">
        <v>74474333</v>
      </c>
    </row>
    <row r="232" spans="1:8" ht="49.9" customHeight="1" x14ac:dyDescent="0.25">
      <c r="A232" s="599"/>
      <c r="B232" s="603"/>
      <c r="C232" s="213" t="s">
        <v>361</v>
      </c>
      <c r="D232" s="167">
        <v>871058000</v>
      </c>
      <c r="E232" s="167">
        <v>871058000</v>
      </c>
      <c r="F232" s="167">
        <v>446731908</v>
      </c>
      <c r="G232" s="167">
        <v>446731908</v>
      </c>
      <c r="H232" s="167">
        <v>0</v>
      </c>
    </row>
    <row r="233" spans="1:8" ht="49.9" customHeight="1" x14ac:dyDescent="0.25">
      <c r="A233" s="599"/>
      <c r="B233" s="604"/>
      <c r="C233" s="213" t="s">
        <v>362</v>
      </c>
      <c r="D233" s="167">
        <v>1813479000</v>
      </c>
      <c r="E233" s="167">
        <v>1813479000</v>
      </c>
      <c r="F233" s="167">
        <v>1465355000</v>
      </c>
      <c r="G233" s="167">
        <v>1465355000</v>
      </c>
      <c r="H233" s="167">
        <v>146878736</v>
      </c>
    </row>
    <row r="234" spans="1:8" ht="49.9" customHeight="1" x14ac:dyDescent="0.25">
      <c r="A234" s="599"/>
      <c r="B234" s="227" t="s">
        <v>358</v>
      </c>
      <c r="C234" s="213" t="s">
        <v>360</v>
      </c>
      <c r="D234" s="167">
        <v>843232000</v>
      </c>
      <c r="E234" s="167">
        <v>843232000</v>
      </c>
      <c r="F234" s="167">
        <v>455184000</v>
      </c>
      <c r="G234" s="167">
        <v>455184000</v>
      </c>
      <c r="H234" s="167">
        <v>52318753</v>
      </c>
    </row>
    <row r="235" spans="1:8" ht="49.9" customHeight="1" x14ac:dyDescent="0.25">
      <c r="A235" s="599"/>
      <c r="B235" s="602" t="s">
        <v>359</v>
      </c>
      <c r="C235" s="213" t="s">
        <v>360</v>
      </c>
      <c r="D235" s="167">
        <v>2180745000</v>
      </c>
      <c r="E235" s="167">
        <v>2180745000</v>
      </c>
      <c r="F235" s="167">
        <v>665963000</v>
      </c>
      <c r="G235" s="167">
        <v>665963000</v>
      </c>
      <c r="H235" s="167">
        <v>83226899</v>
      </c>
    </row>
    <row r="236" spans="1:8" ht="49.9" customHeight="1" x14ac:dyDescent="0.25">
      <c r="A236" s="599"/>
      <c r="B236" s="604"/>
      <c r="C236" s="213" t="s">
        <v>361</v>
      </c>
      <c r="D236" s="167">
        <v>38864000</v>
      </c>
      <c r="E236" s="167">
        <v>38864000</v>
      </c>
      <c r="F236" s="167">
        <v>0</v>
      </c>
      <c r="G236" s="167">
        <v>0</v>
      </c>
      <c r="H236" s="167">
        <v>0</v>
      </c>
    </row>
    <row r="237" spans="1:8" ht="49.9" customHeight="1" x14ac:dyDescent="0.25">
      <c r="A237" s="598" t="s">
        <v>138</v>
      </c>
      <c r="B237" s="227" t="s">
        <v>350</v>
      </c>
      <c r="C237" s="213" t="s">
        <v>360</v>
      </c>
      <c r="D237" s="167">
        <v>588053000</v>
      </c>
      <c r="E237" s="167">
        <v>588053000</v>
      </c>
      <c r="F237" s="167">
        <v>585413000</v>
      </c>
      <c r="G237" s="167">
        <v>585413000</v>
      </c>
      <c r="H237" s="167">
        <v>132502600</v>
      </c>
    </row>
    <row r="238" spans="1:8" ht="49.9" customHeight="1" x14ac:dyDescent="0.25">
      <c r="A238" s="599"/>
      <c r="B238" s="227" t="s">
        <v>351</v>
      </c>
      <c r="C238" s="213" t="s">
        <v>360</v>
      </c>
      <c r="D238" s="167">
        <v>6219259000</v>
      </c>
      <c r="E238" s="167">
        <v>6219259000</v>
      </c>
      <c r="F238" s="167">
        <v>1835843000</v>
      </c>
      <c r="G238" s="167">
        <v>1835843000</v>
      </c>
      <c r="H238" s="167">
        <v>403253902</v>
      </c>
    </row>
    <row r="239" spans="1:8" ht="49.9" customHeight="1" x14ac:dyDescent="0.25">
      <c r="A239" s="599"/>
      <c r="B239" s="227" t="s">
        <v>355</v>
      </c>
      <c r="C239" s="213" t="s">
        <v>360</v>
      </c>
      <c r="D239" s="167">
        <v>1617058000</v>
      </c>
      <c r="E239" s="167">
        <v>1617058000</v>
      </c>
      <c r="F239" s="167">
        <v>1097940000</v>
      </c>
      <c r="G239" s="167">
        <v>1097940000</v>
      </c>
      <c r="H239" s="167">
        <v>261783801</v>
      </c>
    </row>
    <row r="240" spans="1:8" ht="49.9" customHeight="1" x14ac:dyDescent="0.25">
      <c r="A240" s="599"/>
      <c r="B240" s="602" t="s">
        <v>579</v>
      </c>
      <c r="C240" s="213" t="s">
        <v>360</v>
      </c>
      <c r="D240" s="167">
        <v>154846000</v>
      </c>
      <c r="E240" s="167">
        <v>154846000</v>
      </c>
      <c r="F240" s="167">
        <v>154249000</v>
      </c>
      <c r="G240" s="167">
        <v>154249000</v>
      </c>
      <c r="H240" s="167">
        <v>25611201</v>
      </c>
    </row>
    <row r="241" spans="1:8" ht="49.9" customHeight="1" x14ac:dyDescent="0.25">
      <c r="A241" s="599"/>
      <c r="B241" s="603"/>
      <c r="C241" s="213" t="s">
        <v>361</v>
      </c>
      <c r="D241" s="167">
        <v>117874000</v>
      </c>
      <c r="E241" s="167">
        <v>117874000</v>
      </c>
      <c r="F241" s="167">
        <v>0</v>
      </c>
      <c r="G241" s="167">
        <v>0</v>
      </c>
      <c r="H241" s="167">
        <v>0</v>
      </c>
    </row>
    <row r="242" spans="1:8" ht="49.9" customHeight="1" x14ac:dyDescent="0.25">
      <c r="A242" s="599"/>
      <c r="B242" s="603"/>
      <c r="C242" s="213" t="s">
        <v>362</v>
      </c>
      <c r="D242" s="167">
        <v>1336995000</v>
      </c>
      <c r="E242" s="167">
        <v>1336995000</v>
      </c>
      <c r="F242" s="167">
        <v>1333569000</v>
      </c>
      <c r="G242" s="167">
        <v>1333569000</v>
      </c>
      <c r="H242" s="167">
        <v>247675799</v>
      </c>
    </row>
    <row r="243" spans="1:8" ht="49.9" customHeight="1" x14ac:dyDescent="0.25">
      <c r="A243" s="599"/>
      <c r="B243" s="604"/>
      <c r="C243" s="213" t="s">
        <v>580</v>
      </c>
      <c r="D243" s="167">
        <v>7278000</v>
      </c>
      <c r="E243" s="167">
        <v>7278000</v>
      </c>
      <c r="F243" s="167">
        <v>0</v>
      </c>
      <c r="G243" s="167">
        <v>0</v>
      </c>
      <c r="H243" s="167">
        <v>0</v>
      </c>
    </row>
    <row r="244" spans="1:8" ht="49.9" customHeight="1" x14ac:dyDescent="0.25">
      <c r="A244" s="599"/>
      <c r="B244" s="602" t="s">
        <v>357</v>
      </c>
      <c r="C244" s="213" t="s">
        <v>360</v>
      </c>
      <c r="D244" s="167">
        <v>679700000</v>
      </c>
      <c r="E244" s="167">
        <v>679700000</v>
      </c>
      <c r="F244" s="167">
        <v>672552000</v>
      </c>
      <c r="G244" s="167">
        <v>672552000</v>
      </c>
      <c r="H244" s="167">
        <v>158789933</v>
      </c>
    </row>
    <row r="245" spans="1:8" ht="49.9" customHeight="1" x14ac:dyDescent="0.25">
      <c r="A245" s="599"/>
      <c r="B245" s="603"/>
      <c r="C245" s="213" t="s">
        <v>361</v>
      </c>
      <c r="D245" s="167">
        <v>871058000</v>
      </c>
      <c r="E245" s="167">
        <v>871058000</v>
      </c>
      <c r="F245" s="167">
        <v>446731908</v>
      </c>
      <c r="G245" s="167">
        <v>446731908</v>
      </c>
      <c r="H245" s="167">
        <v>123169561</v>
      </c>
    </row>
    <row r="246" spans="1:8" ht="49.9" customHeight="1" x14ac:dyDescent="0.25">
      <c r="A246" s="599"/>
      <c r="B246" s="604"/>
      <c r="C246" s="213" t="s">
        <v>362</v>
      </c>
      <c r="D246" s="167">
        <v>1813479000</v>
      </c>
      <c r="E246" s="167">
        <v>1813479000</v>
      </c>
      <c r="F246" s="167">
        <v>1465355000</v>
      </c>
      <c r="G246" s="167">
        <v>1465355000</v>
      </c>
      <c r="H246" s="167">
        <v>312673403</v>
      </c>
    </row>
    <row r="247" spans="1:8" ht="49.9" customHeight="1" x14ac:dyDescent="0.25">
      <c r="A247" s="599"/>
      <c r="B247" s="227" t="s">
        <v>358</v>
      </c>
      <c r="C247" s="213" t="s">
        <v>360</v>
      </c>
      <c r="D247" s="167">
        <v>843232000</v>
      </c>
      <c r="E247" s="167">
        <v>843232000</v>
      </c>
      <c r="F247" s="167">
        <v>455184000</v>
      </c>
      <c r="G247" s="167">
        <v>455184000</v>
      </c>
      <c r="H247" s="167">
        <v>103810390</v>
      </c>
    </row>
    <row r="248" spans="1:8" ht="49.9" customHeight="1" x14ac:dyDescent="0.25">
      <c r="A248" s="599"/>
      <c r="B248" s="602" t="s">
        <v>359</v>
      </c>
      <c r="C248" s="213" t="s">
        <v>360</v>
      </c>
      <c r="D248" s="167">
        <v>2180745000</v>
      </c>
      <c r="E248" s="167">
        <v>2180745000</v>
      </c>
      <c r="F248" s="167">
        <v>665963000</v>
      </c>
      <c r="G248" s="167">
        <v>665963000</v>
      </c>
      <c r="H248" s="167">
        <v>162085899</v>
      </c>
    </row>
    <row r="249" spans="1:8" ht="49.9" customHeight="1" x14ac:dyDescent="0.25">
      <c r="A249" s="605"/>
      <c r="B249" s="604"/>
      <c r="C249" s="213" t="s">
        <v>361</v>
      </c>
      <c r="D249" s="167">
        <v>38864000</v>
      </c>
      <c r="E249" s="167">
        <v>38864000</v>
      </c>
      <c r="F249" s="167">
        <v>0</v>
      </c>
      <c r="G249" s="167">
        <v>0</v>
      </c>
      <c r="H249" s="167">
        <v>0</v>
      </c>
    </row>
    <row r="250" spans="1:8" ht="49.9" customHeight="1" x14ac:dyDescent="0.25">
      <c r="A250" s="598" t="s">
        <v>139</v>
      </c>
      <c r="B250" s="227" t="s">
        <v>350</v>
      </c>
      <c r="C250" s="213" t="s">
        <v>360</v>
      </c>
      <c r="D250" s="167">
        <v>725040000</v>
      </c>
      <c r="E250" s="167">
        <v>585413000</v>
      </c>
      <c r="F250" s="167">
        <v>585413000</v>
      </c>
      <c r="G250" s="167">
        <v>200085600</v>
      </c>
      <c r="H250" s="231">
        <f>G250/E250</f>
        <v>0.3417853720364939</v>
      </c>
    </row>
    <row r="251" spans="1:8" ht="49.9" customHeight="1" x14ac:dyDescent="0.25">
      <c r="A251" s="599"/>
      <c r="B251" s="227" t="s">
        <v>351</v>
      </c>
      <c r="C251" s="213" t="s">
        <v>360</v>
      </c>
      <c r="D251" s="167">
        <v>6130432000</v>
      </c>
      <c r="E251" s="167">
        <v>1835843000</v>
      </c>
      <c r="F251" s="167">
        <v>1835843000</v>
      </c>
      <c r="G251" s="167">
        <v>603571835</v>
      </c>
      <c r="H251" s="231">
        <f t="shared" ref="H251:H319" si="1">G251/E251</f>
        <v>0.32877094337587692</v>
      </c>
    </row>
    <row r="252" spans="1:8" ht="49.9" customHeight="1" x14ac:dyDescent="0.25">
      <c r="A252" s="599"/>
      <c r="B252" s="227" t="s">
        <v>355</v>
      </c>
      <c r="C252" s="213" t="s">
        <v>360</v>
      </c>
      <c r="D252" s="167">
        <v>1617058000</v>
      </c>
      <c r="E252" s="167">
        <v>1097940000</v>
      </c>
      <c r="F252" s="167">
        <v>1097940000</v>
      </c>
      <c r="G252" s="167">
        <v>382689801</v>
      </c>
      <c r="H252" s="231">
        <f t="shared" si="1"/>
        <v>0.34855256298158371</v>
      </c>
    </row>
    <row r="253" spans="1:8" ht="49.9" customHeight="1" x14ac:dyDescent="0.25">
      <c r="A253" s="599"/>
      <c r="B253" s="602" t="s">
        <v>579</v>
      </c>
      <c r="C253" s="213" t="s">
        <v>360</v>
      </c>
      <c r="D253" s="167">
        <v>106686000</v>
      </c>
      <c r="E253" s="167">
        <v>154249000</v>
      </c>
      <c r="F253" s="167">
        <v>154249000</v>
      </c>
      <c r="G253" s="167">
        <v>41032534</v>
      </c>
      <c r="H253" s="231">
        <f t="shared" si="1"/>
        <v>0.2660149109556626</v>
      </c>
    </row>
    <row r="254" spans="1:8" ht="49.9" customHeight="1" x14ac:dyDescent="0.25">
      <c r="A254" s="599"/>
      <c r="B254" s="603"/>
      <c r="C254" s="213" t="s">
        <v>361</v>
      </c>
      <c r="D254" s="167">
        <v>117874000</v>
      </c>
      <c r="E254" s="167">
        <v>0</v>
      </c>
      <c r="F254" s="167">
        <v>0</v>
      </c>
      <c r="G254" s="167">
        <v>0</v>
      </c>
      <c r="H254" s="231" t="e">
        <f t="shared" si="1"/>
        <v>#DIV/0!</v>
      </c>
    </row>
    <row r="255" spans="1:8" ht="49.9" customHeight="1" x14ac:dyDescent="0.25">
      <c r="A255" s="599"/>
      <c r="B255" s="603"/>
      <c r="C255" s="213" t="s">
        <v>362</v>
      </c>
      <c r="D255" s="167">
        <v>1336995000</v>
      </c>
      <c r="E255" s="167">
        <v>1333569000</v>
      </c>
      <c r="F255" s="167">
        <v>1333569000</v>
      </c>
      <c r="G255" s="167">
        <v>395210799</v>
      </c>
      <c r="H255" s="231"/>
    </row>
    <row r="256" spans="1:8" ht="49.9" customHeight="1" x14ac:dyDescent="0.25">
      <c r="A256" s="599"/>
      <c r="B256" s="604"/>
      <c r="C256" s="213" t="s">
        <v>580</v>
      </c>
      <c r="D256" s="167">
        <v>7278000</v>
      </c>
      <c r="E256" s="167">
        <v>0</v>
      </c>
      <c r="F256" s="167">
        <v>0</v>
      </c>
      <c r="G256" s="167">
        <v>0</v>
      </c>
      <c r="H256" s="231"/>
    </row>
    <row r="257" spans="1:8" ht="49.9" customHeight="1" x14ac:dyDescent="0.25">
      <c r="A257" s="599"/>
      <c r="B257" s="602" t="s">
        <v>357</v>
      </c>
      <c r="C257" s="213" t="s">
        <v>360</v>
      </c>
      <c r="D257" s="167">
        <v>679700000</v>
      </c>
      <c r="E257" s="167">
        <v>672552000</v>
      </c>
      <c r="F257" s="167">
        <v>672552000</v>
      </c>
      <c r="G257" s="167">
        <v>236876433</v>
      </c>
      <c r="H257" s="231">
        <f t="shared" si="1"/>
        <v>0.35220538040181282</v>
      </c>
    </row>
    <row r="258" spans="1:8" ht="49.9" customHeight="1" x14ac:dyDescent="0.25">
      <c r="A258" s="599"/>
      <c r="B258" s="603"/>
      <c r="C258" s="213" t="s">
        <v>361</v>
      </c>
      <c r="D258" s="167">
        <v>871058000</v>
      </c>
      <c r="E258" s="167">
        <v>609327908</v>
      </c>
      <c r="F258" s="167">
        <v>609327908</v>
      </c>
      <c r="G258" s="167">
        <v>187142289</v>
      </c>
      <c r="H258" s="231">
        <f t="shared" si="1"/>
        <v>0.30712902944862325</v>
      </c>
    </row>
    <row r="259" spans="1:8" ht="49.9" customHeight="1" x14ac:dyDescent="0.25">
      <c r="A259" s="599"/>
      <c r="B259" s="604"/>
      <c r="C259" s="213" t="s">
        <v>362</v>
      </c>
      <c r="D259" s="167">
        <v>1813479000</v>
      </c>
      <c r="E259" s="167">
        <v>1465355000</v>
      </c>
      <c r="F259" s="167">
        <v>1465355000</v>
      </c>
      <c r="G259" s="167">
        <v>469167736</v>
      </c>
      <c r="H259" s="231">
        <f t="shared" si="1"/>
        <v>0.32017342964674089</v>
      </c>
    </row>
    <row r="260" spans="1:8" ht="49.9" customHeight="1" x14ac:dyDescent="0.25">
      <c r="A260" s="599"/>
      <c r="B260" s="227" t="s">
        <v>358</v>
      </c>
      <c r="C260" s="213" t="s">
        <v>360</v>
      </c>
      <c r="D260" s="167">
        <v>843232000</v>
      </c>
      <c r="E260" s="167">
        <v>455184000</v>
      </c>
      <c r="F260" s="167">
        <v>455184000</v>
      </c>
      <c r="G260" s="167">
        <v>154210209</v>
      </c>
      <c r="H260" s="231">
        <f t="shared" si="1"/>
        <v>0.33878653247917323</v>
      </c>
    </row>
    <row r="261" spans="1:8" ht="49.9" customHeight="1" x14ac:dyDescent="0.25">
      <c r="A261" s="599"/>
      <c r="B261" s="602" t="s">
        <v>359</v>
      </c>
      <c r="C261" s="213" t="s">
        <v>360</v>
      </c>
      <c r="D261" s="167">
        <v>2180745000</v>
      </c>
      <c r="E261" s="167">
        <v>777963000</v>
      </c>
      <c r="F261" s="167">
        <v>777963000</v>
      </c>
      <c r="G261" s="167">
        <v>237031899</v>
      </c>
      <c r="H261" s="231">
        <f t="shared" si="1"/>
        <v>0.30468274069589429</v>
      </c>
    </row>
    <row r="262" spans="1:8" ht="49.9" customHeight="1" x14ac:dyDescent="0.25">
      <c r="A262" s="599"/>
      <c r="B262" s="604"/>
      <c r="C262" s="213" t="s">
        <v>361</v>
      </c>
      <c r="D262" s="167">
        <v>38864000</v>
      </c>
      <c r="E262" s="167">
        <v>0</v>
      </c>
      <c r="F262" s="167">
        <v>0</v>
      </c>
      <c r="G262" s="167">
        <v>0</v>
      </c>
      <c r="H262" s="231" t="e">
        <f t="shared" si="1"/>
        <v>#DIV/0!</v>
      </c>
    </row>
    <row r="263" spans="1:8" ht="49.9" customHeight="1" x14ac:dyDescent="0.25">
      <c r="A263" s="598" t="s">
        <v>140</v>
      </c>
      <c r="B263" s="227" t="s">
        <v>350</v>
      </c>
      <c r="C263" s="167">
        <v>725040000</v>
      </c>
      <c r="D263" s="167">
        <v>588053000</v>
      </c>
      <c r="E263" s="167">
        <v>585413000</v>
      </c>
      <c r="F263" s="167">
        <v>585413000</v>
      </c>
      <c r="G263" s="167">
        <v>267668600</v>
      </c>
      <c r="H263" s="231">
        <f>G263/E263</f>
        <v>0.45723036557097296</v>
      </c>
    </row>
    <row r="264" spans="1:8" ht="49.9" customHeight="1" x14ac:dyDescent="0.25">
      <c r="A264" s="599"/>
      <c r="B264" s="227" t="s">
        <v>351</v>
      </c>
      <c r="C264" s="167">
        <v>6130432000</v>
      </c>
      <c r="D264" s="167">
        <v>6219259000</v>
      </c>
      <c r="E264" s="167">
        <v>1925843000</v>
      </c>
      <c r="F264" s="167">
        <v>1925843000</v>
      </c>
      <c r="G264" s="167">
        <v>824517835</v>
      </c>
      <c r="H264" s="231">
        <f>G264/E264</f>
        <v>0.42813346415050446</v>
      </c>
    </row>
    <row r="265" spans="1:8" ht="49.9" customHeight="1" x14ac:dyDescent="0.25">
      <c r="A265" s="599"/>
      <c r="B265" s="227" t="s">
        <v>355</v>
      </c>
      <c r="C265" s="167">
        <v>1617058000</v>
      </c>
      <c r="D265" s="167">
        <v>1617058000</v>
      </c>
      <c r="E265" s="167">
        <v>1097940000</v>
      </c>
      <c r="F265" s="167">
        <v>1097940000</v>
      </c>
      <c r="G265" s="167">
        <v>511732868</v>
      </c>
      <c r="H265" s="231">
        <f t="shared" ref="H265:H269" si="2">G265/E265</f>
        <v>0.46608454742517808</v>
      </c>
    </row>
    <row r="266" spans="1:8" ht="49.9" customHeight="1" x14ac:dyDescent="0.25">
      <c r="A266" s="599"/>
      <c r="B266" s="602" t="s">
        <v>579</v>
      </c>
      <c r="C266" s="167">
        <f>154846000-48160000</f>
        <v>106686000</v>
      </c>
      <c r="D266" s="167">
        <v>161894000</v>
      </c>
      <c r="E266" s="167">
        <v>160269000</v>
      </c>
      <c r="F266" s="167">
        <v>160269000</v>
      </c>
      <c r="G266" s="167">
        <v>61771534</v>
      </c>
      <c r="H266" s="231">
        <f t="shared" si="2"/>
        <v>0.38542409324323479</v>
      </c>
    </row>
    <row r="267" spans="1:8" ht="49.9" customHeight="1" x14ac:dyDescent="0.25">
      <c r="A267" s="599"/>
      <c r="B267" s="603"/>
      <c r="C267" s="167">
        <v>117874000</v>
      </c>
      <c r="D267" s="167">
        <v>117874000</v>
      </c>
      <c r="E267" s="167">
        <v>0</v>
      </c>
      <c r="F267" s="167">
        <v>0</v>
      </c>
      <c r="G267" s="167">
        <v>0</v>
      </c>
      <c r="H267" s="231" t="e">
        <f t="shared" si="2"/>
        <v>#DIV/0!</v>
      </c>
    </row>
    <row r="268" spans="1:8" ht="49.9" customHeight="1" x14ac:dyDescent="0.25">
      <c r="A268" s="599"/>
      <c r="B268" s="603"/>
      <c r="C268" s="167">
        <v>1336995000</v>
      </c>
      <c r="D268" s="167">
        <v>1336995000</v>
      </c>
      <c r="E268" s="167">
        <v>1333569000</v>
      </c>
      <c r="F268" s="167">
        <v>1333569000</v>
      </c>
      <c r="G268" s="167">
        <v>533977699</v>
      </c>
      <c r="H268" s="231">
        <f t="shared" si="2"/>
        <v>0.40041250134038808</v>
      </c>
    </row>
    <row r="269" spans="1:8" ht="49.9" customHeight="1" x14ac:dyDescent="0.25">
      <c r="A269" s="599"/>
      <c r="B269" s="604"/>
      <c r="C269" s="167">
        <v>7278000</v>
      </c>
      <c r="D269" s="167">
        <v>7278000</v>
      </c>
      <c r="E269" s="167">
        <v>0</v>
      </c>
      <c r="F269" s="167">
        <v>0</v>
      </c>
      <c r="G269" s="167">
        <v>0</v>
      </c>
      <c r="H269" s="231" t="e">
        <f t="shared" si="2"/>
        <v>#DIV/0!</v>
      </c>
    </row>
    <row r="270" spans="1:8" ht="49.9" customHeight="1" x14ac:dyDescent="0.25">
      <c r="A270" s="599"/>
      <c r="B270" s="602" t="s">
        <v>357</v>
      </c>
      <c r="C270" s="167">
        <v>679700000</v>
      </c>
      <c r="D270" s="167">
        <v>679700000</v>
      </c>
      <c r="E270" s="167">
        <v>672552000</v>
      </c>
      <c r="F270" s="167">
        <v>672552000</v>
      </c>
      <c r="G270" s="167">
        <v>311290133</v>
      </c>
      <c r="H270" s="231">
        <f t="shared" ref="H270" si="3">G270/E270</f>
        <v>0.46284916705325385</v>
      </c>
    </row>
    <row r="271" spans="1:8" ht="49.9" customHeight="1" x14ac:dyDescent="0.25">
      <c r="A271" s="599"/>
      <c r="B271" s="603"/>
      <c r="C271" s="167">
        <v>871058000</v>
      </c>
      <c r="D271" s="167">
        <v>871058000</v>
      </c>
      <c r="E271" s="167">
        <v>609327908</v>
      </c>
      <c r="F271" s="167">
        <v>609327908</v>
      </c>
      <c r="G271" s="167">
        <v>225508462</v>
      </c>
      <c r="H271" s="231">
        <f t="shared" ref="H271:H274" si="4">G271/E271</f>
        <v>0.3700937689530544</v>
      </c>
    </row>
    <row r="272" spans="1:8" ht="49.9" customHeight="1" x14ac:dyDescent="0.25">
      <c r="A272" s="599"/>
      <c r="B272" s="604"/>
      <c r="C272" s="167">
        <v>1813479000</v>
      </c>
      <c r="D272" s="167">
        <v>1813479000</v>
      </c>
      <c r="E272" s="167">
        <v>1465355000</v>
      </c>
      <c r="F272" s="167">
        <v>1465355000</v>
      </c>
      <c r="G272" s="167">
        <v>625427069</v>
      </c>
      <c r="H272" s="231">
        <f t="shared" si="4"/>
        <v>0.42680925031818229</v>
      </c>
    </row>
    <row r="273" spans="1:8" ht="49.9" customHeight="1" x14ac:dyDescent="0.25">
      <c r="A273" s="599"/>
      <c r="B273" s="227" t="s">
        <v>358</v>
      </c>
      <c r="C273" s="167">
        <v>843232000</v>
      </c>
      <c r="D273" s="167">
        <v>836184000</v>
      </c>
      <c r="E273" s="167">
        <v>455184000</v>
      </c>
      <c r="F273" s="167">
        <v>455184000</v>
      </c>
      <c r="G273" s="167">
        <v>204357028</v>
      </c>
      <c r="H273" s="231">
        <f>G273/E273</f>
        <v>0.44895476993918942</v>
      </c>
    </row>
    <row r="274" spans="1:8" ht="49.9" customHeight="1" x14ac:dyDescent="0.25">
      <c r="A274" s="599"/>
      <c r="B274" s="602" t="s">
        <v>359</v>
      </c>
      <c r="C274" s="167">
        <v>2180745000</v>
      </c>
      <c r="D274" s="167">
        <v>2180745000</v>
      </c>
      <c r="E274" s="167">
        <v>815963000</v>
      </c>
      <c r="F274" s="167">
        <v>815963000</v>
      </c>
      <c r="G274" s="167">
        <v>311977899</v>
      </c>
      <c r="H274" s="231">
        <f t="shared" si="4"/>
        <v>0.38234319325753741</v>
      </c>
    </row>
    <row r="275" spans="1:8" ht="49.9" customHeight="1" x14ac:dyDescent="0.25">
      <c r="A275" s="599"/>
      <c r="B275" s="604"/>
      <c r="C275" s="167">
        <v>38864000</v>
      </c>
      <c r="D275" s="167">
        <v>38864000</v>
      </c>
      <c r="E275" s="167">
        <v>0</v>
      </c>
      <c r="F275" s="167">
        <v>0</v>
      </c>
      <c r="G275" s="167">
        <v>0</v>
      </c>
      <c r="H275" s="231" t="e">
        <f>G275/E275</f>
        <v>#DIV/0!</v>
      </c>
    </row>
    <row r="276" spans="1:8" ht="49.9" customHeight="1" x14ac:dyDescent="0.25">
      <c r="A276" s="598" t="s">
        <v>128</v>
      </c>
      <c r="B276" s="602" t="s">
        <v>359</v>
      </c>
      <c r="C276" s="213" t="s">
        <v>360</v>
      </c>
      <c r="D276" s="167">
        <v>2180745000</v>
      </c>
      <c r="E276" s="167">
        <v>2180745000</v>
      </c>
      <c r="F276" s="167">
        <v>815963000</v>
      </c>
      <c r="G276" s="167">
        <v>815963000</v>
      </c>
      <c r="H276" s="167">
        <v>311977899</v>
      </c>
    </row>
    <row r="277" spans="1:8" ht="49.9" customHeight="1" x14ac:dyDescent="0.25">
      <c r="A277" s="599"/>
      <c r="B277" s="604"/>
      <c r="C277" s="213" t="s">
        <v>361</v>
      </c>
      <c r="D277" s="167">
        <v>38864000</v>
      </c>
      <c r="E277" s="167">
        <v>38864000</v>
      </c>
      <c r="F277" s="167">
        <v>0</v>
      </c>
      <c r="G277" s="167">
        <v>0</v>
      </c>
      <c r="H277" s="167">
        <v>0</v>
      </c>
    </row>
    <row r="278" spans="1:8" ht="49.9" customHeight="1" x14ac:dyDescent="0.25">
      <c r="A278" s="599"/>
      <c r="B278" s="227" t="s">
        <v>350</v>
      </c>
      <c r="C278" s="213" t="s">
        <v>360</v>
      </c>
      <c r="D278" s="167">
        <v>725040000</v>
      </c>
      <c r="E278" s="167">
        <v>588053000</v>
      </c>
      <c r="F278" s="167">
        <v>585413000</v>
      </c>
      <c r="G278" s="167">
        <v>585413000</v>
      </c>
      <c r="H278" s="167">
        <v>335251600</v>
      </c>
    </row>
    <row r="279" spans="1:8" ht="49.9" customHeight="1" x14ac:dyDescent="0.25">
      <c r="A279" s="599"/>
      <c r="B279" s="227" t="s">
        <v>351</v>
      </c>
      <c r="C279" s="213" t="s">
        <v>360</v>
      </c>
      <c r="D279" s="167">
        <v>6130432000</v>
      </c>
      <c r="E279" s="167">
        <v>6219259000</v>
      </c>
      <c r="F279" s="167">
        <v>1879977000</v>
      </c>
      <c r="G279" s="167">
        <v>1879977000</v>
      </c>
      <c r="H279" s="167">
        <v>1020807835</v>
      </c>
    </row>
    <row r="280" spans="1:8" ht="49.9" customHeight="1" x14ac:dyDescent="0.25">
      <c r="A280" s="599"/>
      <c r="B280" s="227" t="s">
        <v>355</v>
      </c>
      <c r="C280" s="213" t="s">
        <v>360</v>
      </c>
      <c r="D280" s="167">
        <v>1617058000</v>
      </c>
      <c r="E280" s="167">
        <v>1617058000</v>
      </c>
      <c r="F280" s="167">
        <v>1097940000</v>
      </c>
      <c r="G280" s="167">
        <v>1097940000</v>
      </c>
      <c r="H280" s="167">
        <v>632638868</v>
      </c>
    </row>
    <row r="281" spans="1:8" ht="49.9" customHeight="1" x14ac:dyDescent="0.25">
      <c r="A281" s="599"/>
      <c r="B281" s="602" t="s">
        <v>579</v>
      </c>
      <c r="C281" s="213" t="s">
        <v>360</v>
      </c>
      <c r="D281" s="167">
        <f>154846000-48160000</f>
        <v>106686000</v>
      </c>
      <c r="E281" s="167">
        <v>161894000</v>
      </c>
      <c r="F281" s="167">
        <v>160269000</v>
      </c>
      <c r="G281" s="167">
        <v>160269000</v>
      </c>
      <c r="H281" s="167">
        <v>71373534</v>
      </c>
    </row>
    <row r="282" spans="1:8" ht="49.9" customHeight="1" x14ac:dyDescent="0.25">
      <c r="A282" s="599"/>
      <c r="B282" s="603"/>
      <c r="C282" s="213" t="s">
        <v>361</v>
      </c>
      <c r="D282" s="167">
        <v>117874000</v>
      </c>
      <c r="E282" s="167">
        <v>117874000</v>
      </c>
      <c r="F282" s="167">
        <v>0</v>
      </c>
      <c r="G282" s="167">
        <v>0</v>
      </c>
      <c r="H282" s="167">
        <v>0</v>
      </c>
    </row>
    <row r="283" spans="1:8" ht="49.9" customHeight="1" x14ac:dyDescent="0.25">
      <c r="A283" s="599"/>
      <c r="B283" s="603"/>
      <c r="C283" s="213" t="s">
        <v>362</v>
      </c>
      <c r="D283" s="167">
        <v>1336995000</v>
      </c>
      <c r="E283" s="167">
        <v>1336995000</v>
      </c>
      <c r="F283" s="167">
        <v>1333569000</v>
      </c>
      <c r="G283" s="167">
        <v>1333569000</v>
      </c>
      <c r="H283" s="167">
        <v>673619699</v>
      </c>
    </row>
    <row r="284" spans="1:8" ht="49.9" customHeight="1" x14ac:dyDescent="0.25">
      <c r="A284" s="599"/>
      <c r="B284" s="604"/>
      <c r="C284" s="213" t="s">
        <v>580</v>
      </c>
      <c r="D284" s="167">
        <v>7278000</v>
      </c>
      <c r="E284" s="167">
        <v>7278000</v>
      </c>
      <c r="F284" s="167">
        <v>0</v>
      </c>
      <c r="G284" s="167">
        <v>0</v>
      </c>
      <c r="H284" s="167">
        <v>0</v>
      </c>
    </row>
    <row r="285" spans="1:8" ht="49.9" customHeight="1" x14ac:dyDescent="0.25">
      <c r="A285" s="599"/>
      <c r="B285" s="602" t="s">
        <v>357</v>
      </c>
      <c r="C285" s="213" t="s">
        <v>360</v>
      </c>
      <c r="D285" s="167">
        <v>679700000</v>
      </c>
      <c r="E285" s="167">
        <v>679700000</v>
      </c>
      <c r="F285" s="167">
        <v>672552000</v>
      </c>
      <c r="G285" s="167">
        <v>672552000</v>
      </c>
      <c r="H285" s="167">
        <v>384191933</v>
      </c>
    </row>
    <row r="286" spans="1:8" ht="49.9" customHeight="1" x14ac:dyDescent="0.25">
      <c r="A286" s="599"/>
      <c r="B286" s="603"/>
      <c r="C286" s="213" t="s">
        <v>361</v>
      </c>
      <c r="D286" s="167">
        <v>871058000</v>
      </c>
      <c r="E286" s="167">
        <v>871058000</v>
      </c>
      <c r="F286" s="167">
        <v>609327908</v>
      </c>
      <c r="G286" s="167">
        <v>609327908</v>
      </c>
      <c r="H286" s="167">
        <v>225508462</v>
      </c>
    </row>
    <row r="287" spans="1:8" ht="49.9" customHeight="1" x14ac:dyDescent="0.25">
      <c r="A287" s="599"/>
      <c r="B287" s="604"/>
      <c r="C287" s="213" t="s">
        <v>362</v>
      </c>
      <c r="D287" s="167">
        <v>1813479000</v>
      </c>
      <c r="E287" s="167">
        <v>1813479000</v>
      </c>
      <c r="F287" s="167">
        <v>1465355000</v>
      </c>
      <c r="G287" s="167">
        <v>1465355000</v>
      </c>
      <c r="H287" s="167">
        <v>787285169</v>
      </c>
    </row>
    <row r="288" spans="1:8" ht="49.9" customHeight="1" x14ac:dyDescent="0.25">
      <c r="A288" s="599"/>
      <c r="B288" s="227" t="s">
        <v>358</v>
      </c>
      <c r="C288" s="213" t="s">
        <v>360</v>
      </c>
      <c r="D288" s="167">
        <v>843232000</v>
      </c>
      <c r="E288" s="167">
        <v>836184000</v>
      </c>
      <c r="F288" s="167">
        <v>455184000</v>
      </c>
      <c r="G288" s="167">
        <v>455184000</v>
      </c>
      <c r="H288" s="167">
        <v>255129574</v>
      </c>
    </row>
    <row r="289" spans="1:8" ht="49.9" customHeight="1" x14ac:dyDescent="0.25">
      <c r="A289" s="232"/>
      <c r="B289" s="602" t="s">
        <v>359</v>
      </c>
      <c r="C289" s="213" t="s">
        <v>360</v>
      </c>
      <c r="D289" s="167">
        <v>2180745000</v>
      </c>
      <c r="E289" s="167">
        <v>2180745000</v>
      </c>
      <c r="F289" s="167">
        <v>815963000</v>
      </c>
      <c r="G289" s="167">
        <v>815963000</v>
      </c>
      <c r="H289" s="167">
        <v>388415818</v>
      </c>
    </row>
    <row r="290" spans="1:8" ht="49.9" customHeight="1" x14ac:dyDescent="0.25">
      <c r="A290" s="232"/>
      <c r="B290" s="604"/>
      <c r="C290" s="213" t="s">
        <v>361</v>
      </c>
      <c r="D290" s="167">
        <v>38864000</v>
      </c>
      <c r="E290" s="167">
        <v>38864000</v>
      </c>
      <c r="F290" s="167">
        <v>0</v>
      </c>
      <c r="G290" s="167">
        <v>0</v>
      </c>
      <c r="H290" s="167">
        <v>0</v>
      </c>
    </row>
    <row r="291" spans="1:8" ht="49.9" customHeight="1" x14ac:dyDescent="0.25">
      <c r="A291" s="598" t="s">
        <v>129</v>
      </c>
      <c r="B291" s="227" t="s">
        <v>350</v>
      </c>
      <c r="C291" s="167">
        <v>725040000</v>
      </c>
      <c r="D291" s="167">
        <v>588053000</v>
      </c>
      <c r="E291" s="167">
        <v>585413000</v>
      </c>
      <c r="F291" s="167">
        <v>585413000</v>
      </c>
      <c r="G291" s="167">
        <v>394918600</v>
      </c>
      <c r="H291" s="234">
        <f>G291/E291</f>
        <v>0.67459827506392922</v>
      </c>
    </row>
    <row r="292" spans="1:8" ht="49.9" customHeight="1" x14ac:dyDescent="0.25">
      <c r="A292" s="599"/>
      <c r="B292" s="227" t="s">
        <v>351</v>
      </c>
      <c r="C292" s="167">
        <v>6130432000</v>
      </c>
      <c r="D292" s="167">
        <v>6219259000</v>
      </c>
      <c r="E292" s="167">
        <v>1879977000</v>
      </c>
      <c r="F292" s="167">
        <v>1879977000</v>
      </c>
      <c r="G292" s="167">
        <v>1230598335</v>
      </c>
      <c r="H292" s="234">
        <f t="shared" ref="H292:H301" si="5">G292/E292</f>
        <v>0.65458159062584276</v>
      </c>
    </row>
    <row r="293" spans="1:8" ht="49.9" customHeight="1" x14ac:dyDescent="0.25">
      <c r="A293" s="599"/>
      <c r="B293" s="227" t="s">
        <v>355</v>
      </c>
      <c r="C293" s="167">
        <v>1617058000</v>
      </c>
      <c r="D293" s="167">
        <v>1617058000</v>
      </c>
      <c r="E293" s="167">
        <v>1097940000</v>
      </c>
      <c r="F293" s="167">
        <v>1097940000</v>
      </c>
      <c r="G293" s="167">
        <v>753544868</v>
      </c>
      <c r="H293" s="234">
        <f t="shared" si="5"/>
        <v>0.68632609067890782</v>
      </c>
    </row>
    <row r="294" spans="1:8" ht="49.9" customHeight="1" x14ac:dyDescent="0.25">
      <c r="A294" s="599"/>
      <c r="B294" s="602" t="s">
        <v>579</v>
      </c>
      <c r="C294" s="167">
        <f>154846000-48160000</f>
        <v>106686000</v>
      </c>
      <c r="D294" s="167">
        <v>161894000</v>
      </c>
      <c r="E294" s="167">
        <v>160269000</v>
      </c>
      <c r="F294" s="167">
        <v>160269000</v>
      </c>
      <c r="G294" s="167">
        <v>86995534</v>
      </c>
      <c r="H294" s="234">
        <f t="shared" si="5"/>
        <v>0.54280948904654047</v>
      </c>
    </row>
    <row r="295" spans="1:8" ht="49.9" customHeight="1" x14ac:dyDescent="0.25">
      <c r="A295" s="599"/>
      <c r="B295" s="603"/>
      <c r="C295" s="167">
        <v>117874000</v>
      </c>
      <c r="D295" s="167">
        <v>117874000</v>
      </c>
      <c r="E295" s="167">
        <v>0</v>
      </c>
      <c r="F295" s="167">
        <v>0</v>
      </c>
      <c r="G295" s="167">
        <v>0</v>
      </c>
      <c r="H295" s="234" t="e">
        <f t="shared" si="5"/>
        <v>#DIV/0!</v>
      </c>
    </row>
    <row r="296" spans="1:8" ht="49.9" customHeight="1" x14ac:dyDescent="0.25">
      <c r="A296" s="599"/>
      <c r="B296" s="603"/>
      <c r="C296" s="167">
        <v>1336995000</v>
      </c>
      <c r="D296" s="167">
        <v>1336995000</v>
      </c>
      <c r="E296" s="167">
        <v>1333569000</v>
      </c>
      <c r="F296" s="167">
        <v>1333569000</v>
      </c>
      <c r="G296" s="167">
        <v>794413699</v>
      </c>
      <c r="H296" s="234">
        <f t="shared" si="5"/>
        <v>0.59570498339418509</v>
      </c>
    </row>
    <row r="297" spans="1:8" ht="49.9" customHeight="1" x14ac:dyDescent="0.25">
      <c r="A297" s="599"/>
      <c r="B297" s="604"/>
      <c r="C297" s="167">
        <v>7278000</v>
      </c>
      <c r="D297" s="167">
        <v>7278000</v>
      </c>
      <c r="E297" s="167">
        <v>0</v>
      </c>
      <c r="F297" s="167">
        <v>0</v>
      </c>
      <c r="G297" s="167">
        <v>0</v>
      </c>
      <c r="H297" s="234" t="e">
        <f t="shared" si="5"/>
        <v>#DIV/0!</v>
      </c>
    </row>
    <row r="298" spans="1:8" ht="49.9" customHeight="1" x14ac:dyDescent="0.25">
      <c r="A298" s="599"/>
      <c r="B298" s="602" t="s">
        <v>357</v>
      </c>
      <c r="C298" s="167">
        <v>679700000</v>
      </c>
      <c r="D298" s="167">
        <v>679700000</v>
      </c>
      <c r="E298" s="167">
        <v>672552000</v>
      </c>
      <c r="F298" s="167">
        <v>672552000</v>
      </c>
      <c r="G298" s="167">
        <v>454258933</v>
      </c>
      <c r="H298" s="234">
        <f t="shared" si="5"/>
        <v>0.67542574105794051</v>
      </c>
    </row>
    <row r="299" spans="1:8" ht="49.9" customHeight="1" x14ac:dyDescent="0.25">
      <c r="A299" s="599"/>
      <c r="B299" s="603"/>
      <c r="C299" s="167">
        <v>871058000</v>
      </c>
      <c r="D299" s="167">
        <v>871058000</v>
      </c>
      <c r="E299" s="167">
        <v>609327908</v>
      </c>
      <c r="F299" s="167">
        <v>609327908</v>
      </c>
      <c r="G299" s="167">
        <v>266781190</v>
      </c>
      <c r="H299" s="234">
        <f t="shared" si="5"/>
        <v>0.43782860836894411</v>
      </c>
    </row>
    <row r="300" spans="1:8" ht="49.9" customHeight="1" x14ac:dyDescent="0.25">
      <c r="A300" s="599"/>
      <c r="B300" s="604"/>
      <c r="C300" s="167">
        <v>1813479000</v>
      </c>
      <c r="D300" s="167">
        <v>1813479000</v>
      </c>
      <c r="E300" s="167">
        <v>1479383000</v>
      </c>
      <c r="F300" s="167">
        <v>1479383000</v>
      </c>
      <c r="G300" s="167">
        <v>945966436</v>
      </c>
      <c r="H300" s="234">
        <f t="shared" si="5"/>
        <v>0.63943308527947129</v>
      </c>
    </row>
    <row r="301" spans="1:8" ht="49.9" customHeight="1" x14ac:dyDescent="0.25">
      <c r="A301" s="599"/>
      <c r="B301" s="227" t="s">
        <v>358</v>
      </c>
      <c r="C301" s="167">
        <v>843232000</v>
      </c>
      <c r="D301" s="167">
        <v>836184000</v>
      </c>
      <c r="E301" s="167">
        <v>455184000</v>
      </c>
      <c r="F301" s="167">
        <v>455184000</v>
      </c>
      <c r="G301" s="167">
        <v>304998938</v>
      </c>
      <c r="H301" s="234">
        <f t="shared" si="5"/>
        <v>0.67005636841365246</v>
      </c>
    </row>
    <row r="302" spans="1:8" ht="49.9" customHeight="1" x14ac:dyDescent="0.25">
      <c r="A302" s="599"/>
      <c r="B302" s="602" t="s">
        <v>359</v>
      </c>
      <c r="C302" s="167">
        <v>2180745000</v>
      </c>
      <c r="D302" s="167">
        <v>2180745000</v>
      </c>
      <c r="E302" s="167">
        <v>815963000</v>
      </c>
      <c r="F302" s="167">
        <v>815963000</v>
      </c>
      <c r="G302" s="167">
        <v>463887092</v>
      </c>
      <c r="H302" s="234">
        <f>G302/E302</f>
        <v>0.56851486158073339</v>
      </c>
    </row>
    <row r="303" spans="1:8" ht="49.9" customHeight="1" x14ac:dyDescent="0.25">
      <c r="A303" s="605"/>
      <c r="B303" s="604"/>
      <c r="C303" s="167">
        <v>38864000</v>
      </c>
      <c r="D303" s="167">
        <v>38864000</v>
      </c>
      <c r="E303" s="167">
        <v>0</v>
      </c>
      <c r="F303" s="167">
        <v>0</v>
      </c>
      <c r="G303" s="167">
        <v>0</v>
      </c>
      <c r="H303" s="234" t="e">
        <f>G303/E303</f>
        <v>#DIV/0!</v>
      </c>
    </row>
    <row r="304" spans="1:8" ht="49.9" customHeight="1" x14ac:dyDescent="0.25">
      <c r="A304" s="598" t="s">
        <v>130</v>
      </c>
      <c r="B304" s="227" t="s">
        <v>350</v>
      </c>
      <c r="C304" s="167">
        <v>725040000</v>
      </c>
      <c r="D304" s="167">
        <v>664856767</v>
      </c>
      <c r="E304" s="167">
        <v>597453000</v>
      </c>
      <c r="F304" s="167">
        <v>597453000</v>
      </c>
      <c r="G304" s="167">
        <v>467407600</v>
      </c>
      <c r="H304" s="231">
        <f t="shared" si="1"/>
        <v>0.78233367310901447</v>
      </c>
    </row>
    <row r="305" spans="1:8" ht="49.9" customHeight="1" x14ac:dyDescent="0.25">
      <c r="A305" s="599"/>
      <c r="B305" s="227" t="s">
        <v>351</v>
      </c>
      <c r="C305" s="167">
        <v>6130432000</v>
      </c>
      <c r="D305" s="167">
        <v>5536905968</v>
      </c>
      <c r="E305" s="167">
        <v>2115789834</v>
      </c>
      <c r="F305" s="167">
        <v>2115789834</v>
      </c>
      <c r="G305" s="167">
        <v>1419163968</v>
      </c>
      <c r="H305" s="231">
        <f t="shared" si="1"/>
        <v>0.67074902487691979</v>
      </c>
    </row>
    <row r="306" spans="1:8" ht="49.9" customHeight="1" x14ac:dyDescent="0.25">
      <c r="A306" s="599"/>
      <c r="B306" s="227" t="s">
        <v>355</v>
      </c>
      <c r="C306" s="167">
        <v>1617058000</v>
      </c>
      <c r="D306" s="167">
        <v>1898153100</v>
      </c>
      <c r="E306" s="167">
        <v>1137940000</v>
      </c>
      <c r="F306" s="167">
        <v>1137940000</v>
      </c>
      <c r="G306" s="167">
        <v>874450868</v>
      </c>
      <c r="H306" s="231">
        <f t="shared" si="1"/>
        <v>0.76845076893333564</v>
      </c>
    </row>
    <row r="307" spans="1:8" ht="49.9" customHeight="1" x14ac:dyDescent="0.25">
      <c r="A307" s="599"/>
      <c r="B307" s="602" t="s">
        <v>579</v>
      </c>
      <c r="C307" s="167">
        <f>154846000-48160000</f>
        <v>106686000</v>
      </c>
      <c r="D307" s="167">
        <v>375716900</v>
      </c>
      <c r="E307" s="167">
        <v>208209200</v>
      </c>
      <c r="F307" s="167">
        <v>208209200</v>
      </c>
      <c r="G307" s="167">
        <v>111747867</v>
      </c>
      <c r="H307" s="231">
        <f t="shared" si="1"/>
        <v>0.53670955462102543</v>
      </c>
    </row>
    <row r="308" spans="1:8" ht="49.9" customHeight="1" x14ac:dyDescent="0.25">
      <c r="A308" s="599"/>
      <c r="B308" s="603"/>
      <c r="C308" s="167">
        <v>117874000</v>
      </c>
      <c r="D308" s="167">
        <v>117874000</v>
      </c>
      <c r="E308" s="167">
        <v>0</v>
      </c>
      <c r="F308" s="167">
        <v>0</v>
      </c>
      <c r="G308" s="167">
        <v>0</v>
      </c>
      <c r="H308" s="231" t="e">
        <f t="shared" si="1"/>
        <v>#DIV/0!</v>
      </c>
    </row>
    <row r="309" spans="1:8" ht="49.9" customHeight="1" x14ac:dyDescent="0.25">
      <c r="A309" s="599"/>
      <c r="B309" s="603"/>
      <c r="C309" s="167">
        <v>1336995000</v>
      </c>
      <c r="D309" s="167">
        <v>1336995000</v>
      </c>
      <c r="E309" s="167">
        <v>1333569000</v>
      </c>
      <c r="F309" s="167">
        <v>1333569000</v>
      </c>
      <c r="G309" s="167">
        <v>944156966</v>
      </c>
      <c r="H309" s="231">
        <f t="shared" si="1"/>
        <v>0.70799258681028132</v>
      </c>
    </row>
    <row r="310" spans="1:8" ht="49.9" customHeight="1" x14ac:dyDescent="0.25">
      <c r="A310" s="599"/>
      <c r="B310" s="604"/>
      <c r="C310" s="167">
        <v>7278000</v>
      </c>
      <c r="D310" s="167">
        <v>7278000</v>
      </c>
      <c r="E310" s="167">
        <v>0</v>
      </c>
      <c r="F310" s="167">
        <v>0</v>
      </c>
      <c r="G310" s="167">
        <v>0</v>
      </c>
      <c r="H310" s="231" t="e">
        <f t="shared" si="1"/>
        <v>#DIV/0!</v>
      </c>
    </row>
    <row r="311" spans="1:8" ht="49.9" customHeight="1" x14ac:dyDescent="0.25">
      <c r="A311" s="599"/>
      <c r="B311" s="602" t="s">
        <v>357</v>
      </c>
      <c r="C311" s="167">
        <v>679700000</v>
      </c>
      <c r="D311" s="167">
        <v>833369108</v>
      </c>
      <c r="E311" s="167">
        <v>682060300</v>
      </c>
      <c r="F311" s="167">
        <v>682060300</v>
      </c>
      <c r="G311" s="167">
        <v>527832933</v>
      </c>
      <c r="H311" s="231">
        <f t="shared" si="1"/>
        <v>0.77388015839655233</v>
      </c>
    </row>
    <row r="312" spans="1:8" ht="49.9" customHeight="1" x14ac:dyDescent="0.25">
      <c r="A312" s="599"/>
      <c r="B312" s="603"/>
      <c r="C312" s="167">
        <v>871058000</v>
      </c>
      <c r="D312" s="167">
        <v>871058000</v>
      </c>
      <c r="E312" s="167">
        <v>609327908</v>
      </c>
      <c r="F312" s="167">
        <v>609327908</v>
      </c>
      <c r="G312" s="167">
        <v>312323063</v>
      </c>
      <c r="H312" s="231">
        <f t="shared" si="1"/>
        <v>0.51256976563758505</v>
      </c>
    </row>
    <row r="313" spans="1:8" ht="49.9" customHeight="1" x14ac:dyDescent="0.25">
      <c r="A313" s="599"/>
      <c r="B313" s="604"/>
      <c r="C313" s="167">
        <v>1813479000</v>
      </c>
      <c r="D313" s="167">
        <v>1813479000</v>
      </c>
      <c r="E313" s="167">
        <v>1536739700</v>
      </c>
      <c r="F313" s="167">
        <v>1536739700</v>
      </c>
      <c r="G313" s="167">
        <v>1109558936</v>
      </c>
      <c r="H313" s="231">
        <f t="shared" si="1"/>
        <v>0.72202139113084673</v>
      </c>
    </row>
    <row r="314" spans="1:8" ht="49.9" customHeight="1" x14ac:dyDescent="0.25">
      <c r="A314" s="599"/>
      <c r="B314" s="227" t="s">
        <v>358</v>
      </c>
      <c r="C314" s="167">
        <v>843232000</v>
      </c>
      <c r="D314" s="167">
        <v>953656198</v>
      </c>
      <c r="E314" s="167">
        <v>488561800</v>
      </c>
      <c r="F314" s="167">
        <v>488561800</v>
      </c>
      <c r="G314" s="167">
        <v>354868302</v>
      </c>
      <c r="H314" s="231">
        <f t="shared" si="1"/>
        <v>0.72635294449954946</v>
      </c>
    </row>
    <row r="315" spans="1:8" ht="49.9" customHeight="1" x14ac:dyDescent="0.25">
      <c r="A315" s="599"/>
      <c r="B315" s="602" t="s">
        <v>359</v>
      </c>
      <c r="C315" s="167">
        <v>2180745000</v>
      </c>
      <c r="D315" s="167">
        <v>2020234959</v>
      </c>
      <c r="E315" s="167">
        <v>836275000</v>
      </c>
      <c r="F315" s="167">
        <v>836275000</v>
      </c>
      <c r="G315" s="167">
        <v>650070449</v>
      </c>
      <c r="H315" s="231">
        <f t="shared" si="1"/>
        <v>0.77734052674060561</v>
      </c>
    </row>
    <row r="316" spans="1:8" ht="49.9" customHeight="1" x14ac:dyDescent="0.25">
      <c r="A316" s="605"/>
      <c r="B316" s="604"/>
      <c r="C316" s="167">
        <v>38864000</v>
      </c>
      <c r="D316" s="167">
        <v>38864000</v>
      </c>
      <c r="E316" s="167">
        <v>0</v>
      </c>
      <c r="F316" s="167">
        <v>0</v>
      </c>
      <c r="G316" s="167">
        <v>0</v>
      </c>
      <c r="H316" s="231" t="e">
        <f t="shared" si="1"/>
        <v>#DIV/0!</v>
      </c>
    </row>
    <row r="317" spans="1:8" ht="16.5" customHeight="1" x14ac:dyDescent="0.25">
      <c r="A317" s="38" t="s">
        <v>131</v>
      </c>
      <c r="B317" s="38"/>
      <c r="C317" s="38"/>
      <c r="D317" s="38"/>
      <c r="E317" s="38"/>
      <c r="F317" s="38"/>
      <c r="G317" s="38"/>
      <c r="H317" s="38" t="e">
        <f t="shared" si="1"/>
        <v>#DIV/0!</v>
      </c>
    </row>
    <row r="318" spans="1:8" ht="16.5" customHeight="1" x14ac:dyDescent="0.25">
      <c r="A318" s="38" t="s">
        <v>132</v>
      </c>
      <c r="B318" s="38"/>
      <c r="C318" s="38"/>
      <c r="D318" s="38"/>
      <c r="E318" s="38"/>
      <c r="F318" s="38"/>
      <c r="G318" s="38"/>
      <c r="H318" s="38" t="e">
        <f t="shared" si="1"/>
        <v>#DIV/0!</v>
      </c>
    </row>
    <row r="319" spans="1:8" ht="16.5" customHeight="1" x14ac:dyDescent="0.25">
      <c r="A319" s="38" t="s">
        <v>133</v>
      </c>
      <c r="B319" s="38"/>
      <c r="C319" s="38"/>
      <c r="D319" s="38"/>
      <c r="E319" s="38"/>
      <c r="F319" s="38"/>
      <c r="G319" s="38"/>
      <c r="H319" s="38" t="e">
        <f t="shared" si="1"/>
        <v>#DIV/0!</v>
      </c>
    </row>
    <row r="320" spans="1:8" ht="16.5" customHeight="1" x14ac:dyDescent="0.25"/>
    <row r="321" spans="1:8" ht="27.75" hidden="1" customHeight="1" x14ac:dyDescent="0.25">
      <c r="A321" s="606" t="s">
        <v>142</v>
      </c>
      <c r="B321" s="606"/>
      <c r="C321" s="606"/>
      <c r="D321" s="606"/>
      <c r="E321" s="606"/>
      <c r="F321" s="606"/>
      <c r="G321" s="606"/>
      <c r="H321" s="606"/>
    </row>
    <row r="322" spans="1:8" ht="25.5" hidden="1" customHeight="1" x14ac:dyDescent="0.25">
      <c r="A322" s="140" t="s">
        <v>62</v>
      </c>
      <c r="B322" s="37" t="s">
        <v>121</v>
      </c>
      <c r="C322" s="37" t="s">
        <v>122</v>
      </c>
      <c r="D322" s="37" t="s">
        <v>123</v>
      </c>
      <c r="E322" s="37" t="s">
        <v>124</v>
      </c>
      <c r="F322" s="37" t="s">
        <v>125</v>
      </c>
      <c r="G322" s="37" t="s">
        <v>126</v>
      </c>
      <c r="H322" s="37" t="s">
        <v>127</v>
      </c>
    </row>
    <row r="323" spans="1:8" ht="16.5" hidden="1" customHeight="1" x14ac:dyDescent="0.25">
      <c r="A323" s="38" t="s">
        <v>135</v>
      </c>
      <c r="B323" s="38"/>
      <c r="C323" s="38"/>
      <c r="D323" s="38"/>
      <c r="E323" s="38"/>
      <c r="F323" s="38"/>
      <c r="G323" s="38"/>
      <c r="H323" s="38" t="e">
        <f>G323/E323</f>
        <v>#DIV/0!</v>
      </c>
    </row>
    <row r="324" spans="1:8" ht="16.5" hidden="1" customHeight="1" x14ac:dyDescent="0.25">
      <c r="A324" s="38" t="s">
        <v>136</v>
      </c>
      <c r="B324" s="38"/>
      <c r="C324" s="38"/>
      <c r="D324" s="38"/>
      <c r="E324" s="38"/>
      <c r="F324" s="38"/>
      <c r="G324" s="38"/>
      <c r="H324" s="38" t="e">
        <f t="shared" ref="H324:H334" si="6">G324/E324</f>
        <v>#DIV/0!</v>
      </c>
    </row>
    <row r="325" spans="1:8" ht="16.5" hidden="1" customHeight="1" x14ac:dyDescent="0.25">
      <c r="A325" s="38" t="s">
        <v>137</v>
      </c>
      <c r="B325" s="38"/>
      <c r="C325" s="38"/>
      <c r="D325" s="38"/>
      <c r="E325" s="38"/>
      <c r="F325" s="38"/>
      <c r="G325" s="38"/>
      <c r="H325" s="38" t="e">
        <f t="shared" si="6"/>
        <v>#DIV/0!</v>
      </c>
    </row>
    <row r="326" spans="1:8" ht="16.5" hidden="1" customHeight="1" x14ac:dyDescent="0.25">
      <c r="A326" s="38" t="s">
        <v>138</v>
      </c>
      <c r="B326" s="38"/>
      <c r="C326" s="38"/>
      <c r="D326" s="38"/>
      <c r="E326" s="38"/>
      <c r="F326" s="38"/>
      <c r="G326" s="38"/>
      <c r="H326" s="38" t="e">
        <f t="shared" si="6"/>
        <v>#DIV/0!</v>
      </c>
    </row>
    <row r="327" spans="1:8" ht="16.5" hidden="1" customHeight="1" x14ac:dyDescent="0.25">
      <c r="A327" s="38" t="s">
        <v>139</v>
      </c>
      <c r="B327" s="38"/>
      <c r="C327" s="38"/>
      <c r="D327" s="38"/>
      <c r="E327" s="38"/>
      <c r="F327" s="38"/>
      <c r="G327" s="38"/>
      <c r="H327" s="38" t="e">
        <f t="shared" si="6"/>
        <v>#DIV/0!</v>
      </c>
    </row>
    <row r="328" spans="1:8" ht="16.5" hidden="1" customHeight="1" x14ac:dyDescent="0.25">
      <c r="A328" s="38" t="s">
        <v>140</v>
      </c>
      <c r="B328" s="38"/>
      <c r="C328" s="38"/>
      <c r="D328" s="38"/>
      <c r="E328" s="38"/>
      <c r="F328" s="38"/>
      <c r="G328" s="38"/>
      <c r="H328" s="38" t="e">
        <f t="shared" si="6"/>
        <v>#DIV/0!</v>
      </c>
    </row>
    <row r="329" spans="1:8" ht="16.5" hidden="1" customHeight="1" x14ac:dyDescent="0.25">
      <c r="A329" s="38" t="s">
        <v>128</v>
      </c>
      <c r="B329" s="38"/>
      <c r="C329" s="38"/>
      <c r="D329" s="38"/>
      <c r="E329" s="38"/>
      <c r="F329" s="38"/>
      <c r="G329" s="38"/>
      <c r="H329" s="38" t="e">
        <f t="shared" si="6"/>
        <v>#DIV/0!</v>
      </c>
    </row>
    <row r="330" spans="1:8" ht="16.5" hidden="1" customHeight="1" x14ac:dyDescent="0.25">
      <c r="A330" s="38" t="s">
        <v>129</v>
      </c>
      <c r="B330" s="38"/>
      <c r="C330" s="38"/>
      <c r="D330" s="38"/>
      <c r="E330" s="38"/>
      <c r="F330" s="38"/>
      <c r="G330" s="38"/>
      <c r="H330" s="38" t="e">
        <f t="shared" si="6"/>
        <v>#DIV/0!</v>
      </c>
    </row>
    <row r="331" spans="1:8" ht="16.5" hidden="1" customHeight="1" x14ac:dyDescent="0.25">
      <c r="A331" s="38" t="s">
        <v>130</v>
      </c>
      <c r="B331" s="38"/>
      <c r="C331" s="38"/>
      <c r="D331" s="38"/>
      <c r="E331" s="38"/>
      <c r="F331" s="38"/>
      <c r="G331" s="38"/>
      <c r="H331" s="38" t="e">
        <f t="shared" si="6"/>
        <v>#DIV/0!</v>
      </c>
    </row>
    <row r="332" spans="1:8" ht="16.5" hidden="1" customHeight="1" x14ac:dyDescent="0.25">
      <c r="A332" s="38" t="s">
        <v>131</v>
      </c>
      <c r="B332" s="38"/>
      <c r="C332" s="38"/>
      <c r="D332" s="38"/>
      <c r="E332" s="38"/>
      <c r="F332" s="38"/>
      <c r="G332" s="38"/>
      <c r="H332" s="38" t="e">
        <f t="shared" si="6"/>
        <v>#DIV/0!</v>
      </c>
    </row>
    <row r="333" spans="1:8" ht="16.5" hidden="1" customHeight="1" x14ac:dyDescent="0.25">
      <c r="A333" s="38" t="s">
        <v>132</v>
      </c>
      <c r="B333" s="38"/>
      <c r="C333" s="38"/>
      <c r="D333" s="38"/>
      <c r="E333" s="38"/>
      <c r="F333" s="38"/>
      <c r="G333" s="38"/>
      <c r="H333" s="38" t="e">
        <f t="shared" si="6"/>
        <v>#DIV/0!</v>
      </c>
    </row>
    <row r="334" spans="1:8" ht="16.5" hidden="1" customHeight="1" x14ac:dyDescent="0.25">
      <c r="A334" s="38" t="s">
        <v>133</v>
      </c>
      <c r="B334" s="38"/>
      <c r="C334" s="38"/>
      <c r="D334" s="38"/>
      <c r="E334" s="38"/>
      <c r="F334" s="38"/>
      <c r="G334" s="38"/>
      <c r="H334" s="38" t="e">
        <f t="shared" si="6"/>
        <v>#DIV/0!</v>
      </c>
    </row>
    <row r="335" spans="1:8" ht="16.5" hidden="1" customHeight="1" x14ac:dyDescent="0.25"/>
    <row r="336" spans="1:8" ht="23.25" hidden="1" customHeight="1" x14ac:dyDescent="0.25">
      <c r="A336" s="606" t="s">
        <v>143</v>
      </c>
      <c r="B336" s="606"/>
      <c r="C336" s="606"/>
      <c r="D336" s="606"/>
      <c r="E336" s="606"/>
      <c r="F336" s="606"/>
      <c r="G336" s="606"/>
      <c r="H336" s="606"/>
    </row>
    <row r="337" spans="1:12" ht="25.5" hidden="1" customHeight="1" x14ac:dyDescent="0.25">
      <c r="A337" s="140" t="s">
        <v>63</v>
      </c>
      <c r="B337" s="37" t="s">
        <v>121</v>
      </c>
      <c r="C337" s="37" t="s">
        <v>122</v>
      </c>
      <c r="D337" s="37" t="s">
        <v>123</v>
      </c>
      <c r="E337" s="37" t="s">
        <v>124</v>
      </c>
      <c r="F337" s="37" t="s">
        <v>125</v>
      </c>
      <c r="G337" s="37" t="s">
        <v>126</v>
      </c>
      <c r="H337" s="37" t="s">
        <v>127</v>
      </c>
    </row>
    <row r="338" spans="1:12" ht="16.5" hidden="1" customHeight="1" x14ac:dyDescent="0.25">
      <c r="A338" s="38" t="s">
        <v>135</v>
      </c>
      <c r="B338" s="38"/>
      <c r="C338" s="38"/>
      <c r="D338" s="38"/>
      <c r="E338" s="38"/>
      <c r="F338" s="38"/>
      <c r="G338" s="38"/>
      <c r="H338" s="38" t="e">
        <f>G338/E338</f>
        <v>#DIV/0!</v>
      </c>
    </row>
    <row r="339" spans="1:12" ht="16.5" hidden="1" customHeight="1" x14ac:dyDescent="0.25">
      <c r="A339" s="38" t="s">
        <v>136</v>
      </c>
      <c r="B339" s="38"/>
      <c r="C339" s="38"/>
      <c r="D339" s="38"/>
      <c r="E339" s="38"/>
      <c r="F339" s="38"/>
      <c r="G339" s="38"/>
      <c r="H339" s="38" t="e">
        <f t="shared" ref="H339:H349" si="7">G339/E339</f>
        <v>#DIV/0!</v>
      </c>
    </row>
    <row r="340" spans="1:12" ht="16.5" hidden="1" customHeight="1" x14ac:dyDescent="0.25">
      <c r="A340" s="38" t="s">
        <v>137</v>
      </c>
      <c r="B340" s="38"/>
      <c r="C340" s="38"/>
      <c r="D340" s="38"/>
      <c r="E340" s="38"/>
      <c r="F340" s="38"/>
      <c r="G340" s="38"/>
      <c r="H340" s="38" t="e">
        <f t="shared" si="7"/>
        <v>#DIV/0!</v>
      </c>
    </row>
    <row r="341" spans="1:12" ht="16.5" hidden="1" customHeight="1" x14ac:dyDescent="0.25">
      <c r="A341" s="38" t="s">
        <v>138</v>
      </c>
      <c r="B341" s="38"/>
      <c r="C341" s="38"/>
      <c r="D341" s="38"/>
      <c r="E341" s="38"/>
      <c r="F341" s="38"/>
      <c r="G341" s="38"/>
      <c r="H341" s="38" t="e">
        <f t="shared" si="7"/>
        <v>#DIV/0!</v>
      </c>
    </row>
    <row r="342" spans="1:12" ht="16.5" hidden="1" customHeight="1" x14ac:dyDescent="0.25">
      <c r="A342" s="38" t="s">
        <v>139</v>
      </c>
      <c r="B342" s="38"/>
      <c r="C342" s="38"/>
      <c r="D342" s="38"/>
      <c r="E342" s="38"/>
      <c r="F342" s="38"/>
      <c r="G342" s="38"/>
      <c r="H342" s="38" t="e">
        <f t="shared" si="7"/>
        <v>#DIV/0!</v>
      </c>
    </row>
    <row r="343" spans="1:12" ht="16.5" hidden="1" customHeight="1" x14ac:dyDescent="0.25">
      <c r="A343" s="38" t="s">
        <v>140</v>
      </c>
      <c r="B343" s="38"/>
      <c r="C343" s="38"/>
      <c r="D343" s="38"/>
      <c r="E343" s="38"/>
      <c r="F343" s="38"/>
      <c r="G343" s="38"/>
      <c r="H343" s="38" t="e">
        <f t="shared" si="7"/>
        <v>#DIV/0!</v>
      </c>
    </row>
    <row r="344" spans="1:12" ht="16.5" hidden="1" customHeight="1" x14ac:dyDescent="0.25">
      <c r="A344" s="38" t="s">
        <v>128</v>
      </c>
      <c r="B344" s="38"/>
      <c r="C344" s="38"/>
      <c r="D344" s="38"/>
      <c r="E344" s="38"/>
      <c r="F344" s="38"/>
      <c r="G344" s="38"/>
      <c r="H344" s="38" t="e">
        <f t="shared" si="7"/>
        <v>#DIV/0!</v>
      </c>
    </row>
    <row r="345" spans="1:12" ht="16.5" hidden="1" customHeight="1" x14ac:dyDescent="0.25">
      <c r="A345" s="38" t="s">
        <v>129</v>
      </c>
      <c r="B345" s="38"/>
      <c r="C345" s="38"/>
      <c r="D345" s="38"/>
      <c r="E345" s="38"/>
      <c r="F345" s="38"/>
      <c r="G345" s="38"/>
      <c r="H345" s="38" t="e">
        <f t="shared" si="7"/>
        <v>#DIV/0!</v>
      </c>
    </row>
    <row r="346" spans="1:12" ht="16.5" hidden="1" customHeight="1" x14ac:dyDescent="0.25">
      <c r="A346" s="38" t="s">
        <v>130</v>
      </c>
      <c r="B346" s="38"/>
      <c r="C346" s="38"/>
      <c r="D346" s="38"/>
      <c r="E346" s="38"/>
      <c r="F346" s="38"/>
      <c r="G346" s="38"/>
      <c r="H346" s="38" t="e">
        <f t="shared" si="7"/>
        <v>#DIV/0!</v>
      </c>
    </row>
    <row r="347" spans="1:12" ht="16.5" hidden="1" customHeight="1" x14ac:dyDescent="0.25">
      <c r="A347" s="38" t="s">
        <v>131</v>
      </c>
      <c r="B347" s="38"/>
      <c r="C347" s="38"/>
      <c r="D347" s="38"/>
      <c r="E347" s="38"/>
      <c r="F347" s="38"/>
      <c r="G347" s="38"/>
      <c r="H347" s="38" t="e">
        <f t="shared" si="7"/>
        <v>#DIV/0!</v>
      </c>
    </row>
    <row r="348" spans="1:12" ht="16.5" hidden="1" customHeight="1" x14ac:dyDescent="0.25">
      <c r="A348" s="38" t="s">
        <v>132</v>
      </c>
      <c r="B348" s="38"/>
      <c r="C348" s="38"/>
      <c r="D348" s="38"/>
      <c r="E348" s="38"/>
      <c r="F348" s="38"/>
      <c r="G348" s="38"/>
      <c r="H348" s="38" t="e">
        <f t="shared" si="7"/>
        <v>#DIV/0!</v>
      </c>
    </row>
    <row r="349" spans="1:12" ht="16.5" hidden="1" customHeight="1" x14ac:dyDescent="0.25">
      <c r="A349" s="38" t="s">
        <v>133</v>
      </c>
      <c r="B349" s="38"/>
      <c r="C349" s="38"/>
      <c r="D349" s="38"/>
      <c r="E349" s="38"/>
      <c r="F349" s="38"/>
      <c r="G349" s="38"/>
      <c r="H349" s="38" t="e">
        <f t="shared" si="7"/>
        <v>#DIV/0!</v>
      </c>
    </row>
    <row r="350" spans="1:12" ht="16.5" customHeight="1" x14ac:dyDescent="0.25"/>
    <row r="351" spans="1:12" s="3" customFormat="1" ht="31.15" hidden="1" customHeight="1" x14ac:dyDescent="0.25">
      <c r="A351" s="608" t="s">
        <v>144</v>
      </c>
      <c r="B351" s="609"/>
      <c r="C351" s="609"/>
      <c r="D351" s="609"/>
      <c r="E351" s="609"/>
      <c r="F351" s="609"/>
      <c r="G351" s="609"/>
      <c r="H351" s="609"/>
      <c r="I351" s="609"/>
      <c r="J351" s="609"/>
      <c r="K351" s="609"/>
      <c r="L351" s="610"/>
    </row>
    <row r="352" spans="1:12" s="3" customFormat="1" ht="44.25" hidden="1" customHeight="1" x14ac:dyDescent="0.25">
      <c r="A352" s="140" t="s">
        <v>48</v>
      </c>
      <c r="B352" s="37" t="s">
        <v>145</v>
      </c>
      <c r="C352" s="37" t="s">
        <v>146</v>
      </c>
      <c r="D352" s="37" t="s">
        <v>147</v>
      </c>
      <c r="E352" s="37" t="s">
        <v>148</v>
      </c>
      <c r="F352" s="37" t="s">
        <v>149</v>
      </c>
      <c r="G352" s="37" t="s">
        <v>150</v>
      </c>
      <c r="H352" s="37" t="s">
        <v>151</v>
      </c>
      <c r="I352" s="185" t="s">
        <v>152</v>
      </c>
      <c r="J352" s="37" t="s">
        <v>153</v>
      </c>
      <c r="K352" s="37" t="s">
        <v>154</v>
      </c>
      <c r="L352" s="37" t="s">
        <v>155</v>
      </c>
    </row>
    <row r="353" spans="1:12" s="151" customFormat="1" ht="49.9" hidden="1" customHeight="1" outlineLevel="1" x14ac:dyDescent="0.25">
      <c r="A353" s="600" t="s">
        <v>128</v>
      </c>
      <c r="B353" s="600" t="s">
        <v>363</v>
      </c>
      <c r="C353" s="600" t="s">
        <v>364</v>
      </c>
      <c r="D353" s="600" t="s">
        <v>365</v>
      </c>
      <c r="E353" s="600" t="s">
        <v>366</v>
      </c>
      <c r="F353" s="607">
        <v>0.45</v>
      </c>
      <c r="G353" s="142" t="s">
        <v>318</v>
      </c>
      <c r="H353" s="150">
        <v>1</v>
      </c>
      <c r="I353" s="186">
        <v>0</v>
      </c>
      <c r="J353" s="142">
        <v>0</v>
      </c>
      <c r="K353" s="142" t="e">
        <f>J353/I353</f>
        <v>#DIV/0!</v>
      </c>
      <c r="L353" s="142" t="s">
        <v>367</v>
      </c>
    </row>
    <row r="354" spans="1:12" s="151" customFormat="1" ht="49.9" hidden="1" customHeight="1" outlineLevel="1" x14ac:dyDescent="0.25">
      <c r="A354" s="600"/>
      <c r="B354" s="600"/>
      <c r="C354" s="600"/>
      <c r="D354" s="600"/>
      <c r="E354" s="600"/>
      <c r="F354" s="607"/>
      <c r="G354" s="142" t="s">
        <v>330</v>
      </c>
      <c r="H354" s="152">
        <v>4</v>
      </c>
      <c r="I354" s="186">
        <v>0</v>
      </c>
      <c r="J354" s="142">
        <v>0</v>
      </c>
      <c r="K354" s="142" t="e">
        <f>J354/I354</f>
        <v>#DIV/0!</v>
      </c>
      <c r="L354" s="142" t="s">
        <v>368</v>
      </c>
    </row>
    <row r="355" spans="1:12" s="151" customFormat="1" ht="49.9" hidden="1" customHeight="1" outlineLevel="1" x14ac:dyDescent="0.25">
      <c r="A355" s="600"/>
      <c r="B355" s="600"/>
      <c r="C355" s="600"/>
      <c r="D355" s="600"/>
      <c r="E355" s="600"/>
      <c r="F355" s="607"/>
      <c r="G355" s="142" t="s">
        <v>331</v>
      </c>
      <c r="H355" s="152">
        <v>1</v>
      </c>
      <c r="I355" s="186">
        <v>0</v>
      </c>
      <c r="J355" s="142">
        <v>0</v>
      </c>
      <c r="K355" s="142" t="e">
        <f>J355/I355</f>
        <v>#DIV/0!</v>
      </c>
      <c r="L355" s="142" t="s">
        <v>369</v>
      </c>
    </row>
    <row r="356" spans="1:12" s="151" customFormat="1" ht="49.9" hidden="1" customHeight="1" outlineLevel="1" x14ac:dyDescent="0.25">
      <c r="A356" s="600"/>
      <c r="B356" s="142" t="s">
        <v>370</v>
      </c>
      <c r="C356" s="142" t="s">
        <v>371</v>
      </c>
      <c r="D356" s="142" t="s">
        <v>372</v>
      </c>
      <c r="E356" s="142" t="s">
        <v>265</v>
      </c>
      <c r="F356" s="150">
        <v>0.15</v>
      </c>
      <c r="G356" s="142" t="s">
        <v>267</v>
      </c>
      <c r="H356" s="153">
        <v>426</v>
      </c>
      <c r="I356" s="186">
        <v>0</v>
      </c>
      <c r="J356" s="142">
        <v>0</v>
      </c>
      <c r="K356" s="142" t="e">
        <f t="shared" ref="K356:K386" si="8">J356/I356</f>
        <v>#DIV/0!</v>
      </c>
      <c r="L356" s="142" t="s">
        <v>373</v>
      </c>
    </row>
    <row r="357" spans="1:12" s="151" customFormat="1" ht="49.9" hidden="1" customHeight="1" outlineLevel="1" x14ac:dyDescent="0.25">
      <c r="A357" s="600"/>
      <c r="B357" s="142" t="s">
        <v>374</v>
      </c>
      <c r="C357" s="142" t="s">
        <v>375</v>
      </c>
      <c r="D357" s="142" t="s">
        <v>376</v>
      </c>
      <c r="E357" s="142" t="s">
        <v>265</v>
      </c>
      <c r="F357" s="150">
        <v>0.15</v>
      </c>
      <c r="G357" s="142" t="s">
        <v>268</v>
      </c>
      <c r="H357" s="150">
        <v>1</v>
      </c>
      <c r="I357" s="186">
        <v>0</v>
      </c>
      <c r="J357" s="142">
        <v>0</v>
      </c>
      <c r="K357" s="142" t="e">
        <f t="shared" si="8"/>
        <v>#DIV/0!</v>
      </c>
      <c r="L357" s="142" t="s">
        <v>377</v>
      </c>
    </row>
    <row r="358" spans="1:12" s="151" customFormat="1" ht="49.9" hidden="1" customHeight="1" outlineLevel="1" x14ac:dyDescent="0.25">
      <c r="A358" s="600"/>
      <c r="B358" s="600" t="s">
        <v>378</v>
      </c>
      <c r="C358" s="600" t="s">
        <v>379</v>
      </c>
      <c r="D358" s="600" t="s">
        <v>380</v>
      </c>
      <c r="E358" s="600" t="s">
        <v>366</v>
      </c>
      <c r="F358" s="607">
        <v>0.25</v>
      </c>
      <c r="G358" s="142" t="s">
        <v>263</v>
      </c>
      <c r="H358" s="153">
        <v>234</v>
      </c>
      <c r="I358" s="186">
        <v>0</v>
      </c>
      <c r="J358" s="142">
        <v>0</v>
      </c>
      <c r="K358" s="142" t="e">
        <f>J358/I358</f>
        <v>#DIV/0!</v>
      </c>
      <c r="L358" s="142" t="s">
        <v>381</v>
      </c>
    </row>
    <row r="359" spans="1:12" s="151" customFormat="1" ht="49.9" hidden="1" customHeight="1" outlineLevel="1" x14ac:dyDescent="0.25">
      <c r="A359" s="600"/>
      <c r="B359" s="600"/>
      <c r="C359" s="600"/>
      <c r="D359" s="600"/>
      <c r="E359" s="600"/>
      <c r="F359" s="607"/>
      <c r="G359" s="142" t="s">
        <v>324</v>
      </c>
      <c r="H359" s="150">
        <v>1</v>
      </c>
      <c r="I359" s="186">
        <v>0</v>
      </c>
      <c r="J359" s="142">
        <v>0</v>
      </c>
      <c r="K359" s="142" t="e">
        <f>J359/I359</f>
        <v>#DIV/0!</v>
      </c>
      <c r="L359" s="142" t="s">
        <v>382</v>
      </c>
    </row>
    <row r="360" spans="1:12" s="155" customFormat="1" ht="49.9" hidden="1" customHeight="1" outlineLevel="1" x14ac:dyDescent="0.2">
      <c r="A360" s="583" t="s">
        <v>129</v>
      </c>
      <c r="B360" s="600" t="s">
        <v>363</v>
      </c>
      <c r="C360" s="600" t="s">
        <v>364</v>
      </c>
      <c r="D360" s="600" t="s">
        <v>365</v>
      </c>
      <c r="E360" s="600" t="s">
        <v>366</v>
      </c>
      <c r="F360" s="607">
        <v>0.45</v>
      </c>
      <c r="G360" s="142" t="s">
        <v>318</v>
      </c>
      <c r="H360" s="150">
        <v>1</v>
      </c>
      <c r="I360" s="187">
        <v>0</v>
      </c>
      <c r="J360" s="139">
        <v>0</v>
      </c>
      <c r="K360" s="142" t="e">
        <f>J360/I360</f>
        <v>#DIV/0!</v>
      </c>
      <c r="L360" s="154" t="s">
        <v>383</v>
      </c>
    </row>
    <row r="361" spans="1:12" s="155" customFormat="1" ht="49.9" hidden="1" customHeight="1" outlineLevel="1" x14ac:dyDescent="0.2">
      <c r="A361" s="583"/>
      <c r="B361" s="600"/>
      <c r="C361" s="600"/>
      <c r="D361" s="600"/>
      <c r="E361" s="600"/>
      <c r="F361" s="607"/>
      <c r="G361" s="142" t="s">
        <v>330</v>
      </c>
      <c r="H361" s="152">
        <v>4</v>
      </c>
      <c r="I361" s="187">
        <v>0</v>
      </c>
      <c r="J361" s="139">
        <v>0</v>
      </c>
      <c r="K361" s="142" t="e">
        <f>J361/I361</f>
        <v>#DIV/0!</v>
      </c>
      <c r="L361" s="154" t="s">
        <v>384</v>
      </c>
    </row>
    <row r="362" spans="1:12" s="155" customFormat="1" ht="49.9" hidden="1" customHeight="1" outlineLevel="1" x14ac:dyDescent="0.2">
      <c r="A362" s="583"/>
      <c r="B362" s="600"/>
      <c r="C362" s="600"/>
      <c r="D362" s="600"/>
      <c r="E362" s="600"/>
      <c r="F362" s="607"/>
      <c r="G362" s="142" t="s">
        <v>331</v>
      </c>
      <c r="H362" s="152">
        <v>1</v>
      </c>
      <c r="I362" s="187">
        <v>0</v>
      </c>
      <c r="J362" s="139">
        <v>0</v>
      </c>
      <c r="K362" s="142" t="e">
        <f>J362/I362</f>
        <v>#DIV/0!</v>
      </c>
      <c r="L362" s="154" t="s">
        <v>385</v>
      </c>
    </row>
    <row r="363" spans="1:12" s="155" customFormat="1" ht="49.9" hidden="1" customHeight="1" outlineLevel="1" x14ac:dyDescent="0.2">
      <c r="A363" s="583"/>
      <c r="B363" s="142" t="s">
        <v>370</v>
      </c>
      <c r="C363" s="142" t="s">
        <v>371</v>
      </c>
      <c r="D363" s="142" t="s">
        <v>372</v>
      </c>
      <c r="E363" s="142" t="s">
        <v>265</v>
      </c>
      <c r="F363" s="150">
        <v>0.15</v>
      </c>
      <c r="G363" s="142" t="s">
        <v>267</v>
      </c>
      <c r="H363" s="153">
        <v>426</v>
      </c>
      <c r="I363" s="187">
        <v>0</v>
      </c>
      <c r="J363" s="139">
        <v>0</v>
      </c>
      <c r="K363" s="142" t="e">
        <f t="shared" si="8"/>
        <v>#DIV/0!</v>
      </c>
      <c r="L363" s="154" t="s">
        <v>386</v>
      </c>
    </row>
    <row r="364" spans="1:12" s="155" customFormat="1" ht="49.9" hidden="1" customHeight="1" outlineLevel="1" x14ac:dyDescent="0.2">
      <c r="A364" s="583"/>
      <c r="B364" s="142" t="s">
        <v>374</v>
      </c>
      <c r="C364" s="142" t="s">
        <v>375</v>
      </c>
      <c r="D364" s="142" t="s">
        <v>376</v>
      </c>
      <c r="E364" s="142" t="s">
        <v>265</v>
      </c>
      <c r="F364" s="150">
        <v>0.15</v>
      </c>
      <c r="G364" s="142" t="s">
        <v>268</v>
      </c>
      <c r="H364" s="150">
        <v>1</v>
      </c>
      <c r="I364" s="187">
        <v>0</v>
      </c>
      <c r="J364" s="139">
        <v>0</v>
      </c>
      <c r="K364" s="142" t="e">
        <f t="shared" si="8"/>
        <v>#DIV/0!</v>
      </c>
      <c r="L364" s="154" t="s">
        <v>387</v>
      </c>
    </row>
    <row r="365" spans="1:12" s="155" customFormat="1" ht="49.9" hidden="1" customHeight="1" outlineLevel="1" x14ac:dyDescent="0.2">
      <c r="A365" s="583"/>
      <c r="B365" s="600" t="s">
        <v>378</v>
      </c>
      <c r="C365" s="600" t="s">
        <v>379</v>
      </c>
      <c r="D365" s="600" t="s">
        <v>380</v>
      </c>
      <c r="E365" s="600" t="s">
        <v>366</v>
      </c>
      <c r="F365" s="607">
        <v>0.25</v>
      </c>
      <c r="G365" s="142" t="s">
        <v>263</v>
      </c>
      <c r="H365" s="153">
        <v>234</v>
      </c>
      <c r="I365" s="187">
        <v>0</v>
      </c>
      <c r="J365" s="139">
        <v>0</v>
      </c>
      <c r="K365" s="142" t="e">
        <f>J365/I365</f>
        <v>#DIV/0!</v>
      </c>
      <c r="L365" s="154" t="s">
        <v>388</v>
      </c>
    </row>
    <row r="366" spans="1:12" s="155" customFormat="1" ht="49.9" hidden="1" customHeight="1" outlineLevel="1" x14ac:dyDescent="0.2">
      <c r="A366" s="583"/>
      <c r="B366" s="600"/>
      <c r="C366" s="600"/>
      <c r="D366" s="600"/>
      <c r="E366" s="600"/>
      <c r="F366" s="607"/>
      <c r="G366" s="142" t="s">
        <v>324</v>
      </c>
      <c r="H366" s="150">
        <v>1</v>
      </c>
      <c r="I366" s="187">
        <v>0</v>
      </c>
      <c r="J366" s="139">
        <v>0</v>
      </c>
      <c r="K366" s="142" t="e">
        <f>J366/I366</f>
        <v>#DIV/0!</v>
      </c>
      <c r="L366" s="154" t="s">
        <v>389</v>
      </c>
    </row>
    <row r="367" spans="1:12" s="155" customFormat="1" ht="49.9" hidden="1" customHeight="1" outlineLevel="1" x14ac:dyDescent="0.2">
      <c r="A367" s="583" t="s">
        <v>130</v>
      </c>
      <c r="B367" s="600" t="s">
        <v>363</v>
      </c>
      <c r="C367" s="600" t="s">
        <v>364</v>
      </c>
      <c r="D367" s="600" t="s">
        <v>365</v>
      </c>
      <c r="E367" s="600" t="s">
        <v>366</v>
      </c>
      <c r="F367" s="607">
        <v>0.45</v>
      </c>
      <c r="G367" s="142" t="s">
        <v>318</v>
      </c>
      <c r="H367" s="150">
        <v>1</v>
      </c>
      <c r="I367" s="187">
        <v>0</v>
      </c>
      <c r="J367" s="139">
        <v>0</v>
      </c>
      <c r="K367" s="142" t="e">
        <f>J367/I367</f>
        <v>#DIV/0!</v>
      </c>
      <c r="L367" s="154" t="s">
        <v>390</v>
      </c>
    </row>
    <row r="368" spans="1:12" s="155" customFormat="1" ht="49.9" hidden="1" customHeight="1" outlineLevel="1" x14ac:dyDescent="0.2">
      <c r="A368" s="583"/>
      <c r="B368" s="600"/>
      <c r="C368" s="600"/>
      <c r="D368" s="600"/>
      <c r="E368" s="600"/>
      <c r="F368" s="607"/>
      <c r="G368" s="142" t="s">
        <v>330</v>
      </c>
      <c r="H368" s="152">
        <v>4</v>
      </c>
      <c r="I368" s="187">
        <v>0</v>
      </c>
      <c r="J368" s="139">
        <v>0</v>
      </c>
      <c r="K368" s="142" t="e">
        <f>J368/I368</f>
        <v>#DIV/0!</v>
      </c>
      <c r="L368" s="154" t="s">
        <v>391</v>
      </c>
    </row>
    <row r="369" spans="1:12" s="155" customFormat="1" ht="49.9" hidden="1" customHeight="1" outlineLevel="1" x14ac:dyDescent="0.2">
      <c r="A369" s="583"/>
      <c r="B369" s="600"/>
      <c r="C369" s="600"/>
      <c r="D369" s="600"/>
      <c r="E369" s="600"/>
      <c r="F369" s="607"/>
      <c r="G369" s="142" t="s">
        <v>331</v>
      </c>
      <c r="H369" s="152">
        <v>1</v>
      </c>
      <c r="I369" s="187">
        <v>0</v>
      </c>
      <c r="J369" s="139">
        <v>0</v>
      </c>
      <c r="K369" s="142" t="e">
        <f>J369/I369</f>
        <v>#DIV/0!</v>
      </c>
      <c r="L369" s="154" t="s">
        <v>392</v>
      </c>
    </row>
    <row r="370" spans="1:12" s="155" customFormat="1" ht="49.9" hidden="1" customHeight="1" outlineLevel="1" x14ac:dyDescent="0.2">
      <c r="A370" s="583"/>
      <c r="B370" s="142" t="s">
        <v>370</v>
      </c>
      <c r="C370" s="142" t="s">
        <v>371</v>
      </c>
      <c r="D370" s="142" t="s">
        <v>372</v>
      </c>
      <c r="E370" s="142" t="s">
        <v>265</v>
      </c>
      <c r="F370" s="150">
        <v>0.15</v>
      </c>
      <c r="G370" s="142" t="s">
        <v>267</v>
      </c>
      <c r="H370" s="153">
        <v>426</v>
      </c>
      <c r="I370" s="187">
        <v>0</v>
      </c>
      <c r="J370" s="139">
        <v>0</v>
      </c>
      <c r="K370" s="142" t="e">
        <f t="shared" si="8"/>
        <v>#DIV/0!</v>
      </c>
      <c r="L370" s="154" t="s">
        <v>393</v>
      </c>
    </row>
    <row r="371" spans="1:12" s="155" customFormat="1" ht="49.9" hidden="1" customHeight="1" outlineLevel="1" x14ac:dyDescent="0.2">
      <c r="A371" s="583"/>
      <c r="B371" s="142" t="s">
        <v>374</v>
      </c>
      <c r="C371" s="142" t="s">
        <v>375</v>
      </c>
      <c r="D371" s="142" t="s">
        <v>376</v>
      </c>
      <c r="E371" s="142" t="s">
        <v>265</v>
      </c>
      <c r="F371" s="150">
        <v>0.15</v>
      </c>
      <c r="G371" s="142" t="s">
        <v>268</v>
      </c>
      <c r="H371" s="150">
        <v>1</v>
      </c>
      <c r="I371" s="187">
        <v>0</v>
      </c>
      <c r="J371" s="139">
        <v>0</v>
      </c>
      <c r="K371" s="142" t="e">
        <f t="shared" si="8"/>
        <v>#DIV/0!</v>
      </c>
      <c r="L371" s="154" t="s">
        <v>394</v>
      </c>
    </row>
    <row r="372" spans="1:12" s="155" customFormat="1" ht="49.9" hidden="1" customHeight="1" outlineLevel="1" x14ac:dyDescent="0.2">
      <c r="A372" s="583"/>
      <c r="B372" s="600" t="s">
        <v>378</v>
      </c>
      <c r="C372" s="600" t="s">
        <v>379</v>
      </c>
      <c r="D372" s="600" t="s">
        <v>380</v>
      </c>
      <c r="E372" s="600" t="s">
        <v>366</v>
      </c>
      <c r="F372" s="607">
        <v>0.25</v>
      </c>
      <c r="G372" s="142" t="s">
        <v>263</v>
      </c>
      <c r="H372" s="153">
        <v>234</v>
      </c>
      <c r="I372" s="187">
        <v>0</v>
      </c>
      <c r="J372" s="139">
        <v>0</v>
      </c>
      <c r="K372" s="142" t="e">
        <f>J372/I372</f>
        <v>#DIV/0!</v>
      </c>
      <c r="L372" s="154" t="s">
        <v>395</v>
      </c>
    </row>
    <row r="373" spans="1:12" s="155" customFormat="1" ht="49.9" hidden="1" customHeight="1" outlineLevel="1" x14ac:dyDescent="0.2">
      <c r="A373" s="583"/>
      <c r="B373" s="600"/>
      <c r="C373" s="600"/>
      <c r="D373" s="600"/>
      <c r="E373" s="600"/>
      <c r="F373" s="607"/>
      <c r="G373" s="142" t="s">
        <v>324</v>
      </c>
      <c r="H373" s="150">
        <v>1</v>
      </c>
      <c r="I373" s="187">
        <v>0</v>
      </c>
      <c r="J373" s="139">
        <v>0</v>
      </c>
      <c r="K373" s="142" t="e">
        <f>J373/I373</f>
        <v>#DIV/0!</v>
      </c>
      <c r="L373" s="154" t="s">
        <v>396</v>
      </c>
    </row>
    <row r="374" spans="1:12" s="155" customFormat="1" ht="49.9" hidden="1" customHeight="1" outlineLevel="1" x14ac:dyDescent="0.2">
      <c r="A374" s="583" t="s">
        <v>131</v>
      </c>
      <c r="B374" s="600" t="s">
        <v>363</v>
      </c>
      <c r="C374" s="600" t="s">
        <v>364</v>
      </c>
      <c r="D374" s="600" t="s">
        <v>365</v>
      </c>
      <c r="E374" s="600" t="s">
        <v>366</v>
      </c>
      <c r="F374" s="607">
        <v>0.45</v>
      </c>
      <c r="G374" s="142" t="s">
        <v>318</v>
      </c>
      <c r="H374" s="150">
        <v>1</v>
      </c>
      <c r="I374" s="187">
        <v>0</v>
      </c>
      <c r="J374" s="139">
        <v>0</v>
      </c>
      <c r="K374" s="142" t="e">
        <f>J374/I374</f>
        <v>#DIV/0!</v>
      </c>
      <c r="L374" s="154" t="s">
        <v>425</v>
      </c>
    </row>
    <row r="375" spans="1:12" s="155" customFormat="1" ht="49.9" hidden="1" customHeight="1" outlineLevel="1" x14ac:dyDescent="0.2">
      <c r="A375" s="583"/>
      <c r="B375" s="600"/>
      <c r="C375" s="600"/>
      <c r="D375" s="600"/>
      <c r="E375" s="600"/>
      <c r="F375" s="607"/>
      <c r="G375" s="142" t="s">
        <v>330</v>
      </c>
      <c r="H375" s="152">
        <v>4</v>
      </c>
      <c r="I375" s="187">
        <v>0</v>
      </c>
      <c r="J375" s="139">
        <v>0</v>
      </c>
      <c r="K375" s="142" t="e">
        <f>J375/I375</f>
        <v>#DIV/0!</v>
      </c>
      <c r="L375" s="154" t="s">
        <v>426</v>
      </c>
    </row>
    <row r="376" spans="1:12" s="155" customFormat="1" ht="49.9" hidden="1" customHeight="1" outlineLevel="1" x14ac:dyDescent="0.2">
      <c r="A376" s="583"/>
      <c r="B376" s="600"/>
      <c r="C376" s="600"/>
      <c r="D376" s="600"/>
      <c r="E376" s="600"/>
      <c r="F376" s="607"/>
      <c r="G376" s="142" t="s">
        <v>331</v>
      </c>
      <c r="H376" s="152">
        <v>1</v>
      </c>
      <c r="I376" s="187">
        <v>0</v>
      </c>
      <c r="J376" s="139">
        <v>0</v>
      </c>
      <c r="K376" s="142" t="e">
        <f>J376/I376</f>
        <v>#DIV/0!</v>
      </c>
      <c r="L376" s="154" t="s">
        <v>427</v>
      </c>
    </row>
    <row r="377" spans="1:12" s="155" customFormat="1" ht="49.9" hidden="1" customHeight="1" outlineLevel="1" x14ac:dyDescent="0.2">
      <c r="A377" s="583"/>
      <c r="B377" s="142" t="s">
        <v>370</v>
      </c>
      <c r="C377" s="142" t="s">
        <v>371</v>
      </c>
      <c r="D377" s="142" t="s">
        <v>372</v>
      </c>
      <c r="E377" s="142" t="s">
        <v>265</v>
      </c>
      <c r="F377" s="150">
        <v>0.15</v>
      </c>
      <c r="G377" s="142" t="s">
        <v>267</v>
      </c>
      <c r="H377" s="153">
        <v>426</v>
      </c>
      <c r="I377" s="187">
        <v>0</v>
      </c>
      <c r="J377" s="139">
        <v>0</v>
      </c>
      <c r="K377" s="142" t="e">
        <f t="shared" si="8"/>
        <v>#DIV/0!</v>
      </c>
      <c r="L377" s="154" t="s">
        <v>428</v>
      </c>
    </row>
    <row r="378" spans="1:12" s="155" customFormat="1" ht="49.9" hidden="1" customHeight="1" outlineLevel="1" x14ac:dyDescent="0.2">
      <c r="A378" s="583"/>
      <c r="B378" s="142" t="s">
        <v>374</v>
      </c>
      <c r="C378" s="142" t="s">
        <v>375</v>
      </c>
      <c r="D378" s="142" t="s">
        <v>376</v>
      </c>
      <c r="E378" s="142" t="s">
        <v>265</v>
      </c>
      <c r="F378" s="150">
        <v>0.15</v>
      </c>
      <c r="G378" s="142" t="s">
        <v>268</v>
      </c>
      <c r="H378" s="150">
        <v>1</v>
      </c>
      <c r="I378" s="187">
        <v>0</v>
      </c>
      <c r="J378" s="139">
        <v>0</v>
      </c>
      <c r="K378" s="142" t="e">
        <f t="shared" si="8"/>
        <v>#DIV/0!</v>
      </c>
      <c r="L378" s="154" t="s">
        <v>429</v>
      </c>
    </row>
    <row r="379" spans="1:12" s="155" customFormat="1" ht="49.9" hidden="1" customHeight="1" outlineLevel="1" x14ac:dyDescent="0.2">
      <c r="A379" s="583"/>
      <c r="B379" s="600" t="s">
        <v>378</v>
      </c>
      <c r="C379" s="600" t="s">
        <v>379</v>
      </c>
      <c r="D379" s="600" t="s">
        <v>380</v>
      </c>
      <c r="E379" s="600" t="s">
        <v>366</v>
      </c>
      <c r="F379" s="607">
        <v>0.25</v>
      </c>
      <c r="G379" s="142" t="s">
        <v>263</v>
      </c>
      <c r="H379" s="153">
        <v>234</v>
      </c>
      <c r="I379" s="187">
        <v>0</v>
      </c>
      <c r="J379" s="139">
        <v>0</v>
      </c>
      <c r="K379" s="142" t="e">
        <f t="shared" si="8"/>
        <v>#DIV/0!</v>
      </c>
      <c r="L379" s="154" t="s">
        <v>430</v>
      </c>
    </row>
    <row r="380" spans="1:12" s="155" customFormat="1" ht="49.9" hidden="1" customHeight="1" outlineLevel="1" x14ac:dyDescent="0.2">
      <c r="A380" s="583"/>
      <c r="B380" s="600"/>
      <c r="C380" s="600"/>
      <c r="D380" s="600"/>
      <c r="E380" s="600"/>
      <c r="F380" s="607"/>
      <c r="G380" s="142" t="s">
        <v>324</v>
      </c>
      <c r="H380" s="150">
        <v>1</v>
      </c>
      <c r="I380" s="187">
        <v>0</v>
      </c>
      <c r="J380" s="139">
        <v>0</v>
      </c>
      <c r="K380" s="142" t="e">
        <f t="shared" si="8"/>
        <v>#DIV/0!</v>
      </c>
      <c r="L380" s="154" t="s">
        <v>431</v>
      </c>
    </row>
    <row r="381" spans="1:12" s="155" customFormat="1" ht="49.9" hidden="1" customHeight="1" outlineLevel="1" x14ac:dyDescent="0.2">
      <c r="A381" s="583" t="s">
        <v>132</v>
      </c>
      <c r="B381" s="600" t="s">
        <v>363</v>
      </c>
      <c r="C381" s="600" t="s">
        <v>364</v>
      </c>
      <c r="D381" s="600" t="s">
        <v>365</v>
      </c>
      <c r="E381" s="600" t="s">
        <v>366</v>
      </c>
      <c r="F381" s="607">
        <v>0.45</v>
      </c>
      <c r="G381" s="142" t="s">
        <v>318</v>
      </c>
      <c r="H381" s="150">
        <v>1</v>
      </c>
      <c r="I381" s="187">
        <v>0</v>
      </c>
      <c r="J381" s="139">
        <v>0</v>
      </c>
      <c r="K381" s="142" t="e">
        <f t="shared" si="8"/>
        <v>#DIV/0!</v>
      </c>
      <c r="L381" s="154" t="s">
        <v>397</v>
      </c>
    </row>
    <row r="382" spans="1:12" s="155" customFormat="1" ht="49.9" hidden="1" customHeight="1" outlineLevel="1" x14ac:dyDescent="0.2">
      <c r="A382" s="583"/>
      <c r="B382" s="600"/>
      <c r="C382" s="600"/>
      <c r="D382" s="600"/>
      <c r="E382" s="600"/>
      <c r="F382" s="607"/>
      <c r="G382" s="142" t="s">
        <v>330</v>
      </c>
      <c r="H382" s="156">
        <v>4</v>
      </c>
      <c r="I382" s="187">
        <v>0</v>
      </c>
      <c r="J382" s="139">
        <v>0</v>
      </c>
      <c r="K382" s="142" t="e">
        <f t="shared" si="8"/>
        <v>#DIV/0!</v>
      </c>
      <c r="L382" s="154" t="s">
        <v>398</v>
      </c>
    </row>
    <row r="383" spans="1:12" s="155" customFormat="1" ht="49.9" hidden="1" customHeight="1" outlineLevel="1" x14ac:dyDescent="0.2">
      <c r="A383" s="583"/>
      <c r="B383" s="600"/>
      <c r="C383" s="600"/>
      <c r="D383" s="600"/>
      <c r="E383" s="600"/>
      <c r="F383" s="607"/>
      <c r="G383" s="142" t="s">
        <v>331</v>
      </c>
      <c r="H383" s="150">
        <v>1</v>
      </c>
      <c r="I383" s="187">
        <v>0</v>
      </c>
      <c r="J383" s="139">
        <v>0</v>
      </c>
      <c r="K383" s="142" t="e">
        <f t="shared" si="8"/>
        <v>#DIV/0!</v>
      </c>
      <c r="L383" s="154" t="s">
        <v>399</v>
      </c>
    </row>
    <row r="384" spans="1:12" s="155" customFormat="1" ht="49.9" hidden="1" customHeight="1" outlineLevel="1" x14ac:dyDescent="0.2">
      <c r="A384" s="583"/>
      <c r="B384" s="142" t="s">
        <v>370</v>
      </c>
      <c r="C384" s="142" t="s">
        <v>371</v>
      </c>
      <c r="D384" s="142" t="s">
        <v>372</v>
      </c>
      <c r="E384" s="142" t="s">
        <v>265</v>
      </c>
      <c r="F384" s="150">
        <v>0.15</v>
      </c>
      <c r="G384" s="142" t="s">
        <v>267</v>
      </c>
      <c r="H384" s="156">
        <v>426</v>
      </c>
      <c r="I384" s="187">
        <v>0</v>
      </c>
      <c r="J384" s="139">
        <v>0</v>
      </c>
      <c r="K384" s="142" t="e">
        <f t="shared" si="8"/>
        <v>#DIV/0!</v>
      </c>
      <c r="L384" s="154" t="s">
        <v>400</v>
      </c>
    </row>
    <row r="385" spans="1:13" s="155" customFormat="1" ht="49.9" hidden="1" customHeight="1" outlineLevel="1" x14ac:dyDescent="0.2">
      <c r="A385" s="583"/>
      <c r="B385" s="142" t="s">
        <v>374</v>
      </c>
      <c r="C385" s="142" t="s">
        <v>375</v>
      </c>
      <c r="D385" s="142" t="s">
        <v>376</v>
      </c>
      <c r="E385" s="142" t="s">
        <v>265</v>
      </c>
      <c r="F385" s="150">
        <v>0.15</v>
      </c>
      <c r="G385" s="142" t="s">
        <v>268</v>
      </c>
      <c r="H385" s="150">
        <v>1</v>
      </c>
      <c r="I385" s="187">
        <v>0</v>
      </c>
      <c r="J385" s="139">
        <v>0</v>
      </c>
      <c r="K385" s="142" t="e">
        <f t="shared" si="8"/>
        <v>#DIV/0!</v>
      </c>
      <c r="L385" s="154" t="s">
        <v>401</v>
      </c>
    </row>
    <row r="386" spans="1:13" s="155" customFormat="1" ht="49.9" hidden="1" customHeight="1" outlineLevel="1" x14ac:dyDescent="0.2">
      <c r="A386" s="583"/>
      <c r="B386" s="600" t="s">
        <v>378</v>
      </c>
      <c r="C386" s="600" t="s">
        <v>379</v>
      </c>
      <c r="D386" s="600" t="s">
        <v>380</v>
      </c>
      <c r="E386" s="600" t="s">
        <v>366</v>
      </c>
      <c r="F386" s="607">
        <v>0.25</v>
      </c>
      <c r="G386" s="142" t="s">
        <v>263</v>
      </c>
      <c r="H386" s="156">
        <v>234</v>
      </c>
      <c r="I386" s="187">
        <v>0</v>
      </c>
      <c r="J386" s="139">
        <v>0</v>
      </c>
      <c r="K386" s="142" t="e">
        <f t="shared" si="8"/>
        <v>#DIV/0!</v>
      </c>
      <c r="L386" s="154" t="s">
        <v>402</v>
      </c>
    </row>
    <row r="387" spans="1:13" s="155" customFormat="1" ht="49.9" hidden="1" customHeight="1" outlineLevel="1" x14ac:dyDescent="0.2">
      <c r="A387" s="583"/>
      <c r="B387" s="600"/>
      <c r="C387" s="600"/>
      <c r="D387" s="600"/>
      <c r="E387" s="600"/>
      <c r="F387" s="607"/>
      <c r="G387" s="142" t="s">
        <v>324</v>
      </c>
      <c r="H387" s="150">
        <v>1</v>
      </c>
      <c r="I387" s="187">
        <v>0</v>
      </c>
      <c r="J387" s="139">
        <v>0</v>
      </c>
      <c r="K387" s="142" t="e">
        <f>J387/I387</f>
        <v>#DIV/0!</v>
      </c>
      <c r="L387" s="154" t="s">
        <v>403</v>
      </c>
    </row>
    <row r="388" spans="1:13" s="155" customFormat="1" ht="55.15" hidden="1" customHeight="1" outlineLevel="1" x14ac:dyDescent="0.2">
      <c r="A388" s="619" t="s">
        <v>133</v>
      </c>
      <c r="B388" s="600" t="s">
        <v>363</v>
      </c>
      <c r="C388" s="600" t="s">
        <v>364</v>
      </c>
      <c r="D388" s="600" t="s">
        <v>365</v>
      </c>
      <c r="E388" s="600" t="s">
        <v>366</v>
      </c>
      <c r="F388" s="607">
        <v>0.45</v>
      </c>
      <c r="G388" s="142" t="s">
        <v>318</v>
      </c>
      <c r="H388" s="150">
        <v>1</v>
      </c>
      <c r="I388" s="187">
        <v>0</v>
      </c>
      <c r="J388" s="139">
        <v>0</v>
      </c>
      <c r="K388" s="142" t="e">
        <f t="shared" ref="K388:K393" si="9">J388/I388</f>
        <v>#DIV/0!</v>
      </c>
      <c r="L388" s="154" t="s">
        <v>404</v>
      </c>
    </row>
    <row r="389" spans="1:13" s="155" customFormat="1" ht="55.15" hidden="1" customHeight="1" outlineLevel="1" x14ac:dyDescent="0.2">
      <c r="A389" s="617"/>
      <c r="B389" s="600"/>
      <c r="C389" s="600"/>
      <c r="D389" s="600"/>
      <c r="E389" s="600"/>
      <c r="F389" s="607"/>
      <c r="G389" s="142" t="s">
        <v>330</v>
      </c>
      <c r="H389" s="156">
        <v>4</v>
      </c>
      <c r="I389" s="187">
        <v>0</v>
      </c>
      <c r="J389" s="139">
        <v>0</v>
      </c>
      <c r="K389" s="142" t="e">
        <f t="shared" si="9"/>
        <v>#DIV/0!</v>
      </c>
      <c r="L389" s="154" t="s">
        <v>405</v>
      </c>
    </row>
    <row r="390" spans="1:13" s="155" customFormat="1" ht="55.15" hidden="1" customHeight="1" outlineLevel="1" x14ac:dyDescent="0.2">
      <c r="A390" s="617"/>
      <c r="B390" s="600"/>
      <c r="C390" s="600"/>
      <c r="D390" s="600"/>
      <c r="E390" s="600"/>
      <c r="F390" s="607"/>
      <c r="G390" s="142" t="s">
        <v>331</v>
      </c>
      <c r="H390" s="150">
        <v>1</v>
      </c>
      <c r="I390" s="187">
        <v>0</v>
      </c>
      <c r="J390" s="139">
        <v>0</v>
      </c>
      <c r="K390" s="142" t="e">
        <f t="shared" si="9"/>
        <v>#DIV/0!</v>
      </c>
      <c r="L390" s="154" t="s">
        <v>406</v>
      </c>
    </row>
    <row r="391" spans="1:13" s="155" customFormat="1" ht="55.15" hidden="1" customHeight="1" outlineLevel="1" x14ac:dyDescent="0.2">
      <c r="A391" s="617"/>
      <c r="B391" s="142" t="s">
        <v>370</v>
      </c>
      <c r="C391" s="142" t="s">
        <v>371</v>
      </c>
      <c r="D391" s="142" t="s">
        <v>372</v>
      </c>
      <c r="E391" s="142" t="s">
        <v>265</v>
      </c>
      <c r="F391" s="150">
        <v>0.15</v>
      </c>
      <c r="G391" s="142" t="s">
        <v>267</v>
      </c>
      <c r="H391" s="156">
        <v>491</v>
      </c>
      <c r="I391" s="187">
        <v>0</v>
      </c>
      <c r="J391" s="139">
        <v>0</v>
      </c>
      <c r="K391" s="142" t="e">
        <f t="shared" si="9"/>
        <v>#DIV/0!</v>
      </c>
      <c r="L391" s="154" t="s">
        <v>407</v>
      </c>
    </row>
    <row r="392" spans="1:13" s="155" customFormat="1" ht="55.15" hidden="1" customHeight="1" outlineLevel="1" x14ac:dyDescent="0.2">
      <c r="A392" s="617"/>
      <c r="B392" s="142" t="s">
        <v>374</v>
      </c>
      <c r="C392" s="142" t="s">
        <v>375</v>
      </c>
      <c r="D392" s="142" t="s">
        <v>376</v>
      </c>
      <c r="E392" s="142" t="s">
        <v>265</v>
      </c>
      <c r="F392" s="150">
        <v>0.15</v>
      </c>
      <c r="G392" s="142" t="s">
        <v>268</v>
      </c>
      <c r="H392" s="150">
        <v>1</v>
      </c>
      <c r="I392" s="187">
        <v>0</v>
      </c>
      <c r="J392" s="139">
        <v>0</v>
      </c>
      <c r="K392" s="142" t="e">
        <f t="shared" si="9"/>
        <v>#DIV/0!</v>
      </c>
      <c r="L392" s="154" t="s">
        <v>408</v>
      </c>
    </row>
    <row r="393" spans="1:13" s="155" customFormat="1" ht="55.15" hidden="1" customHeight="1" outlineLevel="1" x14ac:dyDescent="0.2">
      <c r="A393" s="617"/>
      <c r="B393" s="600" t="s">
        <v>378</v>
      </c>
      <c r="C393" s="600" t="s">
        <v>379</v>
      </c>
      <c r="D393" s="600" t="s">
        <v>380</v>
      </c>
      <c r="E393" s="600" t="s">
        <v>366</v>
      </c>
      <c r="F393" s="607">
        <v>0.25</v>
      </c>
      <c r="G393" s="142" t="s">
        <v>263</v>
      </c>
      <c r="H393" s="156">
        <v>1292</v>
      </c>
      <c r="I393" s="187">
        <v>0</v>
      </c>
      <c r="J393" s="139">
        <v>0</v>
      </c>
      <c r="K393" s="142" t="e">
        <f t="shared" si="9"/>
        <v>#DIV/0!</v>
      </c>
      <c r="L393" s="154" t="s">
        <v>409</v>
      </c>
    </row>
    <row r="394" spans="1:13" s="155" customFormat="1" ht="55.15" hidden="1" customHeight="1" outlineLevel="1" x14ac:dyDescent="0.2">
      <c r="A394" s="592"/>
      <c r="B394" s="600"/>
      <c r="C394" s="600"/>
      <c r="D394" s="600"/>
      <c r="E394" s="600"/>
      <c r="F394" s="607"/>
      <c r="G394" s="142" t="s">
        <v>324</v>
      </c>
      <c r="H394" s="150">
        <v>1</v>
      </c>
      <c r="I394" s="187">
        <v>0</v>
      </c>
      <c r="J394" s="139">
        <v>0</v>
      </c>
      <c r="K394" s="142" t="e">
        <f>J394/I394</f>
        <v>#DIV/0!</v>
      </c>
      <c r="L394" s="154" t="s">
        <v>410</v>
      </c>
    </row>
    <row r="395" spans="1:13" hidden="1" collapsed="1" x14ac:dyDescent="0.25"/>
    <row r="396" spans="1:13" ht="19.899999999999999" hidden="1" customHeight="1" x14ac:dyDescent="0.25">
      <c r="A396" s="608" t="s">
        <v>200</v>
      </c>
      <c r="B396" s="609"/>
      <c r="C396" s="609"/>
      <c r="D396" s="609"/>
      <c r="E396" s="609"/>
      <c r="F396" s="609"/>
      <c r="G396" s="609"/>
      <c r="H396" s="609"/>
      <c r="I396" s="609"/>
      <c r="J396" s="609"/>
      <c r="K396" s="609"/>
      <c r="L396" s="610"/>
    </row>
    <row r="397" spans="1:13" ht="44.25" hidden="1" customHeight="1" x14ac:dyDescent="0.25">
      <c r="A397" s="140" t="s">
        <v>49</v>
      </c>
      <c r="B397" s="37" t="s">
        <v>145</v>
      </c>
      <c r="C397" s="37" t="s">
        <v>146</v>
      </c>
      <c r="D397" s="37" t="s">
        <v>147</v>
      </c>
      <c r="E397" s="37" t="s">
        <v>148</v>
      </c>
      <c r="F397" s="37" t="s">
        <v>156</v>
      </c>
      <c r="G397" s="37" t="s">
        <v>150</v>
      </c>
      <c r="H397" s="37" t="s">
        <v>157</v>
      </c>
      <c r="I397" s="185" t="s">
        <v>152</v>
      </c>
      <c r="J397" s="37" t="s">
        <v>153</v>
      </c>
      <c r="K397" s="37" t="s">
        <v>154</v>
      </c>
      <c r="L397" s="37" t="s">
        <v>155</v>
      </c>
    </row>
    <row r="398" spans="1:13" ht="49.9" hidden="1" customHeight="1" outlineLevel="1" x14ac:dyDescent="0.25">
      <c r="A398" s="598" t="s">
        <v>135</v>
      </c>
      <c r="B398" s="600" t="s">
        <v>363</v>
      </c>
      <c r="C398" s="600" t="s">
        <v>364</v>
      </c>
      <c r="D398" s="600" t="s">
        <v>365</v>
      </c>
      <c r="E398" s="600" t="s">
        <v>366</v>
      </c>
      <c r="F398" s="607">
        <v>0.45</v>
      </c>
      <c r="G398" s="142" t="s">
        <v>318</v>
      </c>
      <c r="H398" s="150">
        <v>1</v>
      </c>
      <c r="I398" s="187">
        <v>0</v>
      </c>
      <c r="J398" s="139">
        <v>0</v>
      </c>
      <c r="K398" s="142" t="e">
        <f t="shared" ref="K398:K425" si="10">J398/I398</f>
        <v>#DIV/0!</v>
      </c>
      <c r="L398" s="157" t="s">
        <v>404</v>
      </c>
      <c r="M398" s="158"/>
    </row>
    <row r="399" spans="1:13" ht="49.9" hidden="1" customHeight="1" outlineLevel="1" x14ac:dyDescent="0.25">
      <c r="A399" s="599"/>
      <c r="B399" s="600"/>
      <c r="C399" s="600"/>
      <c r="D399" s="600"/>
      <c r="E399" s="600"/>
      <c r="F399" s="607"/>
      <c r="G399" s="142" t="s">
        <v>330</v>
      </c>
      <c r="H399" s="156">
        <v>8</v>
      </c>
      <c r="I399" s="187">
        <v>0</v>
      </c>
      <c r="J399" s="139">
        <v>0</v>
      </c>
      <c r="K399" s="142" t="e">
        <f t="shared" si="10"/>
        <v>#DIV/0!</v>
      </c>
      <c r="L399" s="157" t="s">
        <v>405</v>
      </c>
      <c r="M399" s="158"/>
    </row>
    <row r="400" spans="1:13" ht="49.9" hidden="1" customHeight="1" outlineLevel="1" x14ac:dyDescent="0.25">
      <c r="A400" s="599"/>
      <c r="B400" s="600"/>
      <c r="C400" s="600"/>
      <c r="D400" s="600"/>
      <c r="E400" s="600"/>
      <c r="F400" s="607"/>
      <c r="G400" s="142" t="s">
        <v>331</v>
      </c>
      <c r="H400" s="156">
        <v>2</v>
      </c>
      <c r="I400" s="187">
        <v>0</v>
      </c>
      <c r="J400" s="139">
        <v>0</v>
      </c>
      <c r="K400" s="142" t="e">
        <f t="shared" si="10"/>
        <v>#DIV/0!</v>
      </c>
      <c r="L400" s="157" t="s">
        <v>406</v>
      </c>
      <c r="M400" s="158"/>
    </row>
    <row r="401" spans="1:13" ht="49.9" hidden="1" customHeight="1" outlineLevel="1" x14ac:dyDescent="0.25">
      <c r="A401" s="599"/>
      <c r="B401" s="142" t="s">
        <v>370</v>
      </c>
      <c r="C401" s="142" t="s">
        <v>371</v>
      </c>
      <c r="D401" s="142" t="s">
        <v>372</v>
      </c>
      <c r="E401" s="142" t="s">
        <v>265</v>
      </c>
      <c r="F401" s="150">
        <v>0.15</v>
      </c>
      <c r="G401" s="142" t="s">
        <v>267</v>
      </c>
      <c r="H401" s="156">
        <v>893</v>
      </c>
      <c r="I401" s="187">
        <v>0</v>
      </c>
      <c r="J401" s="139">
        <v>0</v>
      </c>
      <c r="K401" s="142" t="e">
        <f t="shared" si="10"/>
        <v>#DIV/0!</v>
      </c>
      <c r="L401" s="157" t="s">
        <v>407</v>
      </c>
      <c r="M401" s="158"/>
    </row>
    <row r="402" spans="1:13" ht="49.9" hidden="1" customHeight="1" outlineLevel="1" x14ac:dyDescent="0.25">
      <c r="A402" s="599"/>
      <c r="B402" s="142" t="s">
        <v>374</v>
      </c>
      <c r="C402" s="142" t="s">
        <v>375</v>
      </c>
      <c r="D402" s="142" t="s">
        <v>376</v>
      </c>
      <c r="E402" s="142" t="s">
        <v>265</v>
      </c>
      <c r="F402" s="150">
        <v>0.15</v>
      </c>
      <c r="G402" s="142" t="s">
        <v>268</v>
      </c>
      <c r="H402" s="150">
        <v>1</v>
      </c>
      <c r="I402" s="187">
        <v>0</v>
      </c>
      <c r="J402" s="139">
        <v>0</v>
      </c>
      <c r="K402" s="142" t="e">
        <f t="shared" si="10"/>
        <v>#DIV/0!</v>
      </c>
      <c r="L402" s="157" t="s">
        <v>408</v>
      </c>
      <c r="M402" s="158"/>
    </row>
    <row r="403" spans="1:13" ht="49.9" hidden="1" customHeight="1" outlineLevel="1" x14ac:dyDescent="0.25">
      <c r="A403" s="599"/>
      <c r="B403" s="600" t="s">
        <v>378</v>
      </c>
      <c r="C403" s="600" t="s">
        <v>379</v>
      </c>
      <c r="D403" s="600" t="s">
        <v>380</v>
      </c>
      <c r="E403" s="600" t="s">
        <v>366</v>
      </c>
      <c r="F403" s="607">
        <v>0.25</v>
      </c>
      <c r="G403" s="142" t="s">
        <v>263</v>
      </c>
      <c r="H403" s="156">
        <v>759</v>
      </c>
      <c r="I403" s="187">
        <v>0</v>
      </c>
      <c r="J403" s="139">
        <v>0</v>
      </c>
      <c r="K403" s="142" t="e">
        <f t="shared" si="10"/>
        <v>#DIV/0!</v>
      </c>
      <c r="L403" s="157" t="s">
        <v>409</v>
      </c>
      <c r="M403" s="158"/>
    </row>
    <row r="404" spans="1:13" ht="49.9" hidden="1" customHeight="1" outlineLevel="1" x14ac:dyDescent="0.25">
      <c r="A404" s="605"/>
      <c r="B404" s="600"/>
      <c r="C404" s="600"/>
      <c r="D404" s="600"/>
      <c r="E404" s="600"/>
      <c r="F404" s="607"/>
      <c r="G404" s="142" t="s">
        <v>324</v>
      </c>
      <c r="H404" s="150">
        <v>1</v>
      </c>
      <c r="I404" s="187">
        <v>0</v>
      </c>
      <c r="J404" s="139">
        <v>0</v>
      </c>
      <c r="K404" s="142" t="e">
        <f t="shared" si="10"/>
        <v>#DIV/0!</v>
      </c>
      <c r="L404" s="157" t="s">
        <v>410</v>
      </c>
      <c r="M404" s="158"/>
    </row>
    <row r="405" spans="1:13" ht="49.9" hidden="1" customHeight="1" outlineLevel="1" x14ac:dyDescent="0.25">
      <c r="A405" s="598" t="s">
        <v>136</v>
      </c>
      <c r="B405" s="600" t="s">
        <v>363</v>
      </c>
      <c r="C405" s="600" t="s">
        <v>364</v>
      </c>
      <c r="D405" s="600" t="s">
        <v>365</v>
      </c>
      <c r="E405" s="600" t="s">
        <v>366</v>
      </c>
      <c r="F405" s="607">
        <v>0.45</v>
      </c>
      <c r="G405" s="142" t="s">
        <v>318</v>
      </c>
      <c r="H405" s="150">
        <v>1</v>
      </c>
      <c r="I405" s="187">
        <v>0</v>
      </c>
      <c r="J405" s="139">
        <v>0</v>
      </c>
      <c r="K405" s="142" t="e">
        <f t="shared" si="10"/>
        <v>#DIV/0!</v>
      </c>
      <c r="L405" s="159" t="s">
        <v>411</v>
      </c>
    </row>
    <row r="406" spans="1:13" ht="49.9" hidden="1" customHeight="1" outlineLevel="1" x14ac:dyDescent="0.25">
      <c r="A406" s="599"/>
      <c r="B406" s="600"/>
      <c r="C406" s="600"/>
      <c r="D406" s="600"/>
      <c r="E406" s="600"/>
      <c r="F406" s="607"/>
      <c r="G406" s="142" t="s">
        <v>330</v>
      </c>
      <c r="H406" s="156">
        <v>8</v>
      </c>
      <c r="I406" s="187">
        <v>0</v>
      </c>
      <c r="J406" s="139">
        <v>0</v>
      </c>
      <c r="K406" s="142" t="e">
        <f t="shared" si="10"/>
        <v>#DIV/0!</v>
      </c>
      <c r="L406" s="159" t="s">
        <v>412</v>
      </c>
    </row>
    <row r="407" spans="1:13" ht="49.9" hidden="1" customHeight="1" outlineLevel="1" x14ac:dyDescent="0.25">
      <c r="A407" s="599"/>
      <c r="B407" s="600"/>
      <c r="C407" s="600"/>
      <c r="D407" s="600"/>
      <c r="E407" s="600"/>
      <c r="F407" s="607"/>
      <c r="G407" s="142" t="s">
        <v>331</v>
      </c>
      <c r="H407" s="156">
        <v>2</v>
      </c>
      <c r="I407" s="187">
        <v>0</v>
      </c>
      <c r="J407" s="139">
        <v>0</v>
      </c>
      <c r="K407" s="142" t="e">
        <f t="shared" si="10"/>
        <v>#DIV/0!</v>
      </c>
      <c r="L407" s="159" t="s">
        <v>413</v>
      </c>
    </row>
    <row r="408" spans="1:13" ht="49.9" hidden="1" customHeight="1" outlineLevel="1" x14ac:dyDescent="0.25">
      <c r="A408" s="599"/>
      <c r="B408" s="142" t="s">
        <v>370</v>
      </c>
      <c r="C408" s="142" t="s">
        <v>371</v>
      </c>
      <c r="D408" s="142" t="s">
        <v>372</v>
      </c>
      <c r="E408" s="142" t="s">
        <v>265</v>
      </c>
      <c r="F408" s="150">
        <v>0.15</v>
      </c>
      <c r="G408" s="142" t="s">
        <v>267</v>
      </c>
      <c r="H408" s="156">
        <v>893</v>
      </c>
      <c r="I408" s="187">
        <v>0</v>
      </c>
      <c r="J408" s="139">
        <v>0</v>
      </c>
      <c r="K408" s="142" t="e">
        <f t="shared" si="10"/>
        <v>#DIV/0!</v>
      </c>
      <c r="L408" s="159" t="s">
        <v>414</v>
      </c>
    </row>
    <row r="409" spans="1:13" ht="49.9" hidden="1" customHeight="1" outlineLevel="1" x14ac:dyDescent="0.25">
      <c r="A409" s="599"/>
      <c r="B409" s="142" t="s">
        <v>374</v>
      </c>
      <c r="C409" s="142" t="s">
        <v>375</v>
      </c>
      <c r="D409" s="142" t="s">
        <v>376</v>
      </c>
      <c r="E409" s="142" t="s">
        <v>265</v>
      </c>
      <c r="F409" s="150">
        <v>0.15</v>
      </c>
      <c r="G409" s="142" t="s">
        <v>268</v>
      </c>
      <c r="H409" s="150">
        <v>1</v>
      </c>
      <c r="I409" s="187">
        <v>0</v>
      </c>
      <c r="J409" s="139">
        <v>0</v>
      </c>
      <c r="K409" s="142" t="e">
        <f t="shared" si="10"/>
        <v>#DIV/0!</v>
      </c>
      <c r="L409" s="159" t="s">
        <v>415</v>
      </c>
    </row>
    <row r="410" spans="1:13" ht="49.9" hidden="1" customHeight="1" outlineLevel="1" x14ac:dyDescent="0.25">
      <c r="A410" s="599"/>
      <c r="B410" s="600" t="s">
        <v>378</v>
      </c>
      <c r="C410" s="600" t="s">
        <v>379</v>
      </c>
      <c r="D410" s="600" t="s">
        <v>380</v>
      </c>
      <c r="E410" s="600" t="s">
        <v>366</v>
      </c>
      <c r="F410" s="607">
        <v>0.25</v>
      </c>
      <c r="G410" s="142" t="s">
        <v>263</v>
      </c>
      <c r="H410" s="156">
        <v>759</v>
      </c>
      <c r="I410" s="187">
        <v>0</v>
      </c>
      <c r="J410" s="139">
        <v>0</v>
      </c>
      <c r="K410" s="142" t="e">
        <f t="shared" si="10"/>
        <v>#DIV/0!</v>
      </c>
      <c r="L410" s="159" t="s">
        <v>416</v>
      </c>
    </row>
    <row r="411" spans="1:13" ht="49.9" hidden="1" customHeight="1" outlineLevel="1" x14ac:dyDescent="0.25">
      <c r="A411" s="605"/>
      <c r="B411" s="600"/>
      <c r="C411" s="600"/>
      <c r="D411" s="600"/>
      <c r="E411" s="600"/>
      <c r="F411" s="607"/>
      <c r="G411" s="142" t="s">
        <v>324</v>
      </c>
      <c r="H411" s="150">
        <v>1</v>
      </c>
      <c r="I411" s="187">
        <v>0</v>
      </c>
      <c r="J411" s="139">
        <v>0</v>
      </c>
      <c r="K411" s="142" t="e">
        <f t="shared" si="10"/>
        <v>#DIV/0!</v>
      </c>
      <c r="L411" s="159" t="s">
        <v>417</v>
      </c>
    </row>
    <row r="412" spans="1:13" ht="49.9" hidden="1" customHeight="1" outlineLevel="1" x14ac:dyDescent="0.25">
      <c r="A412" s="598" t="s">
        <v>137</v>
      </c>
      <c r="B412" s="600" t="s">
        <v>363</v>
      </c>
      <c r="C412" s="600" t="s">
        <v>364</v>
      </c>
      <c r="D412" s="600" t="s">
        <v>365</v>
      </c>
      <c r="E412" s="600" t="s">
        <v>366</v>
      </c>
      <c r="F412" s="607">
        <v>0.45</v>
      </c>
      <c r="G412" s="142" t="s">
        <v>318</v>
      </c>
      <c r="H412" s="150">
        <v>1</v>
      </c>
      <c r="I412" s="187">
        <v>0</v>
      </c>
      <c r="J412" s="139">
        <v>0</v>
      </c>
      <c r="K412" s="142" t="e">
        <f t="shared" si="10"/>
        <v>#DIV/0!</v>
      </c>
      <c r="L412" s="159" t="s">
        <v>418</v>
      </c>
    </row>
    <row r="413" spans="1:13" ht="49.9" hidden="1" customHeight="1" outlineLevel="1" x14ac:dyDescent="0.25">
      <c r="A413" s="599"/>
      <c r="B413" s="600"/>
      <c r="C413" s="600"/>
      <c r="D413" s="600"/>
      <c r="E413" s="600"/>
      <c r="F413" s="607"/>
      <c r="G413" s="142" t="s">
        <v>330</v>
      </c>
      <c r="H413" s="156">
        <v>8</v>
      </c>
      <c r="I413" s="187">
        <v>0</v>
      </c>
      <c r="J413" s="139">
        <v>0</v>
      </c>
      <c r="K413" s="142" t="e">
        <f t="shared" si="10"/>
        <v>#DIV/0!</v>
      </c>
      <c r="L413" s="159" t="s">
        <v>419</v>
      </c>
    </row>
    <row r="414" spans="1:13" ht="49.9" hidden="1" customHeight="1" outlineLevel="1" x14ac:dyDescent="0.25">
      <c r="A414" s="599"/>
      <c r="B414" s="600"/>
      <c r="C414" s="600"/>
      <c r="D414" s="600"/>
      <c r="E414" s="600"/>
      <c r="F414" s="607"/>
      <c r="G414" s="142" t="s">
        <v>331</v>
      </c>
      <c r="H414" s="156">
        <v>2</v>
      </c>
      <c r="I414" s="187">
        <v>0</v>
      </c>
      <c r="J414" s="139">
        <v>0</v>
      </c>
      <c r="K414" s="142" t="e">
        <f t="shared" si="10"/>
        <v>#DIV/0!</v>
      </c>
      <c r="L414" s="159" t="s">
        <v>420</v>
      </c>
    </row>
    <row r="415" spans="1:13" ht="49.9" hidden="1" customHeight="1" outlineLevel="1" x14ac:dyDescent="0.25">
      <c r="A415" s="599"/>
      <c r="B415" s="142" t="s">
        <v>370</v>
      </c>
      <c r="C415" s="142" t="s">
        <v>371</v>
      </c>
      <c r="D415" s="142" t="s">
        <v>372</v>
      </c>
      <c r="E415" s="142" t="s">
        <v>265</v>
      </c>
      <c r="F415" s="150">
        <v>0.15</v>
      </c>
      <c r="G415" s="142" t="s">
        <v>267</v>
      </c>
      <c r="H415" s="156">
        <v>893</v>
      </c>
      <c r="I415" s="187">
        <v>0</v>
      </c>
      <c r="J415" s="139">
        <v>0</v>
      </c>
      <c r="K415" s="142" t="e">
        <f t="shared" si="10"/>
        <v>#DIV/0!</v>
      </c>
      <c r="L415" s="159" t="s">
        <v>421</v>
      </c>
    </row>
    <row r="416" spans="1:13" ht="49.9" hidden="1" customHeight="1" outlineLevel="1" x14ac:dyDescent="0.25">
      <c r="A416" s="599"/>
      <c r="B416" s="142" t="s">
        <v>374</v>
      </c>
      <c r="C416" s="142" t="s">
        <v>375</v>
      </c>
      <c r="D416" s="142" t="s">
        <v>376</v>
      </c>
      <c r="E416" s="142" t="s">
        <v>265</v>
      </c>
      <c r="F416" s="150">
        <v>0.15</v>
      </c>
      <c r="G416" s="142" t="s">
        <v>268</v>
      </c>
      <c r="H416" s="150">
        <v>1</v>
      </c>
      <c r="I416" s="187">
        <v>0</v>
      </c>
      <c r="J416" s="139">
        <v>0</v>
      </c>
      <c r="K416" s="142" t="e">
        <f t="shared" si="10"/>
        <v>#DIV/0!</v>
      </c>
      <c r="L416" s="159" t="s">
        <v>422</v>
      </c>
    </row>
    <row r="417" spans="1:12" ht="49.9" hidden="1" customHeight="1" outlineLevel="1" x14ac:dyDescent="0.25">
      <c r="A417" s="599"/>
      <c r="B417" s="600" t="s">
        <v>378</v>
      </c>
      <c r="C417" s="600" t="s">
        <v>379</v>
      </c>
      <c r="D417" s="600" t="s">
        <v>380</v>
      </c>
      <c r="E417" s="600" t="s">
        <v>366</v>
      </c>
      <c r="F417" s="607">
        <v>0.25</v>
      </c>
      <c r="G417" s="142" t="s">
        <v>263</v>
      </c>
      <c r="H417" s="156">
        <v>4707</v>
      </c>
      <c r="I417" s="187">
        <v>0</v>
      </c>
      <c r="J417" s="139">
        <v>0</v>
      </c>
      <c r="K417" s="142" t="e">
        <f t="shared" si="10"/>
        <v>#DIV/0!</v>
      </c>
      <c r="L417" s="159" t="s">
        <v>423</v>
      </c>
    </row>
    <row r="418" spans="1:12" ht="49.9" hidden="1" customHeight="1" outlineLevel="1" x14ac:dyDescent="0.25">
      <c r="A418" s="605"/>
      <c r="B418" s="600"/>
      <c r="C418" s="600"/>
      <c r="D418" s="600"/>
      <c r="E418" s="600"/>
      <c r="F418" s="607"/>
      <c r="G418" s="142" t="s">
        <v>324</v>
      </c>
      <c r="H418" s="150">
        <v>1</v>
      </c>
      <c r="I418" s="187">
        <v>0</v>
      </c>
      <c r="J418" s="139">
        <v>0</v>
      </c>
      <c r="K418" s="142" t="e">
        <f t="shared" si="10"/>
        <v>#DIV/0!</v>
      </c>
      <c r="L418" s="159" t="s">
        <v>424</v>
      </c>
    </row>
    <row r="419" spans="1:12" ht="49.9" hidden="1" customHeight="1" outlineLevel="1" x14ac:dyDescent="0.25">
      <c r="A419" s="598" t="s">
        <v>138</v>
      </c>
      <c r="B419" s="600" t="s">
        <v>363</v>
      </c>
      <c r="C419" s="600" t="s">
        <v>364</v>
      </c>
      <c r="D419" s="600" t="s">
        <v>365</v>
      </c>
      <c r="E419" s="600" t="s">
        <v>366</v>
      </c>
      <c r="F419" s="607">
        <v>0.45</v>
      </c>
      <c r="G419" s="142" t="s">
        <v>318</v>
      </c>
      <c r="H419" s="150">
        <v>1</v>
      </c>
      <c r="I419" s="187">
        <v>0</v>
      </c>
      <c r="J419" s="139">
        <v>0</v>
      </c>
      <c r="K419" s="142" t="e">
        <f t="shared" si="10"/>
        <v>#DIV/0!</v>
      </c>
      <c r="L419" s="160" t="s">
        <v>425</v>
      </c>
    </row>
    <row r="420" spans="1:12" ht="49.9" hidden="1" customHeight="1" outlineLevel="1" x14ac:dyDescent="0.25">
      <c r="A420" s="599"/>
      <c r="B420" s="600"/>
      <c r="C420" s="600"/>
      <c r="D420" s="600"/>
      <c r="E420" s="600"/>
      <c r="F420" s="607"/>
      <c r="G420" s="142" t="s">
        <v>330</v>
      </c>
      <c r="H420" s="156">
        <v>6</v>
      </c>
      <c r="I420" s="187">
        <v>0</v>
      </c>
      <c r="J420" s="139">
        <v>0</v>
      </c>
      <c r="K420" s="142" t="e">
        <f t="shared" si="10"/>
        <v>#DIV/0!</v>
      </c>
      <c r="L420" s="160" t="s">
        <v>426</v>
      </c>
    </row>
    <row r="421" spans="1:12" ht="49.9" hidden="1" customHeight="1" outlineLevel="1" x14ac:dyDescent="0.25">
      <c r="A421" s="599"/>
      <c r="B421" s="600"/>
      <c r="C421" s="600"/>
      <c r="D421" s="600"/>
      <c r="E421" s="600"/>
      <c r="F421" s="607"/>
      <c r="G421" s="142" t="s">
        <v>331</v>
      </c>
      <c r="H421" s="156">
        <v>1</v>
      </c>
      <c r="I421" s="187">
        <v>0</v>
      </c>
      <c r="J421" s="139">
        <v>0</v>
      </c>
      <c r="K421" s="142" t="e">
        <f t="shared" si="10"/>
        <v>#DIV/0!</v>
      </c>
      <c r="L421" s="160" t="s">
        <v>427</v>
      </c>
    </row>
    <row r="422" spans="1:12" ht="49.9" hidden="1" customHeight="1" outlineLevel="1" x14ac:dyDescent="0.25">
      <c r="A422" s="599"/>
      <c r="B422" s="142" t="s">
        <v>370</v>
      </c>
      <c r="C422" s="142" t="s">
        <v>371</v>
      </c>
      <c r="D422" s="142" t="s">
        <v>372</v>
      </c>
      <c r="E422" s="142" t="s">
        <v>265</v>
      </c>
      <c r="F422" s="150">
        <v>0.15</v>
      </c>
      <c r="G422" s="142" t="s">
        <v>267</v>
      </c>
      <c r="H422" s="156">
        <v>705</v>
      </c>
      <c r="I422" s="187">
        <v>0</v>
      </c>
      <c r="J422" s="139">
        <v>0</v>
      </c>
      <c r="K422" s="142" t="e">
        <f t="shared" si="10"/>
        <v>#DIV/0!</v>
      </c>
      <c r="L422" s="160" t="s">
        <v>428</v>
      </c>
    </row>
    <row r="423" spans="1:12" ht="49.9" hidden="1" customHeight="1" outlineLevel="1" x14ac:dyDescent="0.25">
      <c r="A423" s="599"/>
      <c r="B423" s="142" t="s">
        <v>374</v>
      </c>
      <c r="C423" s="142" t="s">
        <v>375</v>
      </c>
      <c r="D423" s="142" t="s">
        <v>376</v>
      </c>
      <c r="E423" s="142" t="s">
        <v>265</v>
      </c>
      <c r="F423" s="150">
        <v>0.15</v>
      </c>
      <c r="G423" s="142" t="s">
        <v>268</v>
      </c>
      <c r="H423" s="150">
        <v>1</v>
      </c>
      <c r="I423" s="187">
        <v>0</v>
      </c>
      <c r="J423" s="139">
        <v>0</v>
      </c>
      <c r="K423" s="142" t="e">
        <f t="shared" si="10"/>
        <v>#DIV/0!</v>
      </c>
      <c r="L423" s="160" t="s">
        <v>429</v>
      </c>
    </row>
    <row r="424" spans="1:12" ht="49.9" hidden="1" customHeight="1" outlineLevel="1" x14ac:dyDescent="0.25">
      <c r="A424" s="599"/>
      <c r="B424" s="600" t="s">
        <v>378</v>
      </c>
      <c r="C424" s="600" t="s">
        <v>379</v>
      </c>
      <c r="D424" s="600" t="s">
        <v>380</v>
      </c>
      <c r="E424" s="600" t="s">
        <v>366</v>
      </c>
      <c r="F424" s="607">
        <v>0.25</v>
      </c>
      <c r="G424" s="142" t="s">
        <v>263</v>
      </c>
      <c r="H424" s="156">
        <v>4707</v>
      </c>
      <c r="I424" s="187">
        <v>0</v>
      </c>
      <c r="J424" s="139">
        <v>0</v>
      </c>
      <c r="K424" s="142" t="e">
        <f t="shared" si="10"/>
        <v>#DIV/0!</v>
      </c>
      <c r="L424" s="160" t="s">
        <v>430</v>
      </c>
    </row>
    <row r="425" spans="1:12" ht="49.9" hidden="1" customHeight="1" outlineLevel="1" x14ac:dyDescent="0.25">
      <c r="A425" s="605"/>
      <c r="B425" s="600"/>
      <c r="C425" s="600"/>
      <c r="D425" s="600"/>
      <c r="E425" s="600"/>
      <c r="F425" s="607"/>
      <c r="G425" s="142" t="s">
        <v>324</v>
      </c>
      <c r="H425" s="150">
        <v>1</v>
      </c>
      <c r="I425" s="187">
        <v>0</v>
      </c>
      <c r="J425" s="139">
        <v>0</v>
      </c>
      <c r="K425" s="142" t="e">
        <f t="shared" si="10"/>
        <v>#DIV/0!</v>
      </c>
      <c r="L425" s="160" t="s">
        <v>431</v>
      </c>
    </row>
    <row r="426" spans="1:12" ht="49.9" hidden="1" customHeight="1" outlineLevel="1" x14ac:dyDescent="0.25">
      <c r="A426" s="598" t="s">
        <v>139</v>
      </c>
      <c r="B426" s="600" t="s">
        <v>363</v>
      </c>
      <c r="C426" s="600" t="s">
        <v>364</v>
      </c>
      <c r="D426" s="600" t="s">
        <v>365</v>
      </c>
      <c r="E426" s="600" t="s">
        <v>366</v>
      </c>
      <c r="F426" s="607">
        <v>0.45</v>
      </c>
      <c r="G426" s="142" t="s">
        <v>318</v>
      </c>
      <c r="H426" s="150">
        <f>+INVERSIÓN!BD10</f>
        <v>1</v>
      </c>
      <c r="I426" s="187">
        <v>0</v>
      </c>
      <c r="J426" s="139">
        <v>0</v>
      </c>
      <c r="K426" s="38" t="e">
        <f t="shared" ref="K426:K439" si="11">J426/I426</f>
        <v>#DIV/0!</v>
      </c>
      <c r="L426" s="160" t="s">
        <v>454</v>
      </c>
    </row>
    <row r="427" spans="1:12" ht="49.9" hidden="1" customHeight="1" outlineLevel="1" x14ac:dyDescent="0.25">
      <c r="A427" s="599"/>
      <c r="B427" s="600"/>
      <c r="C427" s="600"/>
      <c r="D427" s="600"/>
      <c r="E427" s="600"/>
      <c r="F427" s="607"/>
      <c r="G427" s="142" t="s">
        <v>330</v>
      </c>
      <c r="H427" s="156">
        <f>+INVERSIÓN!BD17</f>
        <v>7.9999999999999991</v>
      </c>
      <c r="I427" s="187">
        <v>0</v>
      </c>
      <c r="J427" s="139">
        <v>0</v>
      </c>
      <c r="K427" s="38" t="e">
        <f t="shared" si="11"/>
        <v>#DIV/0!</v>
      </c>
      <c r="L427" s="160" t="s">
        <v>455</v>
      </c>
    </row>
    <row r="428" spans="1:12" ht="49.9" hidden="1" customHeight="1" outlineLevel="1" x14ac:dyDescent="0.25">
      <c r="A428" s="599"/>
      <c r="B428" s="600"/>
      <c r="C428" s="600"/>
      <c r="D428" s="600"/>
      <c r="E428" s="600"/>
      <c r="F428" s="607"/>
      <c r="G428" s="142" t="s">
        <v>331</v>
      </c>
      <c r="H428" s="156">
        <f>+INVERSIÓN!BD24</f>
        <v>1.9999999999999998</v>
      </c>
      <c r="I428" s="187">
        <v>0</v>
      </c>
      <c r="J428" s="139">
        <v>0</v>
      </c>
      <c r="K428" s="38" t="e">
        <f t="shared" si="11"/>
        <v>#DIV/0!</v>
      </c>
      <c r="L428" s="160" t="s">
        <v>456</v>
      </c>
    </row>
    <row r="429" spans="1:12" ht="49.9" hidden="1" customHeight="1" outlineLevel="1" x14ac:dyDescent="0.25">
      <c r="A429" s="599"/>
      <c r="B429" s="142" t="s">
        <v>370</v>
      </c>
      <c r="C429" s="142" t="s">
        <v>371</v>
      </c>
      <c r="D429" s="142" t="s">
        <v>372</v>
      </c>
      <c r="E429" s="142" t="s">
        <v>265</v>
      </c>
      <c r="F429" s="150">
        <v>0.15</v>
      </c>
      <c r="G429" s="142" t="s">
        <v>267</v>
      </c>
      <c r="H429" s="156">
        <f>+INVERSIÓN!BD31</f>
        <v>897</v>
      </c>
      <c r="I429" s="187">
        <v>0</v>
      </c>
      <c r="J429" s="139">
        <v>0</v>
      </c>
      <c r="K429" s="38" t="e">
        <f t="shared" si="11"/>
        <v>#DIV/0!</v>
      </c>
      <c r="L429" s="160" t="s">
        <v>457</v>
      </c>
    </row>
    <row r="430" spans="1:12" ht="49.9" hidden="1" customHeight="1" outlineLevel="1" x14ac:dyDescent="0.25">
      <c r="A430" s="599"/>
      <c r="B430" s="142" t="s">
        <v>374</v>
      </c>
      <c r="C430" s="142" t="s">
        <v>375</v>
      </c>
      <c r="D430" s="142" t="s">
        <v>376</v>
      </c>
      <c r="E430" s="142" t="s">
        <v>265</v>
      </c>
      <c r="F430" s="150">
        <v>0.15</v>
      </c>
      <c r="G430" s="142" t="s">
        <v>268</v>
      </c>
      <c r="H430" s="150">
        <f>+INVERSIÓN!BD38</f>
        <v>1</v>
      </c>
      <c r="I430" s="187">
        <v>0</v>
      </c>
      <c r="J430" s="139">
        <v>0</v>
      </c>
      <c r="K430" s="38" t="e">
        <f t="shared" si="11"/>
        <v>#DIV/0!</v>
      </c>
      <c r="L430" s="160" t="s">
        <v>458</v>
      </c>
    </row>
    <row r="431" spans="1:12" ht="49.9" hidden="1" customHeight="1" outlineLevel="1" x14ac:dyDescent="0.25">
      <c r="A431" s="599"/>
      <c r="B431" s="600" t="s">
        <v>378</v>
      </c>
      <c r="C431" s="600" t="s">
        <v>379</v>
      </c>
      <c r="D431" s="600" t="s">
        <v>380</v>
      </c>
      <c r="E431" s="600" t="s">
        <v>366</v>
      </c>
      <c r="F431" s="607">
        <v>0.25</v>
      </c>
      <c r="G431" s="142" t="s">
        <v>263</v>
      </c>
      <c r="H431" s="156">
        <f>+INVERSIÓN!BD45</f>
        <v>4950</v>
      </c>
      <c r="I431" s="187">
        <v>0</v>
      </c>
      <c r="J431" s="139">
        <v>0</v>
      </c>
      <c r="K431" s="38" t="e">
        <f t="shared" si="11"/>
        <v>#DIV/0!</v>
      </c>
      <c r="L431" s="160" t="s">
        <v>459</v>
      </c>
    </row>
    <row r="432" spans="1:12" ht="49.9" hidden="1" customHeight="1" outlineLevel="1" x14ac:dyDescent="0.25">
      <c r="A432" s="605"/>
      <c r="B432" s="600"/>
      <c r="C432" s="600"/>
      <c r="D432" s="600"/>
      <c r="E432" s="600"/>
      <c r="F432" s="607"/>
      <c r="G432" s="142" t="s">
        <v>324</v>
      </c>
      <c r="H432" s="150">
        <f>+INVERSIÓN!BD52</f>
        <v>1</v>
      </c>
      <c r="I432" s="187">
        <v>0</v>
      </c>
      <c r="J432" s="139">
        <v>0</v>
      </c>
      <c r="K432" s="38" t="e">
        <f t="shared" si="11"/>
        <v>#DIV/0!</v>
      </c>
      <c r="L432" s="160" t="s">
        <v>460</v>
      </c>
    </row>
    <row r="433" spans="1:14" ht="49.9" hidden="1" customHeight="1" outlineLevel="1" x14ac:dyDescent="0.25">
      <c r="A433" s="598" t="s">
        <v>140</v>
      </c>
      <c r="B433" s="600" t="s">
        <v>363</v>
      </c>
      <c r="C433" s="600" t="s">
        <v>364</v>
      </c>
      <c r="D433" s="600" t="s">
        <v>365</v>
      </c>
      <c r="E433" s="600" t="s">
        <v>366</v>
      </c>
      <c r="F433" s="607">
        <v>0.45</v>
      </c>
      <c r="G433" s="142" t="s">
        <v>318</v>
      </c>
      <c r="H433" s="150">
        <f>+INVERSIÓN!BD10</f>
        <v>1</v>
      </c>
      <c r="I433" s="187">
        <v>0</v>
      </c>
      <c r="J433" s="139">
        <v>0</v>
      </c>
      <c r="K433" s="38" t="e">
        <f t="shared" si="11"/>
        <v>#DIV/0!</v>
      </c>
      <c r="L433" s="160" t="s">
        <v>467</v>
      </c>
    </row>
    <row r="434" spans="1:14" ht="49.9" hidden="1" customHeight="1" outlineLevel="1" x14ac:dyDescent="0.25">
      <c r="A434" s="599"/>
      <c r="B434" s="600"/>
      <c r="C434" s="600"/>
      <c r="D434" s="600"/>
      <c r="E434" s="600"/>
      <c r="F434" s="607"/>
      <c r="G434" s="142" t="s">
        <v>330</v>
      </c>
      <c r="H434" s="156">
        <f>+INVERSIÓN!BD17</f>
        <v>7.9999999999999991</v>
      </c>
      <c r="I434" s="187">
        <v>0</v>
      </c>
      <c r="J434" s="139">
        <v>0</v>
      </c>
      <c r="K434" s="38" t="e">
        <f t="shared" si="11"/>
        <v>#DIV/0!</v>
      </c>
      <c r="L434" s="160" t="s">
        <v>346</v>
      </c>
    </row>
    <row r="435" spans="1:14" ht="49.9" hidden="1" customHeight="1" outlineLevel="1" x14ac:dyDescent="0.25">
      <c r="A435" s="599"/>
      <c r="B435" s="600"/>
      <c r="C435" s="600"/>
      <c r="D435" s="600"/>
      <c r="E435" s="600"/>
      <c r="F435" s="607"/>
      <c r="G435" s="142" t="s">
        <v>331</v>
      </c>
      <c r="H435" s="156">
        <f>+INVERSIÓN!BD24</f>
        <v>1.9999999999999998</v>
      </c>
      <c r="I435" s="187">
        <v>0</v>
      </c>
      <c r="J435" s="139">
        <v>0</v>
      </c>
      <c r="K435" s="38" t="e">
        <f t="shared" si="11"/>
        <v>#DIV/0!</v>
      </c>
      <c r="L435" s="160" t="s">
        <v>468</v>
      </c>
    </row>
    <row r="436" spans="1:14" ht="49.9" hidden="1" customHeight="1" outlineLevel="1" x14ac:dyDescent="0.25">
      <c r="A436" s="599"/>
      <c r="B436" s="142" t="s">
        <v>370</v>
      </c>
      <c r="C436" s="142" t="s">
        <v>371</v>
      </c>
      <c r="D436" s="142" t="s">
        <v>372</v>
      </c>
      <c r="E436" s="142" t="s">
        <v>265</v>
      </c>
      <c r="F436" s="150">
        <v>0.15</v>
      </c>
      <c r="G436" s="142" t="s">
        <v>267</v>
      </c>
      <c r="H436" s="156">
        <f>+INVERSIÓN!BD31</f>
        <v>897</v>
      </c>
      <c r="I436" s="187">
        <v>0</v>
      </c>
      <c r="J436" s="139">
        <v>0</v>
      </c>
      <c r="K436" s="38" t="e">
        <f t="shared" si="11"/>
        <v>#DIV/0!</v>
      </c>
      <c r="L436" s="160" t="s">
        <v>469</v>
      </c>
    </row>
    <row r="437" spans="1:14" ht="49.9" hidden="1" customHeight="1" outlineLevel="1" x14ac:dyDescent="0.25">
      <c r="A437" s="599"/>
      <c r="B437" s="142" t="s">
        <v>374</v>
      </c>
      <c r="C437" s="142" t="s">
        <v>375</v>
      </c>
      <c r="D437" s="142" t="s">
        <v>376</v>
      </c>
      <c r="E437" s="142" t="s">
        <v>265</v>
      </c>
      <c r="F437" s="150">
        <v>0.15</v>
      </c>
      <c r="G437" s="142" t="s">
        <v>268</v>
      </c>
      <c r="H437" s="150">
        <f>+INVERSIÓN!BD38</f>
        <v>1</v>
      </c>
      <c r="I437" s="187">
        <v>0</v>
      </c>
      <c r="J437" s="139">
        <v>0</v>
      </c>
      <c r="K437" s="38" t="e">
        <f t="shared" si="11"/>
        <v>#DIV/0!</v>
      </c>
      <c r="L437" s="160" t="s">
        <v>470</v>
      </c>
    </row>
    <row r="438" spans="1:14" ht="49.9" hidden="1" customHeight="1" outlineLevel="1" x14ac:dyDescent="0.25">
      <c r="A438" s="599"/>
      <c r="B438" s="600" t="s">
        <v>378</v>
      </c>
      <c r="C438" s="600" t="s">
        <v>379</v>
      </c>
      <c r="D438" s="600" t="s">
        <v>380</v>
      </c>
      <c r="E438" s="600" t="s">
        <v>366</v>
      </c>
      <c r="F438" s="607">
        <v>0.25</v>
      </c>
      <c r="G438" s="142" t="s">
        <v>263</v>
      </c>
      <c r="H438" s="156">
        <f>+INVERSIÓN!BD45</f>
        <v>4950</v>
      </c>
      <c r="I438" s="187">
        <v>0</v>
      </c>
      <c r="J438" s="139">
        <v>0</v>
      </c>
      <c r="K438" s="38" t="e">
        <f t="shared" si="11"/>
        <v>#DIV/0!</v>
      </c>
      <c r="L438" s="160" t="s">
        <v>471</v>
      </c>
    </row>
    <row r="439" spans="1:14" ht="49.9" hidden="1" customHeight="1" outlineLevel="1" x14ac:dyDescent="0.25">
      <c r="A439" s="605"/>
      <c r="B439" s="600"/>
      <c r="C439" s="600"/>
      <c r="D439" s="600"/>
      <c r="E439" s="600"/>
      <c r="F439" s="607"/>
      <c r="G439" s="142" t="s">
        <v>324</v>
      </c>
      <c r="H439" s="150">
        <f>+INVERSIÓN!BD52</f>
        <v>1</v>
      </c>
      <c r="I439" s="187">
        <v>0</v>
      </c>
      <c r="J439" s="139">
        <v>0</v>
      </c>
      <c r="K439" s="38" t="e">
        <f t="shared" si="11"/>
        <v>#DIV/0!</v>
      </c>
      <c r="L439" s="160" t="s">
        <v>472</v>
      </c>
    </row>
    <row r="440" spans="1:14" ht="49.9" hidden="1" customHeight="1" outlineLevel="1" x14ac:dyDescent="0.25">
      <c r="A440" s="601" t="s">
        <v>128</v>
      </c>
      <c r="B440" s="600" t="s">
        <v>363</v>
      </c>
      <c r="C440" s="600" t="s">
        <v>364</v>
      </c>
      <c r="D440" s="600" t="s">
        <v>365</v>
      </c>
      <c r="E440" s="600" t="s">
        <v>366</v>
      </c>
      <c r="F440" s="607">
        <v>0.45</v>
      </c>
      <c r="G440" s="142" t="s">
        <v>318</v>
      </c>
      <c r="H440" s="150">
        <f>+INVERSIÓN!BD10</f>
        <v>1</v>
      </c>
      <c r="I440" s="187">
        <v>0</v>
      </c>
      <c r="J440" s="139">
        <v>0</v>
      </c>
      <c r="K440" s="38" t="e">
        <f t="shared" ref="K440:K446" si="12">J440/I440</f>
        <v>#DIV/0!</v>
      </c>
      <c r="L440" s="171" t="s">
        <v>481</v>
      </c>
      <c r="N440" s="170"/>
    </row>
    <row r="441" spans="1:14" ht="49.9" hidden="1" customHeight="1" outlineLevel="1" x14ac:dyDescent="0.25">
      <c r="A441" s="601"/>
      <c r="B441" s="600"/>
      <c r="C441" s="600"/>
      <c r="D441" s="600"/>
      <c r="E441" s="600"/>
      <c r="F441" s="607"/>
      <c r="G441" s="142" t="s">
        <v>330</v>
      </c>
      <c r="H441" s="156">
        <f>+INVERSIÓN!BD17</f>
        <v>7.9999999999999991</v>
      </c>
      <c r="I441" s="187">
        <v>0</v>
      </c>
      <c r="J441" s="139">
        <v>0</v>
      </c>
      <c r="K441" s="38" t="e">
        <f t="shared" si="12"/>
        <v>#DIV/0!</v>
      </c>
      <c r="L441" s="171" t="s">
        <v>482</v>
      </c>
      <c r="N441" s="170"/>
    </row>
    <row r="442" spans="1:14" ht="49.9" hidden="1" customHeight="1" outlineLevel="1" x14ac:dyDescent="0.25">
      <c r="A442" s="601"/>
      <c r="B442" s="600"/>
      <c r="C442" s="600"/>
      <c r="D442" s="600"/>
      <c r="E442" s="600"/>
      <c r="F442" s="607"/>
      <c r="G442" s="142" t="s">
        <v>331</v>
      </c>
      <c r="H442" s="156">
        <f>+INVERSIÓN!BD24</f>
        <v>1.9999999999999998</v>
      </c>
      <c r="I442" s="187">
        <v>0</v>
      </c>
      <c r="J442" s="139">
        <v>0</v>
      </c>
      <c r="K442" s="38" t="e">
        <f t="shared" si="12"/>
        <v>#DIV/0!</v>
      </c>
      <c r="L442" s="171" t="s">
        <v>483</v>
      </c>
      <c r="N442" s="170"/>
    </row>
    <row r="443" spans="1:14" ht="49.9" hidden="1" customHeight="1" outlineLevel="1" x14ac:dyDescent="0.25">
      <c r="A443" s="601"/>
      <c r="B443" s="142" t="s">
        <v>370</v>
      </c>
      <c r="C443" s="142" t="s">
        <v>371</v>
      </c>
      <c r="D443" s="142" t="s">
        <v>372</v>
      </c>
      <c r="E443" s="142" t="s">
        <v>265</v>
      </c>
      <c r="F443" s="150">
        <v>0.15</v>
      </c>
      <c r="G443" s="142" t="s">
        <v>267</v>
      </c>
      <c r="H443" s="156">
        <f>+INVERSIÓN!BD31</f>
        <v>897</v>
      </c>
      <c r="I443" s="187">
        <v>0</v>
      </c>
      <c r="J443" s="139">
        <v>0</v>
      </c>
      <c r="K443" s="38" t="e">
        <f t="shared" si="12"/>
        <v>#DIV/0!</v>
      </c>
      <c r="L443" s="171" t="s">
        <v>487</v>
      </c>
      <c r="N443" s="170"/>
    </row>
    <row r="444" spans="1:14" ht="49.9" hidden="1" customHeight="1" outlineLevel="1" x14ac:dyDescent="0.25">
      <c r="A444" s="601"/>
      <c r="B444" s="142" t="s">
        <v>374</v>
      </c>
      <c r="C444" s="142" t="s">
        <v>375</v>
      </c>
      <c r="D444" s="142" t="s">
        <v>376</v>
      </c>
      <c r="E444" s="142" t="s">
        <v>265</v>
      </c>
      <c r="F444" s="150">
        <v>0.15</v>
      </c>
      <c r="G444" s="142" t="s">
        <v>268</v>
      </c>
      <c r="H444" s="150">
        <f>+INVERSIÓN!BD38</f>
        <v>1</v>
      </c>
      <c r="I444" s="187">
        <v>0</v>
      </c>
      <c r="J444" s="139">
        <v>0</v>
      </c>
      <c r="K444" s="38" t="e">
        <f t="shared" si="12"/>
        <v>#DIV/0!</v>
      </c>
      <c r="L444" s="171" t="s">
        <v>484</v>
      </c>
      <c r="N444" s="170"/>
    </row>
    <row r="445" spans="1:14" ht="49.9" hidden="1" customHeight="1" outlineLevel="1" x14ac:dyDescent="0.25">
      <c r="A445" s="601"/>
      <c r="B445" s="600" t="s">
        <v>378</v>
      </c>
      <c r="C445" s="600" t="s">
        <v>379</v>
      </c>
      <c r="D445" s="600" t="s">
        <v>380</v>
      </c>
      <c r="E445" s="600" t="s">
        <v>366</v>
      </c>
      <c r="F445" s="607">
        <v>0.25</v>
      </c>
      <c r="G445" s="142" t="s">
        <v>263</v>
      </c>
      <c r="H445" s="156">
        <f>+INVERSIÓN!BD45</f>
        <v>4950</v>
      </c>
      <c r="I445" s="187">
        <v>0</v>
      </c>
      <c r="J445" s="139">
        <v>0</v>
      </c>
      <c r="K445" s="38" t="e">
        <f t="shared" si="12"/>
        <v>#DIV/0!</v>
      </c>
      <c r="L445" s="171" t="s">
        <v>485</v>
      </c>
      <c r="N445" s="170"/>
    </row>
    <row r="446" spans="1:14" ht="49.9" hidden="1" customHeight="1" outlineLevel="1" x14ac:dyDescent="0.25">
      <c r="A446" s="601"/>
      <c r="B446" s="600"/>
      <c r="C446" s="600"/>
      <c r="D446" s="600"/>
      <c r="E446" s="600"/>
      <c r="F446" s="607"/>
      <c r="G446" s="142" t="s">
        <v>324</v>
      </c>
      <c r="H446" s="150">
        <f>+INVERSIÓN!BD52</f>
        <v>1</v>
      </c>
      <c r="I446" s="187">
        <v>0</v>
      </c>
      <c r="J446" s="139">
        <v>0</v>
      </c>
      <c r="K446" s="38" t="e">
        <f t="shared" si="12"/>
        <v>#DIV/0!</v>
      </c>
      <c r="L446" s="171" t="s">
        <v>486</v>
      </c>
      <c r="N446" s="170"/>
    </row>
    <row r="447" spans="1:14" ht="49.9" hidden="1" customHeight="1" outlineLevel="1" x14ac:dyDescent="0.25">
      <c r="A447" s="598" t="s">
        <v>129</v>
      </c>
      <c r="B447" s="600" t="s">
        <v>363</v>
      </c>
      <c r="C447" s="600" t="s">
        <v>364</v>
      </c>
      <c r="D447" s="600" t="s">
        <v>365</v>
      </c>
      <c r="E447" s="600" t="s">
        <v>366</v>
      </c>
      <c r="F447" s="607">
        <v>0.45</v>
      </c>
      <c r="G447" s="142" t="s">
        <v>318</v>
      </c>
      <c r="H447" s="150">
        <f>+INVERSIÓN!BD10</f>
        <v>1</v>
      </c>
      <c r="I447" s="187">
        <v>0</v>
      </c>
      <c r="J447" s="139">
        <v>0</v>
      </c>
      <c r="K447" s="38" t="e">
        <f t="shared" ref="K447:K453" si="13">J447/I447</f>
        <v>#DIV/0!</v>
      </c>
      <c r="L447" s="160" t="s">
        <v>493</v>
      </c>
    </row>
    <row r="448" spans="1:14" ht="49.9" hidden="1" customHeight="1" outlineLevel="1" x14ac:dyDescent="0.25">
      <c r="A448" s="599"/>
      <c r="B448" s="600"/>
      <c r="C448" s="600"/>
      <c r="D448" s="600"/>
      <c r="E448" s="600"/>
      <c r="F448" s="607"/>
      <c r="G448" s="142" t="s">
        <v>330</v>
      </c>
      <c r="H448" s="156">
        <f>+INVERSIÓN!BD17</f>
        <v>7.9999999999999991</v>
      </c>
      <c r="I448" s="187">
        <v>0</v>
      </c>
      <c r="J448" s="139">
        <v>0</v>
      </c>
      <c r="K448" s="38" t="e">
        <f t="shared" si="13"/>
        <v>#DIV/0!</v>
      </c>
      <c r="L448" s="160" t="s">
        <v>492</v>
      </c>
    </row>
    <row r="449" spans="1:14" ht="49.9" hidden="1" customHeight="1" outlineLevel="1" x14ac:dyDescent="0.25">
      <c r="A449" s="599"/>
      <c r="B449" s="600"/>
      <c r="C449" s="600"/>
      <c r="D449" s="600"/>
      <c r="E449" s="600"/>
      <c r="F449" s="607"/>
      <c r="G449" s="142" t="s">
        <v>331</v>
      </c>
      <c r="H449" s="156">
        <f>+INVERSIÓN!BD24</f>
        <v>1.9999999999999998</v>
      </c>
      <c r="I449" s="187">
        <v>0</v>
      </c>
      <c r="J449" s="139">
        <v>0</v>
      </c>
      <c r="K449" s="38" t="e">
        <f t="shared" si="13"/>
        <v>#DIV/0!</v>
      </c>
      <c r="L449" s="160" t="s">
        <v>494</v>
      </c>
    </row>
    <row r="450" spans="1:14" ht="49.9" hidden="1" customHeight="1" outlineLevel="1" x14ac:dyDescent="0.25">
      <c r="A450" s="599"/>
      <c r="B450" s="142" t="s">
        <v>370</v>
      </c>
      <c r="C450" s="142" t="s">
        <v>371</v>
      </c>
      <c r="D450" s="142" t="s">
        <v>372</v>
      </c>
      <c r="E450" s="142" t="s">
        <v>265</v>
      </c>
      <c r="F450" s="150">
        <v>0.15</v>
      </c>
      <c r="G450" s="142" t="s">
        <v>267</v>
      </c>
      <c r="H450" s="156">
        <f>+INVERSIÓN!BD31</f>
        <v>897</v>
      </c>
      <c r="I450" s="187">
        <v>0</v>
      </c>
      <c r="J450" s="139">
        <v>0</v>
      </c>
      <c r="K450" s="38" t="e">
        <f t="shared" si="13"/>
        <v>#DIV/0!</v>
      </c>
      <c r="L450" s="160" t="s">
        <v>490</v>
      </c>
    </row>
    <row r="451" spans="1:14" ht="49.9" hidden="1" customHeight="1" outlineLevel="1" x14ac:dyDescent="0.25">
      <c r="A451" s="599"/>
      <c r="B451" s="142" t="s">
        <v>374</v>
      </c>
      <c r="C451" s="142" t="s">
        <v>375</v>
      </c>
      <c r="D451" s="142" t="s">
        <v>376</v>
      </c>
      <c r="E451" s="142" t="s">
        <v>265</v>
      </c>
      <c r="F451" s="150">
        <v>0.15</v>
      </c>
      <c r="G451" s="142" t="s">
        <v>268</v>
      </c>
      <c r="H451" s="150">
        <f>+INVERSIÓN!BD38</f>
        <v>1</v>
      </c>
      <c r="I451" s="187">
        <v>0</v>
      </c>
      <c r="J451" s="139">
        <v>0</v>
      </c>
      <c r="K451" s="38" t="e">
        <f t="shared" si="13"/>
        <v>#DIV/0!</v>
      </c>
      <c r="L451" s="160" t="s">
        <v>491</v>
      </c>
    </row>
    <row r="452" spans="1:14" ht="49.9" hidden="1" customHeight="1" outlineLevel="1" x14ac:dyDescent="0.25">
      <c r="A452" s="599"/>
      <c r="B452" s="600" t="s">
        <v>378</v>
      </c>
      <c r="C452" s="600" t="s">
        <v>379</v>
      </c>
      <c r="D452" s="600" t="s">
        <v>380</v>
      </c>
      <c r="E452" s="600" t="s">
        <v>366</v>
      </c>
      <c r="F452" s="607">
        <v>0.25</v>
      </c>
      <c r="G452" s="142" t="s">
        <v>263</v>
      </c>
      <c r="H452" s="156">
        <f>+INVERSIÓN!BD45</f>
        <v>4950</v>
      </c>
      <c r="I452" s="187">
        <v>0</v>
      </c>
      <c r="J452" s="139">
        <v>0</v>
      </c>
      <c r="K452" s="38" t="e">
        <f t="shared" si="13"/>
        <v>#DIV/0!</v>
      </c>
      <c r="L452" s="160" t="s">
        <v>489</v>
      </c>
    </row>
    <row r="453" spans="1:14" ht="49.9" hidden="1" customHeight="1" outlineLevel="1" x14ac:dyDescent="0.25">
      <c r="A453" s="605"/>
      <c r="B453" s="600"/>
      <c r="C453" s="600"/>
      <c r="D453" s="600"/>
      <c r="E453" s="600"/>
      <c r="F453" s="607"/>
      <c r="G453" s="142" t="s">
        <v>324</v>
      </c>
      <c r="H453" s="150">
        <f>+INVERSIÓN!BD52</f>
        <v>1</v>
      </c>
      <c r="I453" s="187">
        <v>0</v>
      </c>
      <c r="J453" s="139">
        <v>0</v>
      </c>
      <c r="K453" s="38" t="e">
        <f t="shared" si="13"/>
        <v>#DIV/0!</v>
      </c>
      <c r="L453" s="160" t="s">
        <v>495</v>
      </c>
    </row>
    <row r="454" spans="1:14" ht="49.9" hidden="1" customHeight="1" outlineLevel="1" x14ac:dyDescent="0.25">
      <c r="A454" s="598" t="s">
        <v>130</v>
      </c>
      <c r="B454" s="600" t="s">
        <v>363</v>
      </c>
      <c r="C454" s="600" t="s">
        <v>364</v>
      </c>
      <c r="D454" s="600" t="s">
        <v>365</v>
      </c>
      <c r="E454" s="600" t="s">
        <v>366</v>
      </c>
      <c r="F454" s="607">
        <v>0.45</v>
      </c>
      <c r="G454" s="142" t="s">
        <v>318</v>
      </c>
      <c r="H454" s="150">
        <f>+INVERSIÓN!BD10</f>
        <v>1</v>
      </c>
      <c r="I454" s="188">
        <v>0</v>
      </c>
      <c r="J454" s="38">
        <v>0</v>
      </c>
      <c r="K454" s="38" t="e">
        <f t="shared" ref="K454:K460" si="14">J454/I454</f>
        <v>#DIV/0!</v>
      </c>
      <c r="L454" s="191" t="s">
        <v>501</v>
      </c>
      <c r="N454" s="190"/>
    </row>
    <row r="455" spans="1:14" ht="49.9" hidden="1" customHeight="1" outlineLevel="1" x14ac:dyDescent="0.25">
      <c r="A455" s="599"/>
      <c r="B455" s="600"/>
      <c r="C455" s="600"/>
      <c r="D455" s="600"/>
      <c r="E455" s="600"/>
      <c r="F455" s="607"/>
      <c r="G455" s="142" t="s">
        <v>330</v>
      </c>
      <c r="H455" s="156">
        <f>+INVERSIÓN!BD17</f>
        <v>7.9999999999999991</v>
      </c>
      <c r="I455" s="188">
        <v>0</v>
      </c>
      <c r="J455" s="38">
        <v>0</v>
      </c>
      <c r="K455" s="38" t="e">
        <f t="shared" si="14"/>
        <v>#DIV/0!</v>
      </c>
      <c r="L455" s="191" t="s">
        <v>499</v>
      </c>
      <c r="N455" s="190"/>
    </row>
    <row r="456" spans="1:14" ht="49.9" hidden="1" customHeight="1" outlineLevel="1" x14ac:dyDescent="0.25">
      <c r="A456" s="599"/>
      <c r="B456" s="600"/>
      <c r="C456" s="600"/>
      <c r="D456" s="600"/>
      <c r="E456" s="600"/>
      <c r="F456" s="607"/>
      <c r="G456" s="142" t="s">
        <v>331</v>
      </c>
      <c r="H456" s="156">
        <f>+INVERSIÓN!BD24</f>
        <v>1.9999999999999998</v>
      </c>
      <c r="I456" s="188">
        <v>0</v>
      </c>
      <c r="J456" s="38">
        <v>0</v>
      </c>
      <c r="K456" s="38" t="e">
        <f t="shared" si="14"/>
        <v>#DIV/0!</v>
      </c>
      <c r="L456" s="191" t="s">
        <v>500</v>
      </c>
      <c r="N456" s="190"/>
    </row>
    <row r="457" spans="1:14" ht="49.9" hidden="1" customHeight="1" outlineLevel="1" x14ac:dyDescent="0.25">
      <c r="A457" s="599"/>
      <c r="B457" s="142" t="s">
        <v>370</v>
      </c>
      <c r="C457" s="142" t="s">
        <v>371</v>
      </c>
      <c r="D457" s="142" t="s">
        <v>372</v>
      </c>
      <c r="E457" s="142" t="s">
        <v>265</v>
      </c>
      <c r="F457" s="150">
        <v>0.15</v>
      </c>
      <c r="G457" s="142" t="s">
        <v>267</v>
      </c>
      <c r="H457" s="156">
        <f>+INVERSIÓN!BD31</f>
        <v>897</v>
      </c>
      <c r="I457" s="188">
        <v>0</v>
      </c>
      <c r="J457" s="38">
        <v>0</v>
      </c>
      <c r="K457" s="38" t="e">
        <f t="shared" si="14"/>
        <v>#DIV/0!</v>
      </c>
      <c r="L457" s="191" t="s">
        <v>497</v>
      </c>
      <c r="N457" s="190"/>
    </row>
    <row r="458" spans="1:14" ht="49.9" hidden="1" customHeight="1" outlineLevel="1" x14ac:dyDescent="0.25">
      <c r="A458" s="599"/>
      <c r="B458" s="142" t="s">
        <v>374</v>
      </c>
      <c r="C458" s="142" t="s">
        <v>375</v>
      </c>
      <c r="D458" s="142" t="s">
        <v>376</v>
      </c>
      <c r="E458" s="142" t="s">
        <v>265</v>
      </c>
      <c r="F458" s="150">
        <v>0.15</v>
      </c>
      <c r="G458" s="142" t="s">
        <v>268</v>
      </c>
      <c r="H458" s="150">
        <f>+INVERSIÓN!BD38</f>
        <v>1</v>
      </c>
      <c r="I458" s="188">
        <v>0</v>
      </c>
      <c r="J458" s="38">
        <v>0</v>
      </c>
      <c r="K458" s="38" t="e">
        <f t="shared" si="14"/>
        <v>#DIV/0!</v>
      </c>
      <c r="L458" s="191" t="s">
        <v>498</v>
      </c>
      <c r="N458" s="190"/>
    </row>
    <row r="459" spans="1:14" ht="49.9" hidden="1" customHeight="1" outlineLevel="1" x14ac:dyDescent="0.25">
      <c r="A459" s="599"/>
      <c r="B459" s="600" t="s">
        <v>378</v>
      </c>
      <c r="C459" s="600" t="s">
        <v>379</v>
      </c>
      <c r="D459" s="600" t="s">
        <v>380</v>
      </c>
      <c r="E459" s="600" t="s">
        <v>366</v>
      </c>
      <c r="F459" s="607">
        <v>0.25</v>
      </c>
      <c r="G459" s="142" t="s">
        <v>263</v>
      </c>
      <c r="H459" s="156">
        <f>+INVERSIÓN!BD45</f>
        <v>4950</v>
      </c>
      <c r="I459" s="188">
        <v>0</v>
      </c>
      <c r="J459" s="38">
        <v>0</v>
      </c>
      <c r="K459" s="38" t="e">
        <f t="shared" si="14"/>
        <v>#DIV/0!</v>
      </c>
      <c r="L459" s="191" t="s">
        <v>496</v>
      </c>
      <c r="N459" s="190"/>
    </row>
    <row r="460" spans="1:14" ht="49.9" hidden="1" customHeight="1" outlineLevel="1" x14ac:dyDescent="0.25">
      <c r="A460" s="605"/>
      <c r="B460" s="600"/>
      <c r="C460" s="600"/>
      <c r="D460" s="600"/>
      <c r="E460" s="600"/>
      <c r="F460" s="607"/>
      <c r="G460" s="142" t="s">
        <v>324</v>
      </c>
      <c r="H460" s="150">
        <f>+INVERSIÓN!BD52</f>
        <v>1</v>
      </c>
      <c r="I460" s="188">
        <v>0</v>
      </c>
      <c r="J460" s="38">
        <v>0</v>
      </c>
      <c r="K460" s="38" t="e">
        <f t="shared" si="14"/>
        <v>#DIV/0!</v>
      </c>
      <c r="L460" s="191" t="s">
        <v>502</v>
      </c>
      <c r="N460" s="190"/>
    </row>
    <row r="461" spans="1:14" ht="49.9" hidden="1" customHeight="1" outlineLevel="1" x14ac:dyDescent="0.25">
      <c r="A461" s="598" t="s">
        <v>131</v>
      </c>
      <c r="B461" s="600" t="s">
        <v>363</v>
      </c>
      <c r="C461" s="600" t="s">
        <v>364</v>
      </c>
      <c r="D461" s="600" t="s">
        <v>365</v>
      </c>
      <c r="E461" s="600" t="s">
        <v>366</v>
      </c>
      <c r="F461" s="607">
        <v>0.45</v>
      </c>
      <c r="G461" s="142" t="s">
        <v>318</v>
      </c>
      <c r="H461" s="150">
        <f>+INVERSIÓN!BD10</f>
        <v>1</v>
      </c>
      <c r="I461" s="188">
        <v>0</v>
      </c>
      <c r="J461" s="38">
        <v>0</v>
      </c>
      <c r="K461" s="38" t="e">
        <f t="shared" ref="K461:K467" si="15">J461/I461</f>
        <v>#DIV/0!</v>
      </c>
      <c r="L461" s="191" t="s">
        <v>508</v>
      </c>
    </row>
    <row r="462" spans="1:14" ht="49.9" hidden="1" customHeight="1" outlineLevel="1" x14ac:dyDescent="0.25">
      <c r="A462" s="599"/>
      <c r="B462" s="600"/>
      <c r="C462" s="600"/>
      <c r="D462" s="600"/>
      <c r="E462" s="600"/>
      <c r="F462" s="607"/>
      <c r="G462" s="142" t="s">
        <v>330</v>
      </c>
      <c r="H462" s="156">
        <f>+INVERSIÓN!BD17</f>
        <v>7.9999999999999991</v>
      </c>
      <c r="I462" s="188">
        <v>0</v>
      </c>
      <c r="J462" s="38">
        <v>0</v>
      </c>
      <c r="K462" s="38" t="e">
        <f t="shared" si="15"/>
        <v>#DIV/0!</v>
      </c>
      <c r="L462" s="191" t="s">
        <v>506</v>
      </c>
    </row>
    <row r="463" spans="1:14" ht="49.9" hidden="1" customHeight="1" outlineLevel="1" x14ac:dyDescent="0.25">
      <c r="A463" s="599"/>
      <c r="B463" s="600"/>
      <c r="C463" s="600"/>
      <c r="D463" s="600"/>
      <c r="E463" s="600"/>
      <c r="F463" s="607"/>
      <c r="G463" s="142" t="s">
        <v>331</v>
      </c>
      <c r="H463" s="156">
        <f>+INVERSIÓN!BD24</f>
        <v>1.9999999999999998</v>
      </c>
      <c r="I463" s="188">
        <v>0</v>
      </c>
      <c r="J463" s="38">
        <v>0</v>
      </c>
      <c r="K463" s="38" t="e">
        <f t="shared" si="15"/>
        <v>#DIV/0!</v>
      </c>
      <c r="L463" s="191" t="s">
        <v>509</v>
      </c>
    </row>
    <row r="464" spans="1:14" ht="49.9" hidden="1" customHeight="1" outlineLevel="1" x14ac:dyDescent="0.25">
      <c r="A464" s="599"/>
      <c r="B464" s="142" t="s">
        <v>370</v>
      </c>
      <c r="C464" s="142" t="s">
        <v>371</v>
      </c>
      <c r="D464" s="142" t="s">
        <v>372</v>
      </c>
      <c r="E464" s="142" t="s">
        <v>265</v>
      </c>
      <c r="F464" s="150">
        <v>0.15</v>
      </c>
      <c r="G464" s="142" t="s">
        <v>267</v>
      </c>
      <c r="H464" s="156">
        <f>+INVERSIÓN!BD31</f>
        <v>897</v>
      </c>
      <c r="I464" s="188">
        <v>0</v>
      </c>
      <c r="J464" s="38">
        <v>0</v>
      </c>
      <c r="K464" s="38" t="e">
        <f t="shared" si="15"/>
        <v>#DIV/0!</v>
      </c>
      <c r="L464" s="191" t="s">
        <v>503</v>
      </c>
    </row>
    <row r="465" spans="1:12" ht="49.9" hidden="1" customHeight="1" outlineLevel="1" x14ac:dyDescent="0.25">
      <c r="A465" s="599"/>
      <c r="B465" s="142" t="s">
        <v>374</v>
      </c>
      <c r="C465" s="142" t="s">
        <v>375</v>
      </c>
      <c r="D465" s="142" t="s">
        <v>376</v>
      </c>
      <c r="E465" s="142" t="s">
        <v>265</v>
      </c>
      <c r="F465" s="150">
        <v>0.15</v>
      </c>
      <c r="G465" s="142" t="s">
        <v>268</v>
      </c>
      <c r="H465" s="150">
        <f>+INVERSIÓN!BD38</f>
        <v>1</v>
      </c>
      <c r="I465" s="188">
        <v>0</v>
      </c>
      <c r="J465" s="38">
        <v>0</v>
      </c>
      <c r="K465" s="38" t="e">
        <f t="shared" si="15"/>
        <v>#DIV/0!</v>
      </c>
      <c r="L465" s="191" t="s">
        <v>505</v>
      </c>
    </row>
    <row r="466" spans="1:12" ht="49.9" hidden="1" customHeight="1" outlineLevel="1" x14ac:dyDescent="0.25">
      <c r="A466" s="599"/>
      <c r="B466" s="600" t="s">
        <v>378</v>
      </c>
      <c r="C466" s="600" t="s">
        <v>379</v>
      </c>
      <c r="D466" s="600" t="s">
        <v>380</v>
      </c>
      <c r="E466" s="600" t="s">
        <v>366</v>
      </c>
      <c r="F466" s="607">
        <v>0.25</v>
      </c>
      <c r="G466" s="142" t="s">
        <v>263</v>
      </c>
      <c r="H466" s="156">
        <f>+INVERSIÓN!BD45</f>
        <v>4950</v>
      </c>
      <c r="I466" s="188">
        <v>0</v>
      </c>
      <c r="J466" s="38">
        <v>0</v>
      </c>
      <c r="K466" s="38" t="e">
        <f t="shared" si="15"/>
        <v>#DIV/0!</v>
      </c>
      <c r="L466" s="191" t="s">
        <v>510</v>
      </c>
    </row>
    <row r="467" spans="1:12" ht="49.9" hidden="1" customHeight="1" outlineLevel="1" x14ac:dyDescent="0.25">
      <c r="A467" s="605"/>
      <c r="B467" s="600"/>
      <c r="C467" s="600"/>
      <c r="D467" s="600"/>
      <c r="E467" s="600"/>
      <c r="F467" s="607"/>
      <c r="G467" s="142" t="s">
        <v>324</v>
      </c>
      <c r="H467" s="150">
        <f>+INVERSIÓN!BD52</f>
        <v>1</v>
      </c>
      <c r="I467" s="188">
        <v>0</v>
      </c>
      <c r="J467" s="38">
        <v>0</v>
      </c>
      <c r="K467" s="38" t="e">
        <f t="shared" si="15"/>
        <v>#DIV/0!</v>
      </c>
      <c r="L467" s="191" t="s">
        <v>507</v>
      </c>
    </row>
    <row r="468" spans="1:12" ht="49.9" hidden="1" customHeight="1" outlineLevel="1" x14ac:dyDescent="0.25">
      <c r="A468" s="598" t="s">
        <v>132</v>
      </c>
      <c r="B468" s="600" t="s">
        <v>363</v>
      </c>
      <c r="C468" s="600" t="s">
        <v>364</v>
      </c>
      <c r="D468" s="600" t="s">
        <v>365</v>
      </c>
      <c r="E468" s="600" t="s">
        <v>366</v>
      </c>
      <c r="F468" s="607">
        <v>0.45</v>
      </c>
      <c r="G468" s="142" t="s">
        <v>318</v>
      </c>
      <c r="H468" s="150">
        <f>+INVERSIÓN!BD10</f>
        <v>1</v>
      </c>
      <c r="I468" s="188">
        <v>0</v>
      </c>
      <c r="J468" s="38">
        <v>0</v>
      </c>
      <c r="K468" s="38" t="e">
        <f>J468/I468</f>
        <v>#DIV/0!</v>
      </c>
      <c r="L468" s="191" t="s">
        <v>525</v>
      </c>
    </row>
    <row r="469" spans="1:12" ht="49.9" hidden="1" customHeight="1" outlineLevel="1" x14ac:dyDescent="0.25">
      <c r="A469" s="599"/>
      <c r="B469" s="600"/>
      <c r="C469" s="600"/>
      <c r="D469" s="600"/>
      <c r="E469" s="600"/>
      <c r="F469" s="607"/>
      <c r="G469" s="142" t="s">
        <v>330</v>
      </c>
      <c r="H469" s="156">
        <f>+INVERSIÓN!BD17</f>
        <v>7.9999999999999991</v>
      </c>
      <c r="I469" s="188">
        <v>0</v>
      </c>
      <c r="J469" s="38">
        <v>0</v>
      </c>
      <c r="K469" s="38" t="e">
        <f t="shared" ref="K469:K474" si="16">J469/I469</f>
        <v>#DIV/0!</v>
      </c>
      <c r="L469" s="191" t="s">
        <v>522</v>
      </c>
    </row>
    <row r="470" spans="1:12" ht="49.9" hidden="1" customHeight="1" outlineLevel="1" x14ac:dyDescent="0.25">
      <c r="A470" s="599"/>
      <c r="B470" s="600"/>
      <c r="C470" s="600"/>
      <c r="D470" s="600"/>
      <c r="E470" s="600"/>
      <c r="F470" s="607"/>
      <c r="G470" s="142" t="s">
        <v>331</v>
      </c>
      <c r="H470" s="156">
        <f>+INVERSIÓN!BD24</f>
        <v>1.9999999999999998</v>
      </c>
      <c r="I470" s="188">
        <v>0</v>
      </c>
      <c r="J470" s="38">
        <v>0</v>
      </c>
      <c r="K470" s="38" t="e">
        <f t="shared" si="16"/>
        <v>#DIV/0!</v>
      </c>
      <c r="L470" s="191" t="s">
        <v>527</v>
      </c>
    </row>
    <row r="471" spans="1:12" ht="49.9" hidden="1" customHeight="1" outlineLevel="1" x14ac:dyDescent="0.25">
      <c r="A471" s="599"/>
      <c r="B471" s="142" t="s">
        <v>370</v>
      </c>
      <c r="C471" s="142" t="s">
        <v>371</v>
      </c>
      <c r="D471" s="142" t="s">
        <v>372</v>
      </c>
      <c r="E471" s="142" t="s">
        <v>265</v>
      </c>
      <c r="F471" s="150">
        <v>0.15</v>
      </c>
      <c r="G471" s="142" t="s">
        <v>267</v>
      </c>
      <c r="H471" s="156">
        <f>+INVERSIÓN!BD31</f>
        <v>897</v>
      </c>
      <c r="I471" s="188">
        <v>0</v>
      </c>
      <c r="J471" s="38">
        <v>0</v>
      </c>
      <c r="K471" s="38" t="e">
        <f t="shared" si="16"/>
        <v>#DIV/0!</v>
      </c>
      <c r="L471" s="191" t="s">
        <v>521</v>
      </c>
    </row>
    <row r="472" spans="1:12" ht="49.9" hidden="1" customHeight="1" outlineLevel="1" x14ac:dyDescent="0.25">
      <c r="A472" s="599"/>
      <c r="B472" s="142" t="s">
        <v>374</v>
      </c>
      <c r="C472" s="142" t="s">
        <v>375</v>
      </c>
      <c r="D472" s="142" t="s">
        <v>376</v>
      </c>
      <c r="E472" s="142" t="s">
        <v>265</v>
      </c>
      <c r="F472" s="150">
        <v>0.15</v>
      </c>
      <c r="G472" s="142" t="s">
        <v>268</v>
      </c>
      <c r="H472" s="150">
        <f>+INVERSIÓN!BD38</f>
        <v>1</v>
      </c>
      <c r="I472" s="188">
        <v>0</v>
      </c>
      <c r="J472" s="38">
        <v>0</v>
      </c>
      <c r="K472" s="38" t="e">
        <f t="shared" si="16"/>
        <v>#DIV/0!</v>
      </c>
      <c r="L472" s="191" t="s">
        <v>523</v>
      </c>
    </row>
    <row r="473" spans="1:12" ht="49.9" hidden="1" customHeight="1" outlineLevel="1" x14ac:dyDescent="0.25">
      <c r="A473" s="599"/>
      <c r="B473" s="600" t="s">
        <v>378</v>
      </c>
      <c r="C473" s="600" t="s">
        <v>379</v>
      </c>
      <c r="D473" s="600" t="s">
        <v>380</v>
      </c>
      <c r="E473" s="600" t="s">
        <v>366</v>
      </c>
      <c r="F473" s="607">
        <v>0.25</v>
      </c>
      <c r="G473" s="142" t="s">
        <v>263</v>
      </c>
      <c r="H473" s="156">
        <f>+INVERSIÓN!BD45</f>
        <v>4950</v>
      </c>
      <c r="I473" s="188">
        <v>0</v>
      </c>
      <c r="J473" s="38">
        <v>0</v>
      </c>
      <c r="K473" s="38" t="e">
        <f t="shared" si="16"/>
        <v>#DIV/0!</v>
      </c>
      <c r="L473" s="191" t="s">
        <v>526</v>
      </c>
    </row>
    <row r="474" spans="1:12" ht="49.9" hidden="1" customHeight="1" outlineLevel="1" x14ac:dyDescent="0.25">
      <c r="A474" s="605"/>
      <c r="B474" s="600"/>
      <c r="C474" s="600"/>
      <c r="D474" s="600"/>
      <c r="E474" s="600"/>
      <c r="F474" s="607"/>
      <c r="G474" s="142" t="s">
        <v>324</v>
      </c>
      <c r="H474" s="150">
        <f>+INVERSIÓN!BD52</f>
        <v>1</v>
      </c>
      <c r="I474" s="188">
        <v>0</v>
      </c>
      <c r="J474" s="38">
        <v>0</v>
      </c>
      <c r="K474" s="38" t="e">
        <f t="shared" si="16"/>
        <v>#DIV/0!</v>
      </c>
      <c r="L474" s="191" t="s">
        <v>524</v>
      </c>
    </row>
    <row r="475" spans="1:12" hidden="1" outlineLevel="1" x14ac:dyDescent="0.25">
      <c r="A475" s="251" t="s">
        <v>133</v>
      </c>
      <c r="B475" s="251"/>
      <c r="C475" s="251"/>
      <c r="D475" s="251"/>
      <c r="E475" s="251"/>
      <c r="F475" s="251"/>
      <c r="G475" s="251"/>
      <c r="H475" s="251"/>
      <c r="I475" s="252"/>
      <c r="J475" s="251"/>
      <c r="K475" s="251" t="e">
        <f>J475/I475</f>
        <v>#DIV/0!</v>
      </c>
      <c r="L475" s="251"/>
    </row>
    <row r="476" spans="1:12" collapsed="1" x14ac:dyDescent="0.25"/>
    <row r="477" spans="1:12" ht="19.899999999999999" customHeight="1" x14ac:dyDescent="0.25">
      <c r="A477" s="608" t="s">
        <v>158</v>
      </c>
      <c r="B477" s="609"/>
      <c r="C477" s="609"/>
      <c r="D477" s="609"/>
      <c r="E477" s="609"/>
      <c r="F477" s="609"/>
      <c r="G477" s="609"/>
      <c r="H477" s="609"/>
      <c r="I477" s="609"/>
      <c r="J477" s="609"/>
      <c r="K477" s="609"/>
      <c r="L477" s="610"/>
    </row>
    <row r="478" spans="1:12" ht="44.25" customHeight="1" x14ac:dyDescent="0.25">
      <c r="A478" s="140" t="s">
        <v>61</v>
      </c>
      <c r="B478" s="37" t="s">
        <v>145</v>
      </c>
      <c r="C478" s="37" t="s">
        <v>146</v>
      </c>
      <c r="D478" s="37" t="s">
        <v>147</v>
      </c>
      <c r="E478" s="37" t="s">
        <v>148</v>
      </c>
      <c r="F478" s="37" t="s">
        <v>159</v>
      </c>
      <c r="G478" s="37" t="s">
        <v>150</v>
      </c>
      <c r="H478" s="37" t="s">
        <v>160</v>
      </c>
      <c r="I478" s="185" t="s">
        <v>152</v>
      </c>
      <c r="J478" s="37" t="s">
        <v>153</v>
      </c>
      <c r="K478" s="37" t="s">
        <v>154</v>
      </c>
      <c r="L478" s="37" t="s">
        <v>155</v>
      </c>
    </row>
    <row r="479" spans="1:12" ht="49.9" customHeight="1" x14ac:dyDescent="0.25">
      <c r="A479" s="598" t="s">
        <v>135</v>
      </c>
      <c r="B479" s="600" t="s">
        <v>363</v>
      </c>
      <c r="C479" s="600" t="s">
        <v>364</v>
      </c>
      <c r="D479" s="600" t="s">
        <v>365</v>
      </c>
      <c r="E479" s="600" t="s">
        <v>366</v>
      </c>
      <c r="F479" s="607">
        <v>0.45</v>
      </c>
      <c r="G479" s="142" t="s">
        <v>318</v>
      </c>
      <c r="H479" s="150">
        <f>+INVERSIÓN!$BF$10</f>
        <v>1</v>
      </c>
      <c r="I479" s="150">
        <v>0</v>
      </c>
      <c r="J479" s="150">
        <v>0</v>
      </c>
      <c r="K479" s="38" t="e">
        <f>J479/I479</f>
        <v>#DIV/0!</v>
      </c>
      <c r="L479" s="160" t="s">
        <v>557</v>
      </c>
    </row>
    <row r="480" spans="1:12" ht="49.9" customHeight="1" x14ac:dyDescent="0.25">
      <c r="A480" s="599"/>
      <c r="B480" s="600"/>
      <c r="C480" s="600"/>
      <c r="D480" s="600"/>
      <c r="E480" s="600"/>
      <c r="F480" s="607"/>
      <c r="G480" s="142" t="s">
        <v>330</v>
      </c>
      <c r="H480" s="156">
        <f>+INVERSIÓN!$BF$17</f>
        <v>6</v>
      </c>
      <c r="I480" s="156">
        <v>0</v>
      </c>
      <c r="J480" s="156">
        <v>0</v>
      </c>
      <c r="K480" s="38" t="e">
        <f t="shared" ref="K480:K485" si="17">J480/I480</f>
        <v>#DIV/0!</v>
      </c>
      <c r="L480" s="160" t="s">
        <v>558</v>
      </c>
    </row>
    <row r="481" spans="1:12" ht="49.9" customHeight="1" x14ac:dyDescent="0.25">
      <c r="A481" s="599"/>
      <c r="B481" s="600"/>
      <c r="C481" s="600"/>
      <c r="D481" s="600"/>
      <c r="E481" s="600"/>
      <c r="F481" s="607"/>
      <c r="G481" s="142" t="s">
        <v>331</v>
      </c>
      <c r="H481" s="156">
        <f>+INVERSIÓN!$BF$24</f>
        <v>2</v>
      </c>
      <c r="I481" s="156">
        <v>0</v>
      </c>
      <c r="J481" s="156">
        <v>0</v>
      </c>
      <c r="K481" s="38" t="e">
        <f t="shared" si="17"/>
        <v>#DIV/0!</v>
      </c>
      <c r="L481" s="160" t="s">
        <v>562</v>
      </c>
    </row>
    <row r="482" spans="1:12" ht="49.9" customHeight="1" x14ac:dyDescent="0.25">
      <c r="A482" s="599"/>
      <c r="B482" s="142" t="s">
        <v>370</v>
      </c>
      <c r="C482" s="142" t="s">
        <v>371</v>
      </c>
      <c r="D482" s="142" t="s">
        <v>372</v>
      </c>
      <c r="E482" s="142" t="s">
        <v>265</v>
      </c>
      <c r="F482" s="150">
        <v>0.15</v>
      </c>
      <c r="G482" s="142" t="s">
        <v>267</v>
      </c>
      <c r="H482" s="156">
        <f>+INVERSIÓN!$BF$31</f>
        <v>1272</v>
      </c>
      <c r="I482" s="156">
        <v>0</v>
      </c>
      <c r="J482" s="156">
        <v>0</v>
      </c>
      <c r="K482" s="38" t="e">
        <f t="shared" si="17"/>
        <v>#DIV/0!</v>
      </c>
      <c r="L482" s="160" t="s">
        <v>565</v>
      </c>
    </row>
    <row r="483" spans="1:12" ht="49.9" customHeight="1" x14ac:dyDescent="0.25">
      <c r="A483" s="599"/>
      <c r="B483" s="142" t="s">
        <v>374</v>
      </c>
      <c r="C483" s="142" t="s">
        <v>375</v>
      </c>
      <c r="D483" s="142" t="s">
        <v>376</v>
      </c>
      <c r="E483" s="142" t="s">
        <v>265</v>
      </c>
      <c r="F483" s="150">
        <v>0.15</v>
      </c>
      <c r="G483" s="142" t="s">
        <v>268</v>
      </c>
      <c r="H483" s="150">
        <f>+INVERSIÓN!$BF$38</f>
        <v>1</v>
      </c>
      <c r="I483" s="150">
        <v>0</v>
      </c>
      <c r="J483" s="150">
        <v>0</v>
      </c>
      <c r="K483" s="38" t="e">
        <f t="shared" si="17"/>
        <v>#DIV/0!</v>
      </c>
      <c r="L483" s="160" t="s">
        <v>554</v>
      </c>
    </row>
    <row r="484" spans="1:12" ht="49.9" customHeight="1" x14ac:dyDescent="0.25">
      <c r="A484" s="599"/>
      <c r="B484" s="600" t="s">
        <v>378</v>
      </c>
      <c r="C484" s="600" t="s">
        <v>379</v>
      </c>
      <c r="D484" s="600" t="s">
        <v>380</v>
      </c>
      <c r="E484" s="600" t="s">
        <v>366</v>
      </c>
      <c r="F484" s="607">
        <v>0.25</v>
      </c>
      <c r="G484" s="142" t="s">
        <v>263</v>
      </c>
      <c r="H484" s="156">
        <f>+INVERSIÓN!$BF$45</f>
        <v>1097</v>
      </c>
      <c r="I484" s="156">
        <v>0</v>
      </c>
      <c r="J484" s="156">
        <v>0</v>
      </c>
      <c r="K484" s="38" t="e">
        <f t="shared" si="17"/>
        <v>#DIV/0!</v>
      </c>
      <c r="L484" s="160" t="s">
        <v>562</v>
      </c>
    </row>
    <row r="485" spans="1:12" ht="49.9" customHeight="1" x14ac:dyDescent="0.25">
      <c r="A485" s="605"/>
      <c r="B485" s="600"/>
      <c r="C485" s="600"/>
      <c r="D485" s="600"/>
      <c r="E485" s="600"/>
      <c r="F485" s="607"/>
      <c r="G485" s="142" t="s">
        <v>324</v>
      </c>
      <c r="H485" s="150">
        <f>+INVERSIÓN!$BF$52</f>
        <v>1</v>
      </c>
      <c r="I485" s="150">
        <v>0</v>
      </c>
      <c r="J485" s="150">
        <v>0</v>
      </c>
      <c r="K485" s="38" t="e">
        <f t="shared" si="17"/>
        <v>#DIV/0!</v>
      </c>
      <c r="L485" s="160" t="s">
        <v>551</v>
      </c>
    </row>
    <row r="486" spans="1:12" ht="49.9" customHeight="1" x14ac:dyDescent="0.25">
      <c r="A486" s="598" t="s">
        <v>136</v>
      </c>
      <c r="B486" s="600" t="s">
        <v>363</v>
      </c>
      <c r="C486" s="600" t="s">
        <v>364</v>
      </c>
      <c r="D486" s="600" t="s">
        <v>365</v>
      </c>
      <c r="E486" s="600" t="s">
        <v>366</v>
      </c>
      <c r="F486" s="607">
        <v>0.45</v>
      </c>
      <c r="G486" s="142" t="s">
        <v>318</v>
      </c>
      <c r="H486" s="150">
        <f>+INVERSIÓN!$BF$10</f>
        <v>1</v>
      </c>
      <c r="I486" s="150">
        <v>0</v>
      </c>
      <c r="J486" s="150">
        <v>0</v>
      </c>
      <c r="K486" s="38" t="e">
        <f>J486/I486</f>
        <v>#DIV/0!</v>
      </c>
      <c r="L486" s="160" t="s">
        <v>594</v>
      </c>
    </row>
    <row r="487" spans="1:12" ht="49.9" customHeight="1" x14ac:dyDescent="0.25">
      <c r="A487" s="599"/>
      <c r="B487" s="600"/>
      <c r="C487" s="600"/>
      <c r="D487" s="600"/>
      <c r="E487" s="600"/>
      <c r="F487" s="607"/>
      <c r="G487" s="142" t="s">
        <v>330</v>
      </c>
      <c r="H487" s="156">
        <f>+INVERSIÓN!$BF$17</f>
        <v>6</v>
      </c>
      <c r="I487" s="156">
        <v>0</v>
      </c>
      <c r="J487" s="156">
        <v>0</v>
      </c>
      <c r="K487" s="38" t="e">
        <f t="shared" ref="K487:K492" si="18">J487/I487</f>
        <v>#DIV/0!</v>
      </c>
      <c r="L487" s="160" t="s">
        <v>589</v>
      </c>
    </row>
    <row r="488" spans="1:12" ht="49.9" customHeight="1" x14ac:dyDescent="0.25">
      <c r="A488" s="599"/>
      <c r="B488" s="600"/>
      <c r="C488" s="600"/>
      <c r="D488" s="600"/>
      <c r="E488" s="600"/>
      <c r="F488" s="607"/>
      <c r="G488" s="142" t="s">
        <v>331</v>
      </c>
      <c r="H488" s="156">
        <f>+INVERSIÓN!$BF$24</f>
        <v>2</v>
      </c>
      <c r="I488" s="156">
        <v>0</v>
      </c>
      <c r="J488" s="156">
        <v>0</v>
      </c>
      <c r="K488" s="38" t="e">
        <f t="shared" si="18"/>
        <v>#DIV/0!</v>
      </c>
      <c r="L488" s="160" t="s">
        <v>590</v>
      </c>
    </row>
    <row r="489" spans="1:12" ht="49.9" customHeight="1" x14ac:dyDescent="0.25">
      <c r="A489" s="599"/>
      <c r="B489" s="142" t="s">
        <v>370</v>
      </c>
      <c r="C489" s="142" t="s">
        <v>371</v>
      </c>
      <c r="D489" s="142" t="s">
        <v>372</v>
      </c>
      <c r="E489" s="142" t="s">
        <v>265</v>
      </c>
      <c r="F489" s="150">
        <v>0.15</v>
      </c>
      <c r="G489" s="142" t="s">
        <v>267</v>
      </c>
      <c r="H489" s="156">
        <f>+INVERSIÓN!$BF$31</f>
        <v>1272</v>
      </c>
      <c r="I489" s="156">
        <v>0</v>
      </c>
      <c r="J489" s="156">
        <v>0</v>
      </c>
      <c r="K489" s="38" t="e">
        <f t="shared" si="18"/>
        <v>#DIV/0!</v>
      </c>
      <c r="L489" s="160" t="s">
        <v>591</v>
      </c>
    </row>
    <row r="490" spans="1:12" ht="49.9" customHeight="1" x14ac:dyDescent="0.25">
      <c r="A490" s="599"/>
      <c r="B490" s="142" t="s">
        <v>374</v>
      </c>
      <c r="C490" s="142" t="s">
        <v>375</v>
      </c>
      <c r="D490" s="142" t="s">
        <v>376</v>
      </c>
      <c r="E490" s="142" t="s">
        <v>265</v>
      </c>
      <c r="F490" s="150">
        <v>0.15</v>
      </c>
      <c r="G490" s="142" t="s">
        <v>268</v>
      </c>
      <c r="H490" s="150">
        <f>+INVERSIÓN!$BF$38</f>
        <v>1</v>
      </c>
      <c r="I490" s="150">
        <v>0</v>
      </c>
      <c r="J490" s="150">
        <v>0</v>
      </c>
      <c r="K490" s="38" t="e">
        <f t="shared" si="18"/>
        <v>#DIV/0!</v>
      </c>
      <c r="L490" s="160" t="s">
        <v>592</v>
      </c>
    </row>
    <row r="491" spans="1:12" ht="49.9" customHeight="1" x14ac:dyDescent="0.25">
      <c r="A491" s="599"/>
      <c r="B491" s="600" t="s">
        <v>378</v>
      </c>
      <c r="C491" s="600" t="s">
        <v>379</v>
      </c>
      <c r="D491" s="600" t="s">
        <v>380</v>
      </c>
      <c r="E491" s="600" t="s">
        <v>366</v>
      </c>
      <c r="F491" s="607">
        <v>0.25</v>
      </c>
      <c r="G491" s="142" t="s">
        <v>263</v>
      </c>
      <c r="H491" s="156">
        <f>+INVERSIÓN!$BF$45</f>
        <v>1097</v>
      </c>
      <c r="I491" s="156">
        <v>0</v>
      </c>
      <c r="J491" s="156">
        <v>0</v>
      </c>
      <c r="K491" s="38" t="e">
        <f t="shared" si="18"/>
        <v>#DIV/0!</v>
      </c>
      <c r="L491" s="160" t="s">
        <v>588</v>
      </c>
    </row>
    <row r="492" spans="1:12" ht="49.9" customHeight="1" x14ac:dyDescent="0.25">
      <c r="A492" s="605"/>
      <c r="B492" s="600"/>
      <c r="C492" s="600"/>
      <c r="D492" s="600"/>
      <c r="E492" s="600"/>
      <c r="F492" s="607"/>
      <c r="G492" s="142" t="s">
        <v>324</v>
      </c>
      <c r="H492" s="150">
        <f>+INVERSIÓN!$BF$52</f>
        <v>1</v>
      </c>
      <c r="I492" s="150">
        <v>0</v>
      </c>
      <c r="J492" s="150">
        <v>0</v>
      </c>
      <c r="K492" s="38" t="e">
        <f t="shared" si="18"/>
        <v>#DIV/0!</v>
      </c>
      <c r="L492" s="160" t="s">
        <v>593</v>
      </c>
    </row>
    <row r="493" spans="1:12" ht="49.9" customHeight="1" x14ac:dyDescent="0.25">
      <c r="A493" s="598" t="s">
        <v>137</v>
      </c>
      <c r="B493" s="600" t="s">
        <v>363</v>
      </c>
      <c r="C493" s="600" t="s">
        <v>364</v>
      </c>
      <c r="D493" s="600" t="s">
        <v>365</v>
      </c>
      <c r="E493" s="600" t="s">
        <v>366</v>
      </c>
      <c r="F493" s="607">
        <v>0.45</v>
      </c>
      <c r="G493" s="142" t="s">
        <v>318</v>
      </c>
      <c r="H493" s="150">
        <f>+INVERSIÓN!$BF$10</f>
        <v>1</v>
      </c>
      <c r="I493" s="150">
        <v>0</v>
      </c>
      <c r="J493" s="150">
        <v>0</v>
      </c>
      <c r="K493" s="38" t="e">
        <f>J493/I493</f>
        <v>#DIV/0!</v>
      </c>
      <c r="L493" s="160" t="s">
        <v>598</v>
      </c>
    </row>
    <row r="494" spans="1:12" ht="49.9" customHeight="1" x14ac:dyDescent="0.25">
      <c r="A494" s="599"/>
      <c r="B494" s="600"/>
      <c r="C494" s="600"/>
      <c r="D494" s="600"/>
      <c r="E494" s="600"/>
      <c r="F494" s="607"/>
      <c r="G494" s="142" t="s">
        <v>330</v>
      </c>
      <c r="H494" s="156">
        <f>+INVERSIÓN!$BF$17</f>
        <v>6</v>
      </c>
      <c r="I494" s="156">
        <v>0</v>
      </c>
      <c r="J494" s="156">
        <v>0</v>
      </c>
      <c r="K494" s="38" t="e">
        <f t="shared" ref="K494:K499" si="19">J494/I494</f>
        <v>#DIV/0!</v>
      </c>
      <c r="L494" s="160" t="s">
        <v>599</v>
      </c>
    </row>
    <row r="495" spans="1:12" ht="49.9" customHeight="1" x14ac:dyDescent="0.25">
      <c r="A495" s="599"/>
      <c r="B495" s="600"/>
      <c r="C495" s="600"/>
      <c r="D495" s="600"/>
      <c r="E495" s="600"/>
      <c r="F495" s="607"/>
      <c r="G495" s="142" t="s">
        <v>331</v>
      </c>
      <c r="H495" s="156">
        <f>+INVERSIÓN!$BF$24</f>
        <v>2</v>
      </c>
      <c r="I495" s="156">
        <v>0</v>
      </c>
      <c r="J495" s="156">
        <v>0</v>
      </c>
      <c r="K495" s="38" t="e">
        <f t="shared" si="19"/>
        <v>#DIV/0!</v>
      </c>
      <c r="L495" s="160" t="s">
        <v>600</v>
      </c>
    </row>
    <row r="496" spans="1:12" ht="49.9" customHeight="1" x14ac:dyDescent="0.25">
      <c r="A496" s="599"/>
      <c r="B496" s="142" t="s">
        <v>370</v>
      </c>
      <c r="C496" s="142" t="s">
        <v>371</v>
      </c>
      <c r="D496" s="142" t="s">
        <v>372</v>
      </c>
      <c r="E496" s="142" t="s">
        <v>265</v>
      </c>
      <c r="F496" s="150">
        <v>0.15</v>
      </c>
      <c r="G496" s="142" t="s">
        <v>267</v>
      </c>
      <c r="H496" s="156">
        <f>+INVERSIÓN!$BF$31</f>
        <v>1272</v>
      </c>
      <c r="I496" s="156">
        <v>0</v>
      </c>
      <c r="J496" s="156">
        <v>0</v>
      </c>
      <c r="K496" s="38" t="e">
        <f t="shared" si="19"/>
        <v>#DIV/0!</v>
      </c>
      <c r="L496" s="160" t="s">
        <v>602</v>
      </c>
    </row>
    <row r="497" spans="1:12" ht="49.9" customHeight="1" x14ac:dyDescent="0.25">
      <c r="A497" s="599"/>
      <c r="B497" s="142" t="s">
        <v>374</v>
      </c>
      <c r="C497" s="142" t="s">
        <v>375</v>
      </c>
      <c r="D497" s="142" t="s">
        <v>376</v>
      </c>
      <c r="E497" s="142" t="s">
        <v>265</v>
      </c>
      <c r="F497" s="150">
        <v>0.15</v>
      </c>
      <c r="G497" s="142" t="s">
        <v>268</v>
      </c>
      <c r="H497" s="150">
        <f>+INVERSIÓN!$BF$38</f>
        <v>1</v>
      </c>
      <c r="I497" s="150">
        <v>0</v>
      </c>
      <c r="J497" s="150">
        <v>0</v>
      </c>
      <c r="K497" s="38" t="e">
        <f t="shared" si="19"/>
        <v>#DIV/0!</v>
      </c>
      <c r="L497" s="160" t="s">
        <v>601</v>
      </c>
    </row>
    <row r="498" spans="1:12" ht="49.9" customHeight="1" x14ac:dyDescent="0.25">
      <c r="A498" s="599"/>
      <c r="B498" s="600" t="s">
        <v>378</v>
      </c>
      <c r="C498" s="600" t="s">
        <v>379</v>
      </c>
      <c r="D498" s="600" t="s">
        <v>380</v>
      </c>
      <c r="E498" s="600" t="s">
        <v>366</v>
      </c>
      <c r="F498" s="607">
        <v>0.25</v>
      </c>
      <c r="G498" s="142" t="s">
        <v>263</v>
      </c>
      <c r="H498" s="156">
        <f>+INVERSIÓN!$BF$45</f>
        <v>1097</v>
      </c>
      <c r="I498" s="156">
        <v>0</v>
      </c>
      <c r="J498" s="156">
        <v>0</v>
      </c>
      <c r="K498" s="38" t="e">
        <f t="shared" si="19"/>
        <v>#DIV/0!</v>
      </c>
      <c r="L498" s="160" t="s">
        <v>603</v>
      </c>
    </row>
    <row r="499" spans="1:12" ht="49.9" customHeight="1" x14ac:dyDescent="0.25">
      <c r="A499" s="599"/>
      <c r="B499" s="600"/>
      <c r="C499" s="600"/>
      <c r="D499" s="600"/>
      <c r="E499" s="600"/>
      <c r="F499" s="607"/>
      <c r="G499" s="142" t="s">
        <v>324</v>
      </c>
      <c r="H499" s="150">
        <f>+INVERSIÓN!$BF$52</f>
        <v>1</v>
      </c>
      <c r="I499" s="150">
        <v>0</v>
      </c>
      <c r="J499" s="150">
        <v>0</v>
      </c>
      <c r="K499" s="38" t="e">
        <f t="shared" si="19"/>
        <v>#DIV/0!</v>
      </c>
      <c r="L499" s="160" t="s">
        <v>604</v>
      </c>
    </row>
    <row r="500" spans="1:12" ht="49.9" customHeight="1" x14ac:dyDescent="0.25">
      <c r="A500" s="598" t="s">
        <v>138</v>
      </c>
      <c r="B500" s="600" t="s">
        <v>363</v>
      </c>
      <c r="C500" s="600" t="s">
        <v>364</v>
      </c>
      <c r="D500" s="600" t="s">
        <v>365</v>
      </c>
      <c r="E500" s="600" t="s">
        <v>366</v>
      </c>
      <c r="F500" s="607">
        <v>0.45</v>
      </c>
      <c r="G500" s="142" t="s">
        <v>318</v>
      </c>
      <c r="H500" s="150">
        <f>+INVERSIÓN!$BF$10</f>
        <v>1</v>
      </c>
      <c r="I500" s="150">
        <v>0</v>
      </c>
      <c r="J500" s="150">
        <v>0</v>
      </c>
      <c r="K500" s="38" t="e">
        <f t="shared" ref="K500:K506" si="20">J500/I500</f>
        <v>#DIV/0!</v>
      </c>
      <c r="L500" s="160">
        <v>0</v>
      </c>
    </row>
    <row r="501" spans="1:12" ht="49.9" customHeight="1" x14ac:dyDescent="0.25">
      <c r="A501" s="599"/>
      <c r="B501" s="600"/>
      <c r="C501" s="600"/>
      <c r="D501" s="600"/>
      <c r="E501" s="600"/>
      <c r="F501" s="607"/>
      <c r="G501" s="142" t="s">
        <v>330</v>
      </c>
      <c r="H501" s="156">
        <f>+INVERSIÓN!$BF$17</f>
        <v>6</v>
      </c>
      <c r="I501" s="156">
        <v>0</v>
      </c>
      <c r="J501" s="156">
        <v>0</v>
      </c>
      <c r="K501" s="38" t="e">
        <f t="shared" si="20"/>
        <v>#DIV/0!</v>
      </c>
      <c r="L501" s="160" t="s">
        <v>608</v>
      </c>
    </row>
    <row r="502" spans="1:12" ht="49.9" customHeight="1" x14ac:dyDescent="0.25">
      <c r="A502" s="599"/>
      <c r="B502" s="600"/>
      <c r="C502" s="600"/>
      <c r="D502" s="600"/>
      <c r="E502" s="600"/>
      <c r="F502" s="607"/>
      <c r="G502" s="142" t="s">
        <v>331</v>
      </c>
      <c r="H502" s="156">
        <f>+INVERSIÓN!$BF$24</f>
        <v>2</v>
      </c>
      <c r="I502" s="156">
        <v>0</v>
      </c>
      <c r="J502" s="156">
        <v>0</v>
      </c>
      <c r="K502" s="38" t="e">
        <f t="shared" si="20"/>
        <v>#DIV/0!</v>
      </c>
      <c r="L502" s="160" t="s">
        <v>610</v>
      </c>
    </row>
    <row r="503" spans="1:12" ht="49.9" customHeight="1" x14ac:dyDescent="0.25">
      <c r="A503" s="599"/>
      <c r="B503" s="142" t="s">
        <v>370</v>
      </c>
      <c r="C503" s="142" t="s">
        <v>371</v>
      </c>
      <c r="D503" s="142" t="s">
        <v>372</v>
      </c>
      <c r="E503" s="142" t="s">
        <v>265</v>
      </c>
      <c r="F503" s="150">
        <v>0.15</v>
      </c>
      <c r="G503" s="142" t="s">
        <v>267</v>
      </c>
      <c r="H503" s="156">
        <f>+INVERSIÓN!$BF$31</f>
        <v>1272</v>
      </c>
      <c r="I503" s="156">
        <v>0</v>
      </c>
      <c r="J503" s="156">
        <v>0</v>
      </c>
      <c r="K503" s="38" t="e">
        <f t="shared" si="20"/>
        <v>#DIV/0!</v>
      </c>
      <c r="L503" s="160" t="s">
        <v>609</v>
      </c>
    </row>
    <row r="504" spans="1:12" ht="49.9" customHeight="1" x14ac:dyDescent="0.25">
      <c r="A504" s="599"/>
      <c r="B504" s="142" t="s">
        <v>374</v>
      </c>
      <c r="C504" s="142" t="s">
        <v>375</v>
      </c>
      <c r="D504" s="142" t="s">
        <v>376</v>
      </c>
      <c r="E504" s="142" t="s">
        <v>265</v>
      </c>
      <c r="F504" s="150">
        <v>0.15</v>
      </c>
      <c r="G504" s="142" t="s">
        <v>268</v>
      </c>
      <c r="H504" s="150">
        <f>+INVERSIÓN!$BF$38</f>
        <v>1</v>
      </c>
      <c r="I504" s="150">
        <v>0</v>
      </c>
      <c r="J504" s="150">
        <v>0</v>
      </c>
      <c r="K504" s="38" t="e">
        <f t="shared" si="20"/>
        <v>#DIV/0!</v>
      </c>
      <c r="L504" s="160" t="s">
        <v>607</v>
      </c>
    </row>
    <row r="505" spans="1:12" ht="49.9" customHeight="1" x14ac:dyDescent="0.25">
      <c r="A505" s="599"/>
      <c r="B505" s="600" t="s">
        <v>378</v>
      </c>
      <c r="C505" s="600" t="s">
        <v>379</v>
      </c>
      <c r="D505" s="600" t="s">
        <v>380</v>
      </c>
      <c r="E505" s="600" t="s">
        <v>366</v>
      </c>
      <c r="F505" s="607">
        <v>0.25</v>
      </c>
      <c r="G505" s="142" t="s">
        <v>263</v>
      </c>
      <c r="H505" s="156">
        <f>+INVERSIÓN!$BF$45</f>
        <v>1097</v>
      </c>
      <c r="I505" s="156">
        <v>0</v>
      </c>
      <c r="J505" s="156">
        <v>0</v>
      </c>
      <c r="K505" s="38" t="e">
        <f t="shared" si="20"/>
        <v>#DIV/0!</v>
      </c>
      <c r="L505" s="160" t="s">
        <v>611</v>
      </c>
    </row>
    <row r="506" spans="1:12" ht="49.9" customHeight="1" x14ac:dyDescent="0.25">
      <c r="A506" s="605"/>
      <c r="B506" s="600"/>
      <c r="C506" s="600"/>
      <c r="D506" s="600"/>
      <c r="E506" s="600"/>
      <c r="F506" s="607"/>
      <c r="G506" s="142" t="s">
        <v>324</v>
      </c>
      <c r="H506" s="150">
        <f>+INVERSIÓN!$BF$52</f>
        <v>1</v>
      </c>
      <c r="I506" s="150">
        <v>0</v>
      </c>
      <c r="J506" s="150">
        <v>0</v>
      </c>
      <c r="K506" s="38" t="e">
        <f t="shared" si="20"/>
        <v>#DIV/0!</v>
      </c>
      <c r="L506" s="160" t="s">
        <v>605</v>
      </c>
    </row>
    <row r="507" spans="1:12" ht="49.9" customHeight="1" x14ac:dyDescent="0.25">
      <c r="A507" s="598" t="s">
        <v>139</v>
      </c>
      <c r="B507" s="600" t="s">
        <v>363</v>
      </c>
      <c r="C507" s="600" t="s">
        <v>364</v>
      </c>
      <c r="D507" s="600" t="s">
        <v>365</v>
      </c>
      <c r="E507" s="600" t="s">
        <v>366</v>
      </c>
      <c r="F507" s="607">
        <v>0.45</v>
      </c>
      <c r="G507" s="142" t="s">
        <v>318</v>
      </c>
      <c r="H507" s="150">
        <f>+INVERSIÓN!$BF$10</f>
        <v>1</v>
      </c>
      <c r="I507" s="150">
        <v>0</v>
      </c>
      <c r="J507" s="150">
        <v>0</v>
      </c>
      <c r="K507" s="38" t="e">
        <f t="shared" ref="K507:K513" si="21">J507/I507</f>
        <v>#DIV/0!</v>
      </c>
      <c r="L507" s="160" t="s">
        <v>616</v>
      </c>
    </row>
    <row r="508" spans="1:12" ht="49.9" customHeight="1" x14ac:dyDescent="0.25">
      <c r="A508" s="599"/>
      <c r="B508" s="600"/>
      <c r="C508" s="600"/>
      <c r="D508" s="600"/>
      <c r="E508" s="600"/>
      <c r="F508" s="607"/>
      <c r="G508" s="142" t="s">
        <v>330</v>
      </c>
      <c r="H508" s="156">
        <f>+INVERSIÓN!$BF$17</f>
        <v>6</v>
      </c>
      <c r="I508" s="156">
        <v>0</v>
      </c>
      <c r="J508" s="156">
        <v>0</v>
      </c>
      <c r="K508" s="38" t="e">
        <f t="shared" si="21"/>
        <v>#DIV/0!</v>
      </c>
      <c r="L508" s="160" t="s">
        <v>615</v>
      </c>
    </row>
    <row r="509" spans="1:12" ht="49.9" customHeight="1" x14ac:dyDescent="0.25">
      <c r="A509" s="599"/>
      <c r="B509" s="600"/>
      <c r="C509" s="600"/>
      <c r="D509" s="600"/>
      <c r="E509" s="600"/>
      <c r="F509" s="607"/>
      <c r="G509" s="142" t="s">
        <v>331</v>
      </c>
      <c r="H509" s="156">
        <f>+INVERSIÓN!$BF$24</f>
        <v>2</v>
      </c>
      <c r="I509" s="156">
        <v>0</v>
      </c>
      <c r="J509" s="156">
        <v>0</v>
      </c>
      <c r="K509" s="38" t="e">
        <f t="shared" si="21"/>
        <v>#DIV/0!</v>
      </c>
      <c r="L509" s="160" t="s">
        <v>617</v>
      </c>
    </row>
    <row r="510" spans="1:12" ht="49.9" customHeight="1" x14ac:dyDescent="0.25">
      <c r="A510" s="599"/>
      <c r="B510" s="142" t="s">
        <v>370</v>
      </c>
      <c r="C510" s="142" t="s">
        <v>371</v>
      </c>
      <c r="D510" s="142" t="s">
        <v>372</v>
      </c>
      <c r="E510" s="142" t="s">
        <v>265</v>
      </c>
      <c r="F510" s="150">
        <v>0.15</v>
      </c>
      <c r="G510" s="142" t="s">
        <v>267</v>
      </c>
      <c r="H510" s="156">
        <f>+INVERSIÓN!$BF$31</f>
        <v>1272</v>
      </c>
      <c r="I510" s="156">
        <v>0</v>
      </c>
      <c r="J510" s="156">
        <v>0</v>
      </c>
      <c r="K510" s="38" t="e">
        <f t="shared" si="21"/>
        <v>#DIV/0!</v>
      </c>
      <c r="L510" s="160" t="s">
        <v>613</v>
      </c>
    </row>
    <row r="511" spans="1:12" ht="49.9" customHeight="1" x14ac:dyDescent="0.25">
      <c r="A511" s="599"/>
      <c r="B511" s="142" t="s">
        <v>374</v>
      </c>
      <c r="C511" s="142" t="s">
        <v>375</v>
      </c>
      <c r="D511" s="142" t="s">
        <v>376</v>
      </c>
      <c r="E511" s="142" t="s">
        <v>265</v>
      </c>
      <c r="F511" s="150">
        <v>0.15</v>
      </c>
      <c r="G511" s="142" t="s">
        <v>268</v>
      </c>
      <c r="H511" s="150">
        <f>+INVERSIÓN!$BF$38</f>
        <v>1</v>
      </c>
      <c r="I511" s="150">
        <v>0</v>
      </c>
      <c r="J511" s="150">
        <v>0</v>
      </c>
      <c r="K511" s="38" t="e">
        <f t="shared" si="21"/>
        <v>#DIV/0!</v>
      </c>
      <c r="L511" s="160" t="s">
        <v>614</v>
      </c>
    </row>
    <row r="512" spans="1:12" ht="49.9" customHeight="1" x14ac:dyDescent="0.25">
      <c r="A512" s="599"/>
      <c r="B512" s="600" t="s">
        <v>378</v>
      </c>
      <c r="C512" s="600" t="s">
        <v>379</v>
      </c>
      <c r="D512" s="600" t="s">
        <v>380</v>
      </c>
      <c r="E512" s="600" t="s">
        <v>366</v>
      </c>
      <c r="F512" s="607">
        <v>0.25</v>
      </c>
      <c r="G512" s="142" t="s">
        <v>263</v>
      </c>
      <c r="H512" s="156">
        <f>+INVERSIÓN!$BF$45</f>
        <v>1097</v>
      </c>
      <c r="I512" s="156">
        <v>0</v>
      </c>
      <c r="J512" s="156">
        <v>0</v>
      </c>
      <c r="K512" s="38" t="e">
        <f t="shared" si="21"/>
        <v>#DIV/0!</v>
      </c>
      <c r="L512" s="160" t="s">
        <v>612</v>
      </c>
    </row>
    <row r="513" spans="1:12" ht="49.9" customHeight="1" x14ac:dyDescent="0.25">
      <c r="A513" s="605"/>
      <c r="B513" s="600"/>
      <c r="C513" s="600"/>
      <c r="D513" s="600"/>
      <c r="E513" s="600"/>
      <c r="F513" s="607"/>
      <c r="G513" s="142" t="s">
        <v>324</v>
      </c>
      <c r="H513" s="150">
        <f>+INVERSIÓN!$BF$52</f>
        <v>1</v>
      </c>
      <c r="I513" s="150">
        <v>0</v>
      </c>
      <c r="J513" s="150">
        <v>0</v>
      </c>
      <c r="K513" s="38" t="e">
        <f t="shared" si="21"/>
        <v>#DIV/0!</v>
      </c>
      <c r="L513" s="160" t="s">
        <v>618</v>
      </c>
    </row>
    <row r="514" spans="1:12" ht="49.9" customHeight="1" x14ac:dyDescent="0.25">
      <c r="A514" s="598" t="s">
        <v>140</v>
      </c>
      <c r="B514" s="600" t="s">
        <v>363</v>
      </c>
      <c r="C514" s="600" t="s">
        <v>364</v>
      </c>
      <c r="D514" s="600" t="s">
        <v>365</v>
      </c>
      <c r="E514" s="600" t="s">
        <v>366</v>
      </c>
      <c r="F514" s="607">
        <v>0.45</v>
      </c>
      <c r="G514" s="142" t="s">
        <v>318</v>
      </c>
      <c r="H514" s="150">
        <f>+INVERSIÓN!$CE$10</f>
        <v>1</v>
      </c>
      <c r="I514" s="150">
        <v>0</v>
      </c>
      <c r="J514" s="150">
        <v>0</v>
      </c>
      <c r="K514" s="38" t="e">
        <f t="shared" ref="K514:K520" si="22">J514/I514</f>
        <v>#DIV/0!</v>
      </c>
      <c r="L514" s="160" t="s">
        <v>626</v>
      </c>
    </row>
    <row r="515" spans="1:12" ht="49.9" customHeight="1" x14ac:dyDescent="0.25">
      <c r="A515" s="599"/>
      <c r="B515" s="600"/>
      <c r="C515" s="600"/>
      <c r="D515" s="600"/>
      <c r="E515" s="600"/>
      <c r="F515" s="607"/>
      <c r="G515" s="142" t="s">
        <v>330</v>
      </c>
      <c r="H515" s="156">
        <f>+INVERSIÓN!$CE$17</f>
        <v>6</v>
      </c>
      <c r="I515" s="156">
        <v>0</v>
      </c>
      <c r="J515" s="156">
        <v>0</v>
      </c>
      <c r="K515" s="38" t="e">
        <f t="shared" si="22"/>
        <v>#DIV/0!</v>
      </c>
      <c r="L515" s="160" t="s">
        <v>622</v>
      </c>
    </row>
    <row r="516" spans="1:12" ht="49.9" customHeight="1" x14ac:dyDescent="0.25">
      <c r="A516" s="599"/>
      <c r="B516" s="600"/>
      <c r="C516" s="600"/>
      <c r="D516" s="600"/>
      <c r="E516" s="600"/>
      <c r="F516" s="607"/>
      <c r="G516" s="142" t="s">
        <v>331</v>
      </c>
      <c r="H516" s="156">
        <f>+INVERSIÓN!$CE$24</f>
        <v>1.9999999999999996</v>
      </c>
      <c r="I516" s="156">
        <v>0</v>
      </c>
      <c r="J516" s="156">
        <v>0</v>
      </c>
      <c r="K516" s="38" t="e">
        <f t="shared" si="22"/>
        <v>#DIV/0!</v>
      </c>
      <c r="L516" s="160" t="s">
        <v>625</v>
      </c>
    </row>
    <row r="517" spans="1:12" ht="49.9" customHeight="1" x14ac:dyDescent="0.25">
      <c r="A517" s="599"/>
      <c r="B517" s="142" t="s">
        <v>370</v>
      </c>
      <c r="C517" s="142" t="s">
        <v>371</v>
      </c>
      <c r="D517" s="142" t="s">
        <v>372</v>
      </c>
      <c r="E517" s="142" t="s">
        <v>265</v>
      </c>
      <c r="F517" s="150">
        <v>0.15</v>
      </c>
      <c r="G517" s="142" t="s">
        <v>267</v>
      </c>
      <c r="H517" s="156">
        <f>+INVERSIÓN!$CE$31</f>
        <v>1272</v>
      </c>
      <c r="I517" s="156">
        <v>0</v>
      </c>
      <c r="J517" s="156">
        <v>0</v>
      </c>
      <c r="K517" s="38" t="e">
        <f t="shared" si="22"/>
        <v>#DIV/0!</v>
      </c>
      <c r="L517" s="160" t="s">
        <v>621</v>
      </c>
    </row>
    <row r="518" spans="1:12" ht="49.9" customHeight="1" x14ac:dyDescent="0.25">
      <c r="A518" s="599"/>
      <c r="B518" s="142" t="s">
        <v>374</v>
      </c>
      <c r="C518" s="142" t="s">
        <v>375</v>
      </c>
      <c r="D518" s="142" t="s">
        <v>376</v>
      </c>
      <c r="E518" s="142" t="s">
        <v>265</v>
      </c>
      <c r="F518" s="150">
        <v>0.15</v>
      </c>
      <c r="G518" s="142" t="s">
        <v>268</v>
      </c>
      <c r="H518" s="150">
        <f>+INVERSIÓN!$CE$38</f>
        <v>1</v>
      </c>
      <c r="I518" s="150">
        <v>0</v>
      </c>
      <c r="J518" s="150">
        <v>0</v>
      </c>
      <c r="K518" s="38" t="e">
        <f t="shared" si="22"/>
        <v>#DIV/0!</v>
      </c>
      <c r="L518" s="160" t="s">
        <v>624</v>
      </c>
    </row>
    <row r="519" spans="1:12" ht="49.9" customHeight="1" x14ac:dyDescent="0.25">
      <c r="A519" s="599"/>
      <c r="B519" s="600" t="s">
        <v>378</v>
      </c>
      <c r="C519" s="600" t="s">
        <v>379</v>
      </c>
      <c r="D519" s="600" t="s">
        <v>380</v>
      </c>
      <c r="E519" s="600" t="s">
        <v>366</v>
      </c>
      <c r="F519" s="607">
        <v>0.25</v>
      </c>
      <c r="G519" s="142" t="s">
        <v>263</v>
      </c>
      <c r="H519" s="156">
        <f>+INVERSIÓN!$CE$45</f>
        <v>1097</v>
      </c>
      <c r="I519" s="156">
        <v>0</v>
      </c>
      <c r="J519" s="156">
        <v>0</v>
      </c>
      <c r="K519" s="38" t="e">
        <f t="shared" si="22"/>
        <v>#DIV/0!</v>
      </c>
      <c r="L519" s="160" t="s">
        <v>623</v>
      </c>
    </row>
    <row r="520" spans="1:12" ht="49.9" customHeight="1" x14ac:dyDescent="0.25">
      <c r="A520" s="605"/>
      <c r="B520" s="600"/>
      <c r="C520" s="600"/>
      <c r="D520" s="600"/>
      <c r="E520" s="600"/>
      <c r="F520" s="607"/>
      <c r="G520" s="142" t="s">
        <v>324</v>
      </c>
      <c r="H520" s="150">
        <f>+INVERSIÓN!$CE$52</f>
        <v>1</v>
      </c>
      <c r="I520" s="150">
        <v>0</v>
      </c>
      <c r="J520" s="150">
        <v>0</v>
      </c>
      <c r="K520" s="38" t="e">
        <f t="shared" si="22"/>
        <v>#DIV/0!</v>
      </c>
      <c r="L520" s="160" t="s">
        <v>620</v>
      </c>
    </row>
    <row r="521" spans="1:12" ht="49.9" customHeight="1" x14ac:dyDescent="0.25">
      <c r="A521" s="598" t="s">
        <v>128</v>
      </c>
      <c r="B521" s="600" t="s">
        <v>363</v>
      </c>
      <c r="C521" s="600" t="s">
        <v>364</v>
      </c>
      <c r="D521" s="600" t="s">
        <v>365</v>
      </c>
      <c r="E521" s="600" t="s">
        <v>366</v>
      </c>
      <c r="F521" s="607">
        <v>0.45</v>
      </c>
      <c r="G521" s="142" t="s">
        <v>318</v>
      </c>
      <c r="H521" s="150">
        <f>+INVERSIÓN!$CE$10</f>
        <v>1</v>
      </c>
      <c r="I521" s="150">
        <v>0</v>
      </c>
      <c r="J521" s="150">
        <v>0</v>
      </c>
      <c r="K521" s="38" t="e">
        <f t="shared" ref="K521:K527" si="23">J521/I521</f>
        <v>#DIV/0!</v>
      </c>
      <c r="L521" s="160" t="s">
        <v>630</v>
      </c>
    </row>
    <row r="522" spans="1:12" ht="49.9" customHeight="1" x14ac:dyDescent="0.25">
      <c r="A522" s="599"/>
      <c r="B522" s="600"/>
      <c r="C522" s="600"/>
      <c r="D522" s="600"/>
      <c r="E522" s="600"/>
      <c r="F522" s="607"/>
      <c r="G522" s="142" t="s">
        <v>330</v>
      </c>
      <c r="H522" s="156">
        <f>+INVERSIÓN!$CE$17</f>
        <v>6</v>
      </c>
      <c r="I522" s="156">
        <v>0</v>
      </c>
      <c r="J522" s="156">
        <v>0</v>
      </c>
      <c r="K522" s="38" t="e">
        <f t="shared" si="23"/>
        <v>#DIV/0!</v>
      </c>
      <c r="L522" s="160" t="s">
        <v>631</v>
      </c>
    </row>
    <row r="523" spans="1:12" ht="49.9" customHeight="1" x14ac:dyDescent="0.25">
      <c r="A523" s="599"/>
      <c r="B523" s="600"/>
      <c r="C523" s="600"/>
      <c r="D523" s="600"/>
      <c r="E523" s="600"/>
      <c r="F523" s="607"/>
      <c r="G523" s="142" t="s">
        <v>331</v>
      </c>
      <c r="H523" s="156">
        <f>+INVERSIÓN!$CE$24</f>
        <v>1.9999999999999996</v>
      </c>
      <c r="I523" s="156">
        <v>0</v>
      </c>
      <c r="J523" s="156">
        <v>0</v>
      </c>
      <c r="K523" s="38" t="e">
        <f t="shared" si="23"/>
        <v>#DIV/0!</v>
      </c>
      <c r="L523" s="160" t="s">
        <v>632</v>
      </c>
    </row>
    <row r="524" spans="1:12" ht="49.9" customHeight="1" x14ac:dyDescent="0.25">
      <c r="A524" s="599"/>
      <c r="B524" s="142" t="s">
        <v>370</v>
      </c>
      <c r="C524" s="142" t="s">
        <v>371</v>
      </c>
      <c r="D524" s="142" t="s">
        <v>372</v>
      </c>
      <c r="E524" s="142" t="s">
        <v>265</v>
      </c>
      <c r="F524" s="150">
        <v>0.15</v>
      </c>
      <c r="G524" s="142" t="s">
        <v>267</v>
      </c>
      <c r="H524" s="156">
        <f>+INVERSIÓN!$CE$31</f>
        <v>1272</v>
      </c>
      <c r="I524" s="156">
        <v>0</v>
      </c>
      <c r="J524" s="156">
        <v>0</v>
      </c>
      <c r="K524" s="38" t="e">
        <f t="shared" si="23"/>
        <v>#DIV/0!</v>
      </c>
      <c r="L524" s="160" t="s">
        <v>628</v>
      </c>
    </row>
    <row r="525" spans="1:12" ht="49.9" customHeight="1" x14ac:dyDescent="0.25">
      <c r="A525" s="599"/>
      <c r="B525" s="142" t="s">
        <v>374</v>
      </c>
      <c r="C525" s="142" t="s">
        <v>375</v>
      </c>
      <c r="D525" s="142" t="s">
        <v>376</v>
      </c>
      <c r="E525" s="142" t="s">
        <v>265</v>
      </c>
      <c r="F525" s="150">
        <v>0.15</v>
      </c>
      <c r="G525" s="142" t="s">
        <v>268</v>
      </c>
      <c r="H525" s="150">
        <f>+INVERSIÓN!$CE$38</f>
        <v>1</v>
      </c>
      <c r="I525" s="150">
        <v>0</v>
      </c>
      <c r="J525" s="150">
        <v>0</v>
      </c>
      <c r="K525" s="38" t="e">
        <f t="shared" si="23"/>
        <v>#DIV/0!</v>
      </c>
      <c r="L525" s="160" t="s">
        <v>629</v>
      </c>
    </row>
    <row r="526" spans="1:12" ht="49.9" customHeight="1" x14ac:dyDescent="0.25">
      <c r="A526" s="599"/>
      <c r="B526" s="600" t="s">
        <v>378</v>
      </c>
      <c r="C526" s="600" t="s">
        <v>379</v>
      </c>
      <c r="D526" s="600" t="s">
        <v>380</v>
      </c>
      <c r="E526" s="600" t="s">
        <v>366</v>
      </c>
      <c r="F526" s="607">
        <v>0.25</v>
      </c>
      <c r="G526" s="142" t="s">
        <v>263</v>
      </c>
      <c r="H526" s="156">
        <f>+INVERSIÓN!$CE$45</f>
        <v>1097</v>
      </c>
      <c r="I526" s="156">
        <v>0</v>
      </c>
      <c r="J526" s="156">
        <v>0</v>
      </c>
      <c r="K526" s="38" t="e">
        <f t="shared" si="23"/>
        <v>#DIV/0!</v>
      </c>
      <c r="L526" s="160" t="s">
        <v>627</v>
      </c>
    </row>
    <row r="527" spans="1:12" ht="49.9" customHeight="1" x14ac:dyDescent="0.25">
      <c r="A527" s="605"/>
      <c r="B527" s="600"/>
      <c r="C527" s="600"/>
      <c r="D527" s="600"/>
      <c r="E527" s="600"/>
      <c r="F527" s="607"/>
      <c r="G527" s="142" t="s">
        <v>324</v>
      </c>
      <c r="H527" s="150">
        <f>+INVERSIÓN!$CE$52</f>
        <v>1</v>
      </c>
      <c r="I527" s="150">
        <v>0</v>
      </c>
      <c r="J527" s="150">
        <v>0</v>
      </c>
      <c r="K527" s="38" t="e">
        <f t="shared" si="23"/>
        <v>#DIV/0!</v>
      </c>
      <c r="L527" s="160" t="s">
        <v>633</v>
      </c>
    </row>
    <row r="528" spans="1:12" ht="49.9" customHeight="1" x14ac:dyDescent="0.25">
      <c r="A528" s="598" t="s">
        <v>129</v>
      </c>
      <c r="B528" s="600" t="s">
        <v>363</v>
      </c>
      <c r="C528" s="600" t="s">
        <v>364</v>
      </c>
      <c r="D528" s="600" t="s">
        <v>365</v>
      </c>
      <c r="E528" s="600" t="s">
        <v>366</v>
      </c>
      <c r="F528" s="607">
        <v>0.45</v>
      </c>
      <c r="G528" s="142" t="s">
        <v>318</v>
      </c>
      <c r="H528" s="150">
        <f>+INVERSIÓN!$CE$10</f>
        <v>1</v>
      </c>
      <c r="I528" s="150">
        <v>0</v>
      </c>
      <c r="J528" s="150">
        <v>0</v>
      </c>
      <c r="K528" s="38" t="e">
        <f t="shared" ref="K528:K534" si="24">J528/I528</f>
        <v>#DIV/0!</v>
      </c>
      <c r="L528" s="214" t="s">
        <v>641</v>
      </c>
    </row>
    <row r="529" spans="1:12" ht="49.9" customHeight="1" x14ac:dyDescent="0.25">
      <c r="A529" s="599"/>
      <c r="B529" s="600"/>
      <c r="C529" s="600"/>
      <c r="D529" s="600"/>
      <c r="E529" s="600"/>
      <c r="F529" s="607"/>
      <c r="G529" s="142" t="s">
        <v>330</v>
      </c>
      <c r="H529" s="156">
        <f>+INVERSIÓN!$CE$17</f>
        <v>6</v>
      </c>
      <c r="I529" s="156">
        <v>0</v>
      </c>
      <c r="J529" s="156">
        <v>0</v>
      </c>
      <c r="K529" s="38" t="e">
        <f t="shared" si="24"/>
        <v>#DIV/0!</v>
      </c>
      <c r="L529" s="214" t="s">
        <v>637</v>
      </c>
    </row>
    <row r="530" spans="1:12" ht="49.9" customHeight="1" x14ac:dyDescent="0.25">
      <c r="A530" s="599"/>
      <c r="B530" s="600"/>
      <c r="C530" s="600"/>
      <c r="D530" s="600"/>
      <c r="E530" s="600"/>
      <c r="F530" s="607"/>
      <c r="G530" s="142" t="s">
        <v>331</v>
      </c>
      <c r="H530" s="156">
        <f>+INVERSIÓN!$CE$24</f>
        <v>1.9999999999999996</v>
      </c>
      <c r="I530" s="156">
        <v>0</v>
      </c>
      <c r="J530" s="156">
        <v>0</v>
      </c>
      <c r="K530" s="38" t="e">
        <f t="shared" si="24"/>
        <v>#DIV/0!</v>
      </c>
      <c r="L530" s="214" t="s">
        <v>640</v>
      </c>
    </row>
    <row r="531" spans="1:12" ht="49.9" customHeight="1" x14ac:dyDescent="0.25">
      <c r="A531" s="599"/>
      <c r="B531" s="142" t="s">
        <v>370</v>
      </c>
      <c r="C531" s="142" t="s">
        <v>371</v>
      </c>
      <c r="D531" s="142" t="s">
        <v>372</v>
      </c>
      <c r="E531" s="142" t="s">
        <v>265</v>
      </c>
      <c r="F531" s="150">
        <v>0.15</v>
      </c>
      <c r="G531" s="142" t="s">
        <v>267</v>
      </c>
      <c r="H531" s="156">
        <f>+INVERSIÓN!$CE$31</f>
        <v>1272</v>
      </c>
      <c r="I531" s="156">
        <v>0</v>
      </c>
      <c r="J531" s="156">
        <v>0</v>
      </c>
      <c r="K531" s="38" t="e">
        <f t="shared" si="24"/>
        <v>#DIV/0!</v>
      </c>
      <c r="L531" s="214" t="s">
        <v>636</v>
      </c>
    </row>
    <row r="532" spans="1:12" ht="49.9" customHeight="1" x14ac:dyDescent="0.25">
      <c r="A532" s="599"/>
      <c r="B532" s="142" t="s">
        <v>374</v>
      </c>
      <c r="C532" s="142" t="s">
        <v>375</v>
      </c>
      <c r="D532" s="142" t="s">
        <v>376</v>
      </c>
      <c r="E532" s="142" t="s">
        <v>265</v>
      </c>
      <c r="F532" s="150">
        <v>0.15</v>
      </c>
      <c r="G532" s="142" t="s">
        <v>268</v>
      </c>
      <c r="H532" s="150">
        <f>+INVERSIÓN!$CE$38</f>
        <v>1</v>
      </c>
      <c r="I532" s="150">
        <v>0</v>
      </c>
      <c r="J532" s="150">
        <v>0</v>
      </c>
      <c r="K532" s="38" t="e">
        <f t="shared" si="24"/>
        <v>#DIV/0!</v>
      </c>
      <c r="L532" s="214" t="s">
        <v>638</v>
      </c>
    </row>
    <row r="533" spans="1:12" ht="49.9" customHeight="1" x14ac:dyDescent="0.25">
      <c r="A533" s="599"/>
      <c r="B533" s="600" t="s">
        <v>378</v>
      </c>
      <c r="C533" s="600" t="s">
        <v>379</v>
      </c>
      <c r="D533" s="600" t="s">
        <v>380</v>
      </c>
      <c r="E533" s="600" t="s">
        <v>366</v>
      </c>
      <c r="F533" s="607">
        <v>0.25</v>
      </c>
      <c r="G533" s="142" t="s">
        <v>263</v>
      </c>
      <c r="H533" s="156">
        <f>+INVERSIÓN!$CE$45</f>
        <v>1097</v>
      </c>
      <c r="I533" s="156">
        <v>0</v>
      </c>
      <c r="J533" s="156">
        <v>0</v>
      </c>
      <c r="K533" s="38" t="e">
        <f t="shared" si="24"/>
        <v>#DIV/0!</v>
      </c>
      <c r="L533" s="214" t="s">
        <v>635</v>
      </c>
    </row>
    <row r="534" spans="1:12" ht="49.9" customHeight="1" x14ac:dyDescent="0.25">
      <c r="A534" s="605"/>
      <c r="B534" s="600"/>
      <c r="C534" s="600"/>
      <c r="D534" s="600"/>
      <c r="E534" s="600"/>
      <c r="F534" s="607"/>
      <c r="G534" s="142" t="s">
        <v>324</v>
      </c>
      <c r="H534" s="150">
        <f>+INVERSIÓN!$CE$52</f>
        <v>1</v>
      </c>
      <c r="I534" s="150">
        <v>0</v>
      </c>
      <c r="J534" s="150">
        <v>0</v>
      </c>
      <c r="K534" s="38" t="e">
        <f t="shared" si="24"/>
        <v>#DIV/0!</v>
      </c>
      <c r="L534" s="214" t="s">
        <v>639</v>
      </c>
    </row>
    <row r="535" spans="1:12" ht="49.9" customHeight="1" x14ac:dyDescent="0.25">
      <c r="A535" s="598" t="s">
        <v>130</v>
      </c>
      <c r="B535" s="600" t="s">
        <v>363</v>
      </c>
      <c r="C535" s="600" t="s">
        <v>364</v>
      </c>
      <c r="D535" s="600" t="s">
        <v>365</v>
      </c>
      <c r="E535" s="600" t="s">
        <v>366</v>
      </c>
      <c r="F535" s="607">
        <v>0.45</v>
      </c>
      <c r="G535" s="142" t="s">
        <v>318</v>
      </c>
      <c r="H535" s="150">
        <f>+INVERSIÓN!$CE$10</f>
        <v>1</v>
      </c>
      <c r="I535" s="150">
        <v>0</v>
      </c>
      <c r="J535" s="150">
        <v>0</v>
      </c>
      <c r="K535" s="38" t="e">
        <f t="shared" ref="K535:K541" si="25">J535/I535</f>
        <v>#DIV/0!</v>
      </c>
      <c r="L535" s="214" t="s">
        <v>667</v>
      </c>
    </row>
    <row r="536" spans="1:12" ht="49.9" customHeight="1" x14ac:dyDescent="0.25">
      <c r="A536" s="599"/>
      <c r="B536" s="600"/>
      <c r="C536" s="600"/>
      <c r="D536" s="600"/>
      <c r="E536" s="600"/>
      <c r="F536" s="607"/>
      <c r="G536" s="142" t="s">
        <v>330</v>
      </c>
      <c r="H536" s="156">
        <f>+INVERSIÓN!$CE$17</f>
        <v>6</v>
      </c>
      <c r="I536" s="156">
        <v>0</v>
      </c>
      <c r="J536" s="156">
        <v>0</v>
      </c>
      <c r="K536" s="38" t="e">
        <f t="shared" si="25"/>
        <v>#DIV/0!</v>
      </c>
      <c r="L536" s="214" t="s">
        <v>658</v>
      </c>
    </row>
    <row r="537" spans="1:12" ht="49.9" customHeight="1" x14ac:dyDescent="0.25">
      <c r="A537" s="599"/>
      <c r="B537" s="600"/>
      <c r="C537" s="600"/>
      <c r="D537" s="600"/>
      <c r="E537" s="600"/>
      <c r="F537" s="607"/>
      <c r="G537" s="142" t="s">
        <v>331</v>
      </c>
      <c r="H537" s="156">
        <f>+INVERSIÓN!$CE$24</f>
        <v>1.9999999999999996</v>
      </c>
      <c r="I537" s="156">
        <v>0</v>
      </c>
      <c r="J537" s="156">
        <v>0</v>
      </c>
      <c r="K537" s="38" t="e">
        <f t="shared" si="25"/>
        <v>#DIV/0!</v>
      </c>
      <c r="L537" s="214" t="s">
        <v>668</v>
      </c>
    </row>
    <row r="538" spans="1:12" ht="49.9" customHeight="1" x14ac:dyDescent="0.25">
      <c r="A538" s="599"/>
      <c r="B538" s="142" t="s">
        <v>370</v>
      </c>
      <c r="C538" s="142" t="s">
        <v>371</v>
      </c>
      <c r="D538" s="142" t="s">
        <v>372</v>
      </c>
      <c r="E538" s="142" t="s">
        <v>265</v>
      </c>
      <c r="F538" s="150">
        <v>0.15</v>
      </c>
      <c r="G538" s="142" t="s">
        <v>267</v>
      </c>
      <c r="H538" s="156">
        <f>+INVERSIÓN!$CE$31</f>
        <v>1272</v>
      </c>
      <c r="I538" s="156">
        <v>0</v>
      </c>
      <c r="J538" s="156">
        <v>0</v>
      </c>
      <c r="K538" s="38" t="e">
        <f t="shared" si="25"/>
        <v>#DIV/0!</v>
      </c>
      <c r="L538" s="214" t="s">
        <v>655</v>
      </c>
    </row>
    <row r="539" spans="1:12" ht="49.9" customHeight="1" x14ac:dyDescent="0.25">
      <c r="A539" s="599"/>
      <c r="B539" s="142" t="s">
        <v>374</v>
      </c>
      <c r="C539" s="142" t="s">
        <v>375</v>
      </c>
      <c r="D539" s="142" t="s">
        <v>376</v>
      </c>
      <c r="E539" s="142" t="s">
        <v>265</v>
      </c>
      <c r="F539" s="150">
        <v>0.15</v>
      </c>
      <c r="G539" s="142" t="s">
        <v>268</v>
      </c>
      <c r="H539" s="150">
        <f>+INVERSIÓN!$CE$38</f>
        <v>1</v>
      </c>
      <c r="I539" s="150">
        <v>0</v>
      </c>
      <c r="J539" s="150">
        <v>0</v>
      </c>
      <c r="K539" s="38" t="e">
        <f t="shared" si="25"/>
        <v>#DIV/0!</v>
      </c>
      <c r="L539" s="214" t="s">
        <v>638</v>
      </c>
    </row>
    <row r="540" spans="1:12" ht="49.9" customHeight="1" x14ac:dyDescent="0.25">
      <c r="A540" s="599"/>
      <c r="B540" s="600" t="s">
        <v>378</v>
      </c>
      <c r="C540" s="600" t="s">
        <v>379</v>
      </c>
      <c r="D540" s="600" t="s">
        <v>380</v>
      </c>
      <c r="E540" s="600" t="s">
        <v>366</v>
      </c>
      <c r="F540" s="607">
        <v>0.25</v>
      </c>
      <c r="G540" s="142" t="s">
        <v>263</v>
      </c>
      <c r="H540" s="156">
        <f>+INVERSIÓN!$CE$45</f>
        <v>1097</v>
      </c>
      <c r="I540" s="156">
        <v>0</v>
      </c>
      <c r="J540" s="156">
        <v>0</v>
      </c>
      <c r="K540" s="38" t="e">
        <f t="shared" si="25"/>
        <v>#DIV/0!</v>
      </c>
      <c r="L540" s="214" t="s">
        <v>648</v>
      </c>
    </row>
    <row r="541" spans="1:12" ht="49.9" customHeight="1" x14ac:dyDescent="0.25">
      <c r="A541" s="605"/>
      <c r="B541" s="600"/>
      <c r="C541" s="600"/>
      <c r="D541" s="600"/>
      <c r="E541" s="600"/>
      <c r="F541" s="607"/>
      <c r="G541" s="142" t="s">
        <v>324</v>
      </c>
      <c r="H541" s="150">
        <f>+INVERSIÓN!$CE$52</f>
        <v>1</v>
      </c>
      <c r="I541" s="150">
        <v>0</v>
      </c>
      <c r="J541" s="150">
        <v>0</v>
      </c>
      <c r="K541" s="38" t="e">
        <f t="shared" si="25"/>
        <v>#DIV/0!</v>
      </c>
      <c r="L541" s="214" t="s">
        <v>642</v>
      </c>
    </row>
    <row r="542" spans="1:12" x14ac:dyDescent="0.25">
      <c r="A542" s="38" t="s">
        <v>131</v>
      </c>
      <c r="B542" s="38"/>
      <c r="C542" s="38"/>
      <c r="D542" s="38"/>
      <c r="E542" s="38"/>
      <c r="F542" s="38"/>
      <c r="G542" s="38"/>
      <c r="H542" s="38"/>
      <c r="I542" s="188"/>
      <c r="J542" s="38"/>
      <c r="K542" s="38" t="e">
        <f t="shared" ref="K542:K544" si="26">J542/I542</f>
        <v>#DIV/0!</v>
      </c>
      <c r="L542" s="38"/>
    </row>
    <row r="543" spans="1:12" x14ac:dyDescent="0.25">
      <c r="A543" s="38" t="s">
        <v>132</v>
      </c>
      <c r="B543" s="38"/>
      <c r="C543" s="38"/>
      <c r="D543" s="38"/>
      <c r="E543" s="38"/>
      <c r="F543" s="38"/>
      <c r="G543" s="38"/>
      <c r="H543" s="38"/>
      <c r="I543" s="188"/>
      <c r="J543" s="38"/>
      <c r="K543" s="38" t="e">
        <f t="shared" si="26"/>
        <v>#DIV/0!</v>
      </c>
      <c r="L543" s="38"/>
    </row>
    <row r="544" spans="1:12" x14ac:dyDescent="0.25">
      <c r="A544" s="38" t="s">
        <v>133</v>
      </c>
      <c r="B544" s="38"/>
      <c r="C544" s="38"/>
      <c r="D544" s="38"/>
      <c r="E544" s="38"/>
      <c r="F544" s="38"/>
      <c r="G544" s="38"/>
      <c r="H544" s="38"/>
      <c r="I544" s="188"/>
      <c r="J544" s="38"/>
      <c r="K544" s="38" t="e">
        <f t="shared" si="26"/>
        <v>#DIV/0!</v>
      </c>
      <c r="L544" s="38"/>
    </row>
    <row r="546" spans="1:12" ht="19.899999999999999" hidden="1" customHeight="1" x14ac:dyDescent="0.25">
      <c r="A546" s="608" t="s">
        <v>161</v>
      </c>
      <c r="B546" s="609"/>
      <c r="C546" s="609"/>
      <c r="D546" s="609"/>
      <c r="E546" s="609"/>
      <c r="F546" s="609"/>
      <c r="G546" s="609"/>
      <c r="H546" s="609"/>
      <c r="I546" s="609"/>
      <c r="J546" s="609"/>
      <c r="K546" s="609"/>
      <c r="L546" s="610"/>
    </row>
    <row r="547" spans="1:12" ht="44.25" hidden="1" customHeight="1" x14ac:dyDescent="0.25">
      <c r="A547" s="140" t="s">
        <v>62</v>
      </c>
      <c r="B547" s="37" t="s">
        <v>145</v>
      </c>
      <c r="C547" s="37" t="s">
        <v>146</v>
      </c>
      <c r="D547" s="37" t="s">
        <v>147</v>
      </c>
      <c r="E547" s="37" t="s">
        <v>148</v>
      </c>
      <c r="F547" s="37" t="s">
        <v>162</v>
      </c>
      <c r="G547" s="37" t="s">
        <v>150</v>
      </c>
      <c r="H547" s="37" t="s">
        <v>163</v>
      </c>
      <c r="I547" s="185" t="s">
        <v>152</v>
      </c>
      <c r="J547" s="37" t="s">
        <v>153</v>
      </c>
      <c r="K547" s="37" t="s">
        <v>154</v>
      </c>
      <c r="L547" s="37" t="s">
        <v>155</v>
      </c>
    </row>
    <row r="548" spans="1:12" ht="16.5" hidden="1" customHeight="1" x14ac:dyDescent="0.25">
      <c r="A548" s="38" t="s">
        <v>135</v>
      </c>
      <c r="B548" s="38"/>
      <c r="C548" s="38"/>
      <c r="D548" s="38"/>
      <c r="E548" s="38"/>
      <c r="F548" s="38"/>
      <c r="G548" s="38"/>
      <c r="H548" s="38"/>
      <c r="I548" s="188"/>
      <c r="J548" s="38"/>
      <c r="K548" s="38" t="e">
        <f t="shared" ref="K548:K559" si="27">J548/I548</f>
        <v>#DIV/0!</v>
      </c>
      <c r="L548" s="38"/>
    </row>
    <row r="549" spans="1:12" ht="16.5" hidden="1" customHeight="1" x14ac:dyDescent="0.25">
      <c r="A549" s="38" t="s">
        <v>136</v>
      </c>
      <c r="B549" s="38"/>
      <c r="C549" s="38"/>
      <c r="D549" s="38"/>
      <c r="E549" s="38"/>
      <c r="F549" s="38"/>
      <c r="G549" s="38"/>
      <c r="H549" s="38"/>
      <c r="I549" s="188"/>
      <c r="J549" s="38"/>
      <c r="K549" s="38" t="e">
        <f t="shared" si="27"/>
        <v>#DIV/0!</v>
      </c>
      <c r="L549" s="38"/>
    </row>
    <row r="550" spans="1:12" ht="16.5" hidden="1" customHeight="1" x14ac:dyDescent="0.25">
      <c r="A550" s="38" t="s">
        <v>137</v>
      </c>
      <c r="B550" s="38"/>
      <c r="C550" s="38"/>
      <c r="D550" s="38"/>
      <c r="E550" s="38"/>
      <c r="F550" s="38"/>
      <c r="G550" s="38"/>
      <c r="H550" s="38"/>
      <c r="I550" s="188"/>
      <c r="J550" s="38"/>
      <c r="K550" s="38" t="e">
        <f t="shared" si="27"/>
        <v>#DIV/0!</v>
      </c>
      <c r="L550" s="38"/>
    </row>
    <row r="551" spans="1:12" ht="16.5" hidden="1" customHeight="1" x14ac:dyDescent="0.25">
      <c r="A551" s="38" t="s">
        <v>138</v>
      </c>
      <c r="B551" s="38"/>
      <c r="C551" s="38"/>
      <c r="D551" s="38"/>
      <c r="E551" s="38"/>
      <c r="F551" s="38"/>
      <c r="G551" s="38"/>
      <c r="H551" s="38"/>
      <c r="I551" s="188"/>
      <c r="J551" s="38"/>
      <c r="K551" s="38" t="e">
        <f t="shared" si="27"/>
        <v>#DIV/0!</v>
      </c>
      <c r="L551" s="38"/>
    </row>
    <row r="552" spans="1:12" ht="16.5" hidden="1" customHeight="1" x14ac:dyDescent="0.25">
      <c r="A552" s="38" t="s">
        <v>139</v>
      </c>
      <c r="B552" s="38"/>
      <c r="C552" s="38"/>
      <c r="D552" s="38"/>
      <c r="E552" s="38"/>
      <c r="F552" s="38"/>
      <c r="G552" s="38"/>
      <c r="H552" s="38"/>
      <c r="I552" s="188"/>
      <c r="J552" s="38"/>
      <c r="K552" s="38" t="e">
        <f t="shared" si="27"/>
        <v>#DIV/0!</v>
      </c>
      <c r="L552" s="38"/>
    </row>
    <row r="553" spans="1:12" ht="16.5" hidden="1" customHeight="1" x14ac:dyDescent="0.25">
      <c r="A553" s="38" t="s">
        <v>140</v>
      </c>
      <c r="B553" s="38"/>
      <c r="C553" s="38"/>
      <c r="D553" s="38"/>
      <c r="E553" s="38"/>
      <c r="F553" s="38"/>
      <c r="G553" s="38"/>
      <c r="H553" s="38"/>
      <c r="I553" s="188"/>
      <c r="J553" s="38"/>
      <c r="K553" s="38" t="e">
        <f t="shared" si="27"/>
        <v>#DIV/0!</v>
      </c>
      <c r="L553" s="38"/>
    </row>
    <row r="554" spans="1:12" hidden="1" x14ac:dyDescent="0.25">
      <c r="A554" s="38" t="s">
        <v>128</v>
      </c>
      <c r="B554" s="38"/>
      <c r="C554" s="38"/>
      <c r="D554" s="38"/>
      <c r="E554" s="38"/>
      <c r="F554" s="38"/>
      <c r="G554" s="38"/>
      <c r="H554" s="38"/>
      <c r="I554" s="188"/>
      <c r="J554" s="38"/>
      <c r="K554" s="38" t="e">
        <f t="shared" si="27"/>
        <v>#DIV/0!</v>
      </c>
      <c r="L554" s="38"/>
    </row>
    <row r="555" spans="1:12" hidden="1" x14ac:dyDescent="0.25">
      <c r="A555" s="38" t="s">
        <v>129</v>
      </c>
      <c r="B555" s="38"/>
      <c r="C555" s="38"/>
      <c r="D555" s="38"/>
      <c r="E555" s="38"/>
      <c r="F555" s="38"/>
      <c r="G555" s="38"/>
      <c r="H555" s="38"/>
      <c r="I555" s="188"/>
      <c r="J555" s="38"/>
      <c r="K555" s="38" t="e">
        <f t="shared" si="27"/>
        <v>#DIV/0!</v>
      </c>
      <c r="L555" s="38"/>
    </row>
    <row r="556" spans="1:12" hidden="1" x14ac:dyDescent="0.25">
      <c r="A556" s="38" t="s">
        <v>130</v>
      </c>
      <c r="B556" s="38"/>
      <c r="C556" s="38"/>
      <c r="D556" s="38"/>
      <c r="E556" s="38"/>
      <c r="F556" s="38"/>
      <c r="G556" s="38"/>
      <c r="H556" s="38"/>
      <c r="I556" s="188"/>
      <c r="J556" s="38"/>
      <c r="K556" s="38" t="e">
        <f t="shared" si="27"/>
        <v>#DIV/0!</v>
      </c>
      <c r="L556" s="38"/>
    </row>
    <row r="557" spans="1:12" hidden="1" x14ac:dyDescent="0.25">
      <c r="A557" s="38" t="s">
        <v>131</v>
      </c>
      <c r="B557" s="38"/>
      <c r="C557" s="38"/>
      <c r="D557" s="38"/>
      <c r="E557" s="38"/>
      <c r="F557" s="38"/>
      <c r="G557" s="38"/>
      <c r="H557" s="38"/>
      <c r="I557" s="188"/>
      <c r="J557" s="38"/>
      <c r="K557" s="38" t="e">
        <f t="shared" si="27"/>
        <v>#DIV/0!</v>
      </c>
      <c r="L557" s="38"/>
    </row>
    <row r="558" spans="1:12" hidden="1" x14ac:dyDescent="0.25">
      <c r="A558" s="38" t="s">
        <v>132</v>
      </c>
      <c r="B558" s="38"/>
      <c r="C558" s="38"/>
      <c r="D558" s="38"/>
      <c r="E558" s="38"/>
      <c r="F558" s="38"/>
      <c r="G558" s="38"/>
      <c r="H558" s="38"/>
      <c r="I558" s="188"/>
      <c r="J558" s="38"/>
      <c r="K558" s="38" t="e">
        <f t="shared" si="27"/>
        <v>#DIV/0!</v>
      </c>
      <c r="L558" s="38"/>
    </row>
    <row r="559" spans="1:12" hidden="1" x14ac:dyDescent="0.25">
      <c r="A559" s="38" t="s">
        <v>133</v>
      </c>
      <c r="B559" s="38"/>
      <c r="C559" s="38"/>
      <c r="D559" s="38"/>
      <c r="E559" s="38"/>
      <c r="F559" s="38"/>
      <c r="G559" s="38"/>
      <c r="H559" s="38"/>
      <c r="I559" s="188"/>
      <c r="J559" s="38"/>
      <c r="K559" s="38" t="e">
        <f t="shared" si="27"/>
        <v>#DIV/0!</v>
      </c>
      <c r="L559" s="38"/>
    </row>
    <row r="560" spans="1:12" hidden="1" x14ac:dyDescent="0.25"/>
    <row r="561" spans="1:12" ht="19.899999999999999" hidden="1" customHeight="1" x14ac:dyDescent="0.25">
      <c r="A561" s="608" t="s">
        <v>164</v>
      </c>
      <c r="B561" s="609"/>
      <c r="C561" s="609"/>
      <c r="D561" s="609"/>
      <c r="E561" s="609"/>
      <c r="F561" s="609"/>
      <c r="G561" s="609"/>
      <c r="H561" s="609"/>
      <c r="I561" s="609"/>
      <c r="J561" s="609"/>
      <c r="K561" s="609"/>
      <c r="L561" s="610"/>
    </row>
    <row r="562" spans="1:12" ht="44.25" hidden="1" customHeight="1" x14ac:dyDescent="0.25">
      <c r="A562" s="140" t="s">
        <v>63</v>
      </c>
      <c r="B562" s="37" t="s">
        <v>145</v>
      </c>
      <c r="C562" s="37" t="s">
        <v>146</v>
      </c>
      <c r="D562" s="37" t="s">
        <v>147</v>
      </c>
      <c r="E562" s="37" t="s">
        <v>148</v>
      </c>
      <c r="F562" s="37" t="s">
        <v>165</v>
      </c>
      <c r="G562" s="37" t="s">
        <v>150</v>
      </c>
      <c r="H562" s="37" t="s">
        <v>166</v>
      </c>
      <c r="I562" s="185" t="s">
        <v>152</v>
      </c>
      <c r="J562" s="37" t="s">
        <v>153</v>
      </c>
      <c r="K562" s="37" t="s">
        <v>154</v>
      </c>
      <c r="L562" s="37" t="s">
        <v>155</v>
      </c>
    </row>
    <row r="563" spans="1:12" ht="16.5" hidden="1" customHeight="1" x14ac:dyDescent="0.25">
      <c r="A563" s="38" t="s">
        <v>135</v>
      </c>
      <c r="B563" s="38"/>
      <c r="C563" s="38"/>
      <c r="D563" s="38"/>
      <c r="E563" s="38"/>
      <c r="F563" s="38"/>
      <c r="G563" s="38"/>
      <c r="H563" s="38"/>
      <c r="I563" s="188"/>
      <c r="J563" s="38"/>
      <c r="K563" s="38" t="e">
        <f t="shared" ref="K563:K574" si="28">J563/I563</f>
        <v>#DIV/0!</v>
      </c>
      <c r="L563" s="38"/>
    </row>
    <row r="564" spans="1:12" ht="16.5" hidden="1" customHeight="1" x14ac:dyDescent="0.25">
      <c r="A564" s="38" t="s">
        <v>136</v>
      </c>
      <c r="B564" s="38"/>
      <c r="C564" s="38"/>
      <c r="D564" s="38"/>
      <c r="E564" s="38"/>
      <c r="F564" s="38"/>
      <c r="G564" s="38"/>
      <c r="H564" s="38"/>
      <c r="I564" s="188"/>
      <c r="J564" s="38"/>
      <c r="K564" s="38" t="e">
        <f t="shared" si="28"/>
        <v>#DIV/0!</v>
      </c>
      <c r="L564" s="38"/>
    </row>
    <row r="565" spans="1:12" ht="16.5" hidden="1" customHeight="1" x14ac:dyDescent="0.25">
      <c r="A565" s="38" t="s">
        <v>137</v>
      </c>
      <c r="B565" s="38"/>
      <c r="C565" s="38"/>
      <c r="D565" s="38"/>
      <c r="E565" s="38"/>
      <c r="F565" s="38"/>
      <c r="G565" s="38"/>
      <c r="H565" s="38"/>
      <c r="I565" s="188"/>
      <c r="J565" s="38"/>
      <c r="K565" s="38" t="e">
        <f t="shared" si="28"/>
        <v>#DIV/0!</v>
      </c>
      <c r="L565" s="38"/>
    </row>
    <row r="566" spans="1:12" ht="16.5" hidden="1" customHeight="1" x14ac:dyDescent="0.25">
      <c r="A566" s="38" t="s">
        <v>138</v>
      </c>
      <c r="B566" s="38"/>
      <c r="C566" s="38"/>
      <c r="D566" s="38"/>
      <c r="E566" s="38"/>
      <c r="F566" s="38"/>
      <c r="G566" s="38"/>
      <c r="H566" s="38"/>
      <c r="I566" s="188"/>
      <c r="J566" s="38"/>
      <c r="K566" s="38" t="e">
        <f t="shared" si="28"/>
        <v>#DIV/0!</v>
      </c>
      <c r="L566" s="38"/>
    </row>
    <row r="567" spans="1:12" ht="16.5" hidden="1" customHeight="1" x14ac:dyDescent="0.25">
      <c r="A567" s="38" t="s">
        <v>139</v>
      </c>
      <c r="B567" s="38"/>
      <c r="C567" s="38"/>
      <c r="D567" s="38"/>
      <c r="E567" s="38"/>
      <c r="F567" s="38"/>
      <c r="G567" s="38"/>
      <c r="H567" s="38"/>
      <c r="I567" s="188"/>
      <c r="J567" s="38"/>
      <c r="K567" s="38" t="e">
        <f t="shared" si="28"/>
        <v>#DIV/0!</v>
      </c>
      <c r="L567" s="38"/>
    </row>
    <row r="568" spans="1:12" ht="16.5" hidden="1" customHeight="1" x14ac:dyDescent="0.25">
      <c r="A568" s="38" t="s">
        <v>140</v>
      </c>
      <c r="B568" s="38"/>
      <c r="C568" s="38"/>
      <c r="D568" s="38"/>
      <c r="E568" s="38"/>
      <c r="F568" s="38"/>
      <c r="G568" s="38"/>
      <c r="H568" s="38"/>
      <c r="I568" s="188"/>
      <c r="J568" s="38"/>
      <c r="K568" s="38" t="e">
        <f t="shared" si="28"/>
        <v>#DIV/0!</v>
      </c>
      <c r="L568" s="38"/>
    </row>
    <row r="569" spans="1:12" hidden="1" x14ac:dyDescent="0.25">
      <c r="A569" s="38" t="s">
        <v>128</v>
      </c>
      <c r="B569" s="38"/>
      <c r="C569" s="38"/>
      <c r="D569" s="38"/>
      <c r="E569" s="38"/>
      <c r="F569" s="38"/>
      <c r="G569" s="38"/>
      <c r="H569" s="38"/>
      <c r="I569" s="188"/>
      <c r="J569" s="38"/>
      <c r="K569" s="38" t="e">
        <f t="shared" si="28"/>
        <v>#DIV/0!</v>
      </c>
      <c r="L569" s="38"/>
    </row>
    <row r="570" spans="1:12" hidden="1" x14ac:dyDescent="0.25">
      <c r="A570" s="38" t="s">
        <v>129</v>
      </c>
      <c r="B570" s="38"/>
      <c r="C570" s="38"/>
      <c r="D570" s="38"/>
      <c r="E570" s="38"/>
      <c r="F570" s="38"/>
      <c r="G570" s="38"/>
      <c r="H570" s="38"/>
      <c r="I570" s="188"/>
      <c r="J570" s="38"/>
      <c r="K570" s="38" t="e">
        <f t="shared" si="28"/>
        <v>#DIV/0!</v>
      </c>
      <c r="L570" s="38"/>
    </row>
    <row r="571" spans="1:12" hidden="1" x14ac:dyDescent="0.25">
      <c r="A571" s="38" t="s">
        <v>130</v>
      </c>
      <c r="B571" s="38"/>
      <c r="C571" s="38"/>
      <c r="D571" s="38"/>
      <c r="E571" s="38"/>
      <c r="F571" s="38"/>
      <c r="G571" s="38"/>
      <c r="H571" s="38"/>
      <c r="I571" s="188"/>
      <c r="J571" s="38"/>
      <c r="K571" s="38" t="e">
        <f t="shared" si="28"/>
        <v>#DIV/0!</v>
      </c>
      <c r="L571" s="38"/>
    </row>
    <row r="572" spans="1:12" hidden="1" x14ac:dyDescent="0.25">
      <c r="A572" s="38" t="s">
        <v>131</v>
      </c>
      <c r="B572" s="38"/>
      <c r="C572" s="38"/>
      <c r="D572" s="38"/>
      <c r="E572" s="38"/>
      <c r="F572" s="38"/>
      <c r="G572" s="38"/>
      <c r="H572" s="38"/>
      <c r="I572" s="188"/>
      <c r="J572" s="38"/>
      <c r="K572" s="38" t="e">
        <f t="shared" si="28"/>
        <v>#DIV/0!</v>
      </c>
      <c r="L572" s="38"/>
    </row>
    <row r="573" spans="1:12" hidden="1" x14ac:dyDescent="0.25">
      <c r="A573" s="38" t="s">
        <v>132</v>
      </c>
      <c r="B573" s="38"/>
      <c r="C573" s="38"/>
      <c r="D573" s="38"/>
      <c r="E573" s="38"/>
      <c r="F573" s="38"/>
      <c r="G573" s="38"/>
      <c r="H573" s="38"/>
      <c r="I573" s="188"/>
      <c r="J573" s="38"/>
      <c r="K573" s="38" t="e">
        <f t="shared" si="28"/>
        <v>#DIV/0!</v>
      </c>
      <c r="L573" s="38"/>
    </row>
    <row r="574" spans="1:12" hidden="1" x14ac:dyDescent="0.25">
      <c r="A574" s="225" t="s">
        <v>133</v>
      </c>
      <c r="B574" s="225"/>
      <c r="C574" s="225"/>
      <c r="D574" s="225"/>
      <c r="E574" s="225"/>
      <c r="F574" s="225"/>
      <c r="G574" s="225"/>
      <c r="H574" s="38"/>
      <c r="I574" s="188"/>
      <c r="J574" s="38"/>
      <c r="K574" s="38" t="e">
        <f t="shared" si="28"/>
        <v>#DIV/0!</v>
      </c>
      <c r="L574" s="38"/>
    </row>
    <row r="575" spans="1:12" x14ac:dyDescent="0.25">
      <c r="A575" s="226"/>
      <c r="B575" s="226"/>
      <c r="C575" s="226"/>
      <c r="D575" s="226"/>
      <c r="E575" s="226"/>
      <c r="F575" s="226"/>
      <c r="G575" s="226"/>
      <c r="I575" s="224"/>
    </row>
    <row r="576" spans="1:12" ht="26.25" customHeight="1" x14ac:dyDescent="0.3">
      <c r="A576" s="614" t="s">
        <v>167</v>
      </c>
      <c r="B576" s="615"/>
      <c r="C576" s="615"/>
      <c r="D576" s="615"/>
      <c r="E576" s="615"/>
      <c r="F576" s="615"/>
      <c r="G576" s="616"/>
    </row>
    <row r="577" spans="1:9" ht="38.25" x14ac:dyDescent="0.25">
      <c r="A577" s="140" t="s">
        <v>48</v>
      </c>
      <c r="B577" s="37" t="s">
        <v>145</v>
      </c>
      <c r="C577" s="37" t="s">
        <v>146</v>
      </c>
      <c r="D577" s="37" t="s">
        <v>168</v>
      </c>
      <c r="E577" s="37" t="s">
        <v>169</v>
      </c>
      <c r="F577" s="37" t="s">
        <v>170</v>
      </c>
      <c r="G577" s="37" t="s">
        <v>171</v>
      </c>
    </row>
    <row r="578" spans="1:9" s="144" customFormat="1" ht="49.9" hidden="1" customHeight="1" outlineLevel="1" x14ac:dyDescent="0.25">
      <c r="A578" s="617" t="s">
        <v>128</v>
      </c>
      <c r="B578" s="611" t="s">
        <v>363</v>
      </c>
      <c r="C578" s="611" t="s">
        <v>432</v>
      </c>
      <c r="D578" s="142" t="s">
        <v>318</v>
      </c>
      <c r="E578" s="143">
        <v>775545944</v>
      </c>
      <c r="F578" s="143">
        <v>56548312</v>
      </c>
      <c r="G578" s="142" t="s">
        <v>433</v>
      </c>
      <c r="I578" s="183"/>
    </row>
    <row r="579" spans="1:9" s="144" customFormat="1" ht="49.9" hidden="1" customHeight="1" outlineLevel="2" x14ac:dyDescent="0.25">
      <c r="A579" s="617"/>
      <c r="B579" s="612"/>
      <c r="C579" s="612"/>
      <c r="D579" s="142" t="s">
        <v>330</v>
      </c>
      <c r="E579" s="143">
        <v>613840322</v>
      </c>
      <c r="F579" s="143">
        <v>0</v>
      </c>
      <c r="G579" s="142" t="s">
        <v>434</v>
      </c>
      <c r="I579" s="183"/>
    </row>
    <row r="580" spans="1:9" s="144" customFormat="1" ht="49.9" hidden="1" customHeight="1" outlineLevel="2" x14ac:dyDescent="0.25">
      <c r="A580" s="617"/>
      <c r="B580" s="613"/>
      <c r="C580" s="613"/>
      <c r="D580" s="142" t="s">
        <v>435</v>
      </c>
      <c r="E580" s="143">
        <v>1412790000</v>
      </c>
      <c r="F580" s="143">
        <v>79976000</v>
      </c>
      <c r="G580" s="142" t="s">
        <v>433</v>
      </c>
      <c r="I580" s="183"/>
    </row>
    <row r="581" spans="1:9" s="144" customFormat="1" ht="49.9" hidden="1" customHeight="1" outlineLevel="2" x14ac:dyDescent="0.25">
      <c r="A581" s="617"/>
      <c r="B581" s="142" t="s">
        <v>370</v>
      </c>
      <c r="C581" s="142" t="s">
        <v>436</v>
      </c>
      <c r="D581" s="142" t="s">
        <v>437</v>
      </c>
      <c r="E581" s="143">
        <v>621054131</v>
      </c>
      <c r="F581" s="143">
        <v>0</v>
      </c>
      <c r="G581" s="142" t="s">
        <v>434</v>
      </c>
      <c r="I581" s="183"/>
    </row>
    <row r="582" spans="1:9" s="144" customFormat="1" ht="49.9" hidden="1" customHeight="1" outlineLevel="2" x14ac:dyDescent="0.25">
      <c r="A582" s="617"/>
      <c r="B582" s="142" t="s">
        <v>374</v>
      </c>
      <c r="C582" s="142" t="s">
        <v>438</v>
      </c>
      <c r="D582" s="142" t="s">
        <v>439</v>
      </c>
      <c r="E582" s="143">
        <v>403410000</v>
      </c>
      <c r="F582" s="143">
        <v>10000000</v>
      </c>
      <c r="G582" s="142" t="s">
        <v>433</v>
      </c>
      <c r="I582" s="183"/>
    </row>
    <row r="583" spans="1:9" s="144" customFormat="1" ht="49.9" hidden="1" customHeight="1" outlineLevel="2" x14ac:dyDescent="0.25">
      <c r="A583" s="617"/>
      <c r="B583" s="611" t="s">
        <v>378</v>
      </c>
      <c r="C583" s="611" t="s">
        <v>440</v>
      </c>
      <c r="D583" s="142" t="s">
        <v>441</v>
      </c>
      <c r="E583" s="143">
        <v>658814131</v>
      </c>
      <c r="F583" s="143">
        <v>0</v>
      </c>
      <c r="G583" s="142" t="s">
        <v>434</v>
      </c>
      <c r="I583" s="183"/>
    </row>
    <row r="584" spans="1:9" s="144" customFormat="1" ht="49.9" hidden="1" customHeight="1" outlineLevel="2" x14ac:dyDescent="0.25">
      <c r="A584" s="617"/>
      <c r="B584" s="613"/>
      <c r="C584" s="613"/>
      <c r="D584" s="142" t="s">
        <v>324</v>
      </c>
      <c r="E584" s="143">
        <v>450000000</v>
      </c>
      <c r="F584" s="143">
        <v>0</v>
      </c>
      <c r="G584" s="142" t="s">
        <v>434</v>
      </c>
      <c r="I584" s="183"/>
    </row>
    <row r="585" spans="1:9" s="144" customFormat="1" ht="49.9" hidden="1" customHeight="1" outlineLevel="2" x14ac:dyDescent="0.25">
      <c r="A585" s="619" t="s">
        <v>129</v>
      </c>
      <c r="B585" s="611" t="s">
        <v>363</v>
      </c>
      <c r="C585" s="611" t="s">
        <v>432</v>
      </c>
      <c r="D585" s="142" t="s">
        <v>318</v>
      </c>
      <c r="E585" s="143">
        <v>775545944</v>
      </c>
      <c r="F585" s="143">
        <v>404965456</v>
      </c>
      <c r="G585" s="142" t="s">
        <v>442</v>
      </c>
      <c r="I585" s="183"/>
    </row>
    <row r="586" spans="1:9" s="144" customFormat="1" ht="49.9" hidden="1" customHeight="1" outlineLevel="2" x14ac:dyDescent="0.25">
      <c r="A586" s="617"/>
      <c r="B586" s="612"/>
      <c r="C586" s="612"/>
      <c r="D586" s="142" t="s">
        <v>330</v>
      </c>
      <c r="E586" s="143">
        <v>613840322</v>
      </c>
      <c r="F586" s="143">
        <v>465500000</v>
      </c>
      <c r="G586" s="142" t="s">
        <v>442</v>
      </c>
      <c r="I586" s="183"/>
    </row>
    <row r="587" spans="1:9" s="144" customFormat="1" ht="49.9" hidden="1" customHeight="1" outlineLevel="2" x14ac:dyDescent="0.25">
      <c r="A587" s="617"/>
      <c r="B587" s="613"/>
      <c r="C587" s="613"/>
      <c r="D587" s="142" t="s">
        <v>435</v>
      </c>
      <c r="E587" s="143">
        <v>1412790000</v>
      </c>
      <c r="F587" s="143">
        <v>835107984</v>
      </c>
      <c r="G587" s="142" t="s">
        <v>442</v>
      </c>
      <c r="I587" s="183"/>
    </row>
    <row r="588" spans="1:9" s="144" customFormat="1" ht="49.9" hidden="1" customHeight="1" outlineLevel="2" x14ac:dyDescent="0.25">
      <c r="A588" s="617"/>
      <c r="B588" s="142" t="s">
        <v>370</v>
      </c>
      <c r="C588" s="142" t="s">
        <v>436</v>
      </c>
      <c r="D588" s="142" t="s">
        <v>437</v>
      </c>
      <c r="E588" s="143">
        <v>621054131</v>
      </c>
      <c r="F588" s="143">
        <v>433428000</v>
      </c>
      <c r="G588" s="142" t="s">
        <v>442</v>
      </c>
      <c r="I588" s="183"/>
    </row>
    <row r="589" spans="1:9" s="144" customFormat="1" ht="49.9" hidden="1" customHeight="1" outlineLevel="2" x14ac:dyDescent="0.25">
      <c r="A589" s="617"/>
      <c r="B589" s="142" t="s">
        <v>374</v>
      </c>
      <c r="C589" s="142" t="s">
        <v>438</v>
      </c>
      <c r="D589" s="142" t="s">
        <v>439</v>
      </c>
      <c r="E589" s="143">
        <v>403410000</v>
      </c>
      <c r="F589" s="143">
        <v>92564000</v>
      </c>
      <c r="G589" s="142" t="s">
        <v>442</v>
      </c>
      <c r="I589" s="183"/>
    </row>
    <row r="590" spans="1:9" s="144" customFormat="1" ht="49.9" hidden="1" customHeight="1" outlineLevel="2" x14ac:dyDescent="0.25">
      <c r="A590" s="617"/>
      <c r="B590" s="611" t="s">
        <v>378</v>
      </c>
      <c r="C590" s="611" t="s">
        <v>440</v>
      </c>
      <c r="D590" s="142" t="s">
        <v>441</v>
      </c>
      <c r="E590" s="143">
        <v>658814131</v>
      </c>
      <c r="F590" s="143">
        <v>451588000</v>
      </c>
      <c r="G590" s="142" t="s">
        <v>442</v>
      </c>
      <c r="I590" s="183"/>
    </row>
    <row r="591" spans="1:9" s="144" customFormat="1" ht="49.9" hidden="1" customHeight="1" outlineLevel="2" x14ac:dyDescent="0.25">
      <c r="A591" s="617"/>
      <c r="B591" s="613"/>
      <c r="C591" s="613"/>
      <c r="D591" s="142" t="s">
        <v>324</v>
      </c>
      <c r="E591" s="143">
        <v>450000000</v>
      </c>
      <c r="F591" s="143">
        <v>373112000</v>
      </c>
      <c r="G591" s="142" t="s">
        <v>442</v>
      </c>
      <c r="I591" s="183"/>
    </row>
    <row r="592" spans="1:9" s="144" customFormat="1" ht="49.9" hidden="1" customHeight="1" outlineLevel="2" x14ac:dyDescent="0.25">
      <c r="A592" s="619" t="s">
        <v>130</v>
      </c>
      <c r="B592" s="611" t="s">
        <v>363</v>
      </c>
      <c r="C592" s="611" t="s">
        <v>432</v>
      </c>
      <c r="D592" s="142" t="s">
        <v>318</v>
      </c>
      <c r="E592" s="143">
        <v>775545944</v>
      </c>
      <c r="F592" s="143">
        <v>433527167</v>
      </c>
      <c r="G592" s="142" t="s">
        <v>442</v>
      </c>
      <c r="I592" s="183"/>
    </row>
    <row r="593" spans="1:9" s="144" customFormat="1" ht="49.9" hidden="1" customHeight="1" outlineLevel="2" x14ac:dyDescent="0.25">
      <c r="A593" s="617"/>
      <c r="B593" s="612"/>
      <c r="C593" s="612"/>
      <c r="D593" s="142" t="s">
        <v>330</v>
      </c>
      <c r="E593" s="143">
        <v>613840322</v>
      </c>
      <c r="F593" s="143">
        <v>465500000</v>
      </c>
      <c r="G593" s="142" t="s">
        <v>442</v>
      </c>
      <c r="I593" s="183"/>
    </row>
    <row r="594" spans="1:9" s="144" customFormat="1" ht="49.9" hidden="1" customHeight="1" outlineLevel="2" x14ac:dyDescent="0.25">
      <c r="A594" s="617"/>
      <c r="B594" s="613"/>
      <c r="C594" s="613"/>
      <c r="D594" s="142" t="s">
        <v>435</v>
      </c>
      <c r="E594" s="143">
        <v>1412790000</v>
      </c>
      <c r="F594" s="143">
        <v>860130666</v>
      </c>
      <c r="G594" s="142" t="s">
        <v>442</v>
      </c>
      <c r="I594" s="183"/>
    </row>
    <row r="595" spans="1:9" s="144" customFormat="1" ht="49.9" hidden="1" customHeight="1" outlineLevel="2" x14ac:dyDescent="0.25">
      <c r="A595" s="617"/>
      <c r="B595" s="142" t="s">
        <v>370</v>
      </c>
      <c r="C595" s="142" t="s">
        <v>436</v>
      </c>
      <c r="D595" s="142" t="s">
        <v>437</v>
      </c>
      <c r="E595" s="143">
        <v>621054131</v>
      </c>
      <c r="F595" s="143">
        <v>433428000</v>
      </c>
      <c r="G595" s="142" t="s">
        <v>442</v>
      </c>
      <c r="I595" s="183"/>
    </row>
    <row r="596" spans="1:9" s="144" customFormat="1" ht="49.9" hidden="1" customHeight="1" outlineLevel="2" x14ac:dyDescent="0.25">
      <c r="A596" s="617"/>
      <c r="B596" s="142" t="s">
        <v>374</v>
      </c>
      <c r="C596" s="142" t="s">
        <v>438</v>
      </c>
      <c r="D596" s="142" t="s">
        <v>439</v>
      </c>
      <c r="E596" s="143">
        <v>403410000</v>
      </c>
      <c r="F596" s="143">
        <v>164519000</v>
      </c>
      <c r="G596" s="142" t="s">
        <v>442</v>
      </c>
      <c r="I596" s="183"/>
    </row>
    <row r="597" spans="1:9" s="144" customFormat="1" ht="49.9" hidden="1" customHeight="1" outlineLevel="2" x14ac:dyDescent="0.25">
      <c r="A597" s="617"/>
      <c r="B597" s="611" t="s">
        <v>378</v>
      </c>
      <c r="C597" s="611" t="s">
        <v>440</v>
      </c>
      <c r="D597" s="142" t="s">
        <v>441</v>
      </c>
      <c r="E597" s="143">
        <v>658814131</v>
      </c>
      <c r="F597" s="143">
        <v>472900000</v>
      </c>
      <c r="G597" s="142" t="s">
        <v>442</v>
      </c>
      <c r="I597" s="183"/>
    </row>
    <row r="598" spans="1:9" s="144" customFormat="1" ht="49.9" hidden="1" customHeight="1" outlineLevel="2" x14ac:dyDescent="0.25">
      <c r="A598" s="617"/>
      <c r="B598" s="613"/>
      <c r="C598" s="613"/>
      <c r="D598" s="142" t="s">
        <v>324</v>
      </c>
      <c r="E598" s="143">
        <v>450000000</v>
      </c>
      <c r="F598" s="143">
        <v>373112000</v>
      </c>
      <c r="G598" s="142" t="s">
        <v>442</v>
      </c>
      <c r="I598" s="183"/>
    </row>
    <row r="599" spans="1:9" s="144" customFormat="1" ht="49.9" hidden="1" customHeight="1" outlineLevel="2" x14ac:dyDescent="0.25">
      <c r="A599" s="583" t="s">
        <v>131</v>
      </c>
      <c r="B599" s="600" t="s">
        <v>363</v>
      </c>
      <c r="C599" s="600" t="s">
        <v>432</v>
      </c>
      <c r="D599" s="142" t="s">
        <v>318</v>
      </c>
      <c r="E599" s="143">
        <v>790545944</v>
      </c>
      <c r="F599" s="143">
        <v>458874846</v>
      </c>
      <c r="G599" s="142" t="s">
        <v>442</v>
      </c>
      <c r="I599" s="183"/>
    </row>
    <row r="600" spans="1:9" s="144" customFormat="1" ht="49.9" hidden="1" customHeight="1" outlineLevel="2" x14ac:dyDescent="0.25">
      <c r="A600" s="583"/>
      <c r="B600" s="600"/>
      <c r="C600" s="600"/>
      <c r="D600" s="142" t="s">
        <v>330</v>
      </c>
      <c r="E600" s="143">
        <v>816840322</v>
      </c>
      <c r="F600" s="143">
        <v>519098750</v>
      </c>
      <c r="G600" s="142" t="s">
        <v>442</v>
      </c>
      <c r="I600" s="183"/>
    </row>
    <row r="601" spans="1:9" s="144" customFormat="1" ht="49.9" hidden="1" customHeight="1" outlineLevel="2" x14ac:dyDescent="0.25">
      <c r="A601" s="583"/>
      <c r="B601" s="600"/>
      <c r="C601" s="600"/>
      <c r="D601" s="142" t="s">
        <v>435</v>
      </c>
      <c r="E601" s="143">
        <v>1399790000</v>
      </c>
      <c r="F601" s="143">
        <v>892349267</v>
      </c>
      <c r="G601" s="142" t="s">
        <v>442</v>
      </c>
      <c r="I601" s="183"/>
    </row>
    <row r="602" spans="1:9" s="144" customFormat="1" ht="49.9" hidden="1" customHeight="1" outlineLevel="2" x14ac:dyDescent="0.25">
      <c r="A602" s="583"/>
      <c r="B602" s="142" t="s">
        <v>370</v>
      </c>
      <c r="C602" s="142" t="s">
        <v>436</v>
      </c>
      <c r="D602" s="142" t="s">
        <v>437</v>
      </c>
      <c r="E602" s="143">
        <v>556054131</v>
      </c>
      <c r="F602" s="143">
        <v>433428000</v>
      </c>
      <c r="G602" s="142" t="s">
        <v>442</v>
      </c>
      <c r="I602" s="183"/>
    </row>
    <row r="603" spans="1:9" s="144" customFormat="1" ht="49.9" hidden="1" customHeight="1" outlineLevel="2" x14ac:dyDescent="0.25">
      <c r="A603" s="583"/>
      <c r="B603" s="142" t="s">
        <v>374</v>
      </c>
      <c r="C603" s="142" t="s">
        <v>438</v>
      </c>
      <c r="D603" s="142" t="s">
        <v>439</v>
      </c>
      <c r="E603" s="143">
        <v>263410000</v>
      </c>
      <c r="F603" s="143">
        <v>164519000</v>
      </c>
      <c r="G603" s="142" t="s">
        <v>442</v>
      </c>
      <c r="I603" s="183"/>
    </row>
    <row r="604" spans="1:9" s="144" customFormat="1" ht="49.9" hidden="1" customHeight="1" outlineLevel="2" x14ac:dyDescent="0.25">
      <c r="A604" s="583"/>
      <c r="B604" s="600" t="s">
        <v>378</v>
      </c>
      <c r="C604" s="600" t="s">
        <v>440</v>
      </c>
      <c r="D604" s="142" t="s">
        <v>441</v>
      </c>
      <c r="E604" s="143">
        <v>658814131</v>
      </c>
      <c r="F604" s="143">
        <v>516280000</v>
      </c>
      <c r="G604" s="142" t="s">
        <v>442</v>
      </c>
      <c r="I604" s="183"/>
    </row>
    <row r="605" spans="1:9" s="144" customFormat="1" ht="49.9" hidden="1" customHeight="1" outlineLevel="2" x14ac:dyDescent="0.25">
      <c r="A605" s="583"/>
      <c r="B605" s="600"/>
      <c r="C605" s="600"/>
      <c r="D605" s="142" t="s">
        <v>324</v>
      </c>
      <c r="E605" s="143">
        <v>450000000</v>
      </c>
      <c r="F605" s="143">
        <v>373112000</v>
      </c>
      <c r="G605" s="142" t="s">
        <v>442</v>
      </c>
      <c r="I605" s="183"/>
    </row>
    <row r="606" spans="1:9" s="144" customFormat="1" ht="49.9" hidden="1" customHeight="1" outlineLevel="2" x14ac:dyDescent="0.25">
      <c r="A606" s="583" t="s">
        <v>132</v>
      </c>
      <c r="B606" s="600" t="s">
        <v>363</v>
      </c>
      <c r="C606" s="600" t="s">
        <v>432</v>
      </c>
      <c r="D606" s="142" t="s">
        <v>318</v>
      </c>
      <c r="E606" s="143">
        <v>780545944</v>
      </c>
      <c r="F606" s="143">
        <v>488375819</v>
      </c>
      <c r="G606" s="142" t="s">
        <v>442</v>
      </c>
      <c r="I606" s="183"/>
    </row>
    <row r="607" spans="1:9" s="144" customFormat="1" ht="49.9" hidden="1" customHeight="1" outlineLevel="2" x14ac:dyDescent="0.25">
      <c r="A607" s="583"/>
      <c r="B607" s="600"/>
      <c r="C607" s="600"/>
      <c r="D607" s="142" t="s">
        <v>330</v>
      </c>
      <c r="E607" s="143">
        <v>826840322</v>
      </c>
      <c r="F607" s="143">
        <v>542938322</v>
      </c>
      <c r="G607" s="142" t="s">
        <v>442</v>
      </c>
      <c r="I607" s="183"/>
    </row>
    <row r="608" spans="1:9" s="144" customFormat="1" ht="49.9" hidden="1" customHeight="1" outlineLevel="2" x14ac:dyDescent="0.25">
      <c r="A608" s="583"/>
      <c r="B608" s="600"/>
      <c r="C608" s="600"/>
      <c r="D608" s="142" t="s">
        <v>435</v>
      </c>
      <c r="E608" s="143">
        <v>1399790000</v>
      </c>
      <c r="F608" s="143">
        <v>905631416</v>
      </c>
      <c r="G608" s="142" t="s">
        <v>442</v>
      </c>
      <c r="I608" s="183"/>
    </row>
    <row r="609" spans="1:9" s="144" customFormat="1" ht="49.9" hidden="1" customHeight="1" outlineLevel="2" x14ac:dyDescent="0.25">
      <c r="A609" s="583"/>
      <c r="B609" s="142" t="s">
        <v>370</v>
      </c>
      <c r="C609" s="142" t="s">
        <v>436</v>
      </c>
      <c r="D609" s="142" t="s">
        <v>437</v>
      </c>
      <c r="E609" s="143">
        <v>556054131</v>
      </c>
      <c r="F609" s="143">
        <v>437787131</v>
      </c>
      <c r="G609" s="142" t="s">
        <v>442</v>
      </c>
      <c r="I609" s="183"/>
    </row>
    <row r="610" spans="1:9" s="144" customFormat="1" ht="49.9" hidden="1" customHeight="1" outlineLevel="2" x14ac:dyDescent="0.25">
      <c r="A610" s="583"/>
      <c r="B610" s="142" t="s">
        <v>374</v>
      </c>
      <c r="C610" s="142" t="s">
        <v>438</v>
      </c>
      <c r="D610" s="142" t="s">
        <v>439</v>
      </c>
      <c r="E610" s="143">
        <v>263410000</v>
      </c>
      <c r="F610" s="143">
        <v>191691000</v>
      </c>
      <c r="G610" s="142" t="s">
        <v>442</v>
      </c>
      <c r="I610" s="183"/>
    </row>
    <row r="611" spans="1:9" s="144" customFormat="1" ht="49.9" hidden="1" customHeight="1" outlineLevel="2" x14ac:dyDescent="0.25">
      <c r="A611" s="583"/>
      <c r="B611" s="600" t="s">
        <v>378</v>
      </c>
      <c r="C611" s="600" t="s">
        <v>440</v>
      </c>
      <c r="D611" s="142" t="s">
        <v>441</v>
      </c>
      <c r="E611" s="143">
        <v>658814131</v>
      </c>
      <c r="F611" s="143">
        <v>545531000</v>
      </c>
      <c r="G611" s="142" t="s">
        <v>442</v>
      </c>
      <c r="I611" s="183"/>
    </row>
    <row r="612" spans="1:9" s="144" customFormat="1" ht="49.9" hidden="1" customHeight="1" outlineLevel="2" x14ac:dyDescent="0.25">
      <c r="A612" s="583"/>
      <c r="B612" s="600"/>
      <c r="C612" s="600"/>
      <c r="D612" s="142" t="s">
        <v>324</v>
      </c>
      <c r="E612" s="143">
        <v>450000000</v>
      </c>
      <c r="F612" s="143">
        <v>377292000</v>
      </c>
      <c r="G612" s="142" t="s">
        <v>442</v>
      </c>
      <c r="I612" s="183"/>
    </row>
    <row r="613" spans="1:9" s="144" customFormat="1" ht="55.15" hidden="1" customHeight="1" outlineLevel="2" x14ac:dyDescent="0.25">
      <c r="A613" s="619" t="s">
        <v>133</v>
      </c>
      <c r="B613" s="600" t="s">
        <v>363</v>
      </c>
      <c r="C613" s="600" t="s">
        <v>432</v>
      </c>
      <c r="D613" s="142" t="s">
        <v>318</v>
      </c>
      <c r="E613" s="143">
        <v>780545944</v>
      </c>
      <c r="F613" s="143">
        <v>731213017</v>
      </c>
      <c r="G613" s="142" t="s">
        <v>442</v>
      </c>
      <c r="I613" s="183"/>
    </row>
    <row r="614" spans="1:9" s="144" customFormat="1" ht="55.15" hidden="1" customHeight="1" outlineLevel="2" x14ac:dyDescent="0.25">
      <c r="A614" s="617"/>
      <c r="B614" s="600"/>
      <c r="C614" s="600"/>
      <c r="D614" s="142" t="s">
        <v>330</v>
      </c>
      <c r="E614" s="143">
        <v>826840322</v>
      </c>
      <c r="F614" s="143">
        <v>670473105</v>
      </c>
      <c r="G614" s="142" t="s">
        <v>442</v>
      </c>
      <c r="I614" s="183"/>
    </row>
    <row r="615" spans="1:9" s="144" customFormat="1" ht="55.15" hidden="1" customHeight="1" outlineLevel="2" x14ac:dyDescent="0.25">
      <c r="A615" s="617"/>
      <c r="B615" s="600"/>
      <c r="C615" s="600"/>
      <c r="D615" s="142" t="s">
        <v>435</v>
      </c>
      <c r="E615" s="143">
        <v>1399790000</v>
      </c>
      <c r="F615" s="143">
        <v>1326141063</v>
      </c>
      <c r="G615" s="142" t="s">
        <v>442</v>
      </c>
      <c r="I615" s="183"/>
    </row>
    <row r="616" spans="1:9" s="144" customFormat="1" ht="55.15" hidden="1" customHeight="1" outlineLevel="2" x14ac:dyDescent="0.25">
      <c r="A616" s="617"/>
      <c r="B616" s="142" t="s">
        <v>370</v>
      </c>
      <c r="C616" s="142" t="s">
        <v>436</v>
      </c>
      <c r="D616" s="142" t="s">
        <v>437</v>
      </c>
      <c r="E616" s="143">
        <v>556054131</v>
      </c>
      <c r="F616" s="143">
        <v>535986131</v>
      </c>
      <c r="G616" s="142" t="s">
        <v>442</v>
      </c>
      <c r="I616" s="183"/>
    </row>
    <row r="617" spans="1:9" s="144" customFormat="1" ht="55.15" hidden="1" customHeight="1" outlineLevel="2" x14ac:dyDescent="0.25">
      <c r="A617" s="617"/>
      <c r="B617" s="142" t="s">
        <v>374</v>
      </c>
      <c r="C617" s="142" t="s">
        <v>438</v>
      </c>
      <c r="D617" s="142" t="s">
        <v>439</v>
      </c>
      <c r="E617" s="143">
        <v>263410000</v>
      </c>
      <c r="F617" s="143">
        <v>232617000</v>
      </c>
      <c r="G617" s="142" t="s">
        <v>442</v>
      </c>
      <c r="I617" s="183"/>
    </row>
    <row r="618" spans="1:9" s="144" customFormat="1" ht="55.15" hidden="1" customHeight="1" outlineLevel="2" x14ac:dyDescent="0.25">
      <c r="A618" s="617"/>
      <c r="B618" s="600" t="s">
        <v>378</v>
      </c>
      <c r="C618" s="600" t="s">
        <v>440</v>
      </c>
      <c r="D618" s="142" t="s">
        <v>441</v>
      </c>
      <c r="E618" s="143">
        <v>658814131</v>
      </c>
      <c r="F618" s="143">
        <v>644978000</v>
      </c>
      <c r="G618" s="142" t="s">
        <v>442</v>
      </c>
      <c r="I618" s="183"/>
    </row>
    <row r="619" spans="1:9" s="144" customFormat="1" ht="55.15" hidden="1" customHeight="1" outlineLevel="2" x14ac:dyDescent="0.25">
      <c r="A619" s="592"/>
      <c r="B619" s="600"/>
      <c r="C619" s="600"/>
      <c r="D619" s="142" t="s">
        <v>324</v>
      </c>
      <c r="E619" s="143">
        <v>450000000</v>
      </c>
      <c r="F619" s="143">
        <v>447516000</v>
      </c>
      <c r="G619" s="142" t="s">
        <v>442</v>
      </c>
      <c r="I619" s="183"/>
    </row>
    <row r="620" spans="1:9" collapsed="1" x14ac:dyDescent="0.25"/>
    <row r="621" spans="1:9" ht="20.25" x14ac:dyDescent="0.3">
      <c r="A621" s="614" t="s">
        <v>172</v>
      </c>
      <c r="B621" s="615"/>
      <c r="C621" s="615"/>
      <c r="D621" s="615"/>
      <c r="E621" s="615"/>
      <c r="F621" s="615"/>
      <c r="G621" s="616"/>
    </row>
    <row r="622" spans="1:9" ht="38.25" x14ac:dyDescent="0.25">
      <c r="A622" s="140" t="s">
        <v>49</v>
      </c>
      <c r="B622" s="37" t="s">
        <v>145</v>
      </c>
      <c r="C622" s="37" t="s">
        <v>146</v>
      </c>
      <c r="D622" s="37" t="s">
        <v>168</v>
      </c>
      <c r="E622" s="37" t="s">
        <v>173</v>
      </c>
      <c r="F622" s="37" t="s">
        <v>174</v>
      </c>
      <c r="G622" s="37" t="s">
        <v>171</v>
      </c>
    </row>
    <row r="623" spans="1:9" ht="49.9" hidden="1" customHeight="1" outlineLevel="1" x14ac:dyDescent="0.25">
      <c r="A623" s="598" t="s">
        <v>135</v>
      </c>
      <c r="B623" s="600" t="s">
        <v>363</v>
      </c>
      <c r="C623" s="600" t="s">
        <v>432</v>
      </c>
      <c r="D623" s="142" t="s">
        <v>318</v>
      </c>
      <c r="E623" s="143">
        <v>1564678000</v>
      </c>
      <c r="F623" s="143">
        <v>0</v>
      </c>
      <c r="G623" s="142" t="s">
        <v>442</v>
      </c>
    </row>
    <row r="624" spans="1:9" ht="49.9" hidden="1" customHeight="1" outlineLevel="1" x14ac:dyDescent="0.25">
      <c r="A624" s="599"/>
      <c r="B624" s="600"/>
      <c r="C624" s="600"/>
      <c r="D624" s="142" t="s">
        <v>330</v>
      </c>
      <c r="E624" s="143">
        <v>1374057000</v>
      </c>
      <c r="F624" s="143">
        <v>0</v>
      </c>
      <c r="G624" s="142" t="s">
        <v>442</v>
      </c>
    </row>
    <row r="625" spans="1:7" ht="49.9" hidden="1" customHeight="1" outlineLevel="1" x14ac:dyDescent="0.25">
      <c r="A625" s="599"/>
      <c r="B625" s="600"/>
      <c r="C625" s="600"/>
      <c r="D625" s="142" t="s">
        <v>435</v>
      </c>
      <c r="E625" s="143">
        <v>2973776000</v>
      </c>
      <c r="F625" s="143">
        <v>0</v>
      </c>
      <c r="G625" s="142" t="s">
        <v>442</v>
      </c>
    </row>
    <row r="626" spans="1:7" ht="49.9" hidden="1" customHeight="1" outlineLevel="1" x14ac:dyDescent="0.25">
      <c r="A626" s="599"/>
      <c r="B626" s="142" t="s">
        <v>370</v>
      </c>
      <c r="C626" s="142" t="s">
        <v>436</v>
      </c>
      <c r="D626" s="142" t="s">
        <v>437</v>
      </c>
      <c r="E626" s="143">
        <v>1480481000</v>
      </c>
      <c r="F626" s="143">
        <v>0</v>
      </c>
      <c r="G626" s="142" t="s">
        <v>442</v>
      </c>
    </row>
    <row r="627" spans="1:7" ht="49.9" hidden="1" customHeight="1" outlineLevel="1" x14ac:dyDescent="0.25">
      <c r="A627" s="599"/>
      <c r="B627" s="142" t="s">
        <v>374</v>
      </c>
      <c r="C627" s="142" t="s">
        <v>438</v>
      </c>
      <c r="D627" s="142" t="s">
        <v>439</v>
      </c>
      <c r="E627" s="143">
        <v>689070000</v>
      </c>
      <c r="F627" s="143">
        <v>0</v>
      </c>
      <c r="G627" s="142" t="s">
        <v>442</v>
      </c>
    </row>
    <row r="628" spans="1:7" ht="49.9" hidden="1" customHeight="1" outlineLevel="1" x14ac:dyDescent="0.25">
      <c r="A628" s="599"/>
      <c r="B628" s="600" t="s">
        <v>378</v>
      </c>
      <c r="C628" s="600" t="s">
        <v>440</v>
      </c>
      <c r="D628" s="142" t="s">
        <v>441</v>
      </c>
      <c r="E628" s="143">
        <v>1294148000</v>
      </c>
      <c r="F628" s="143">
        <v>0</v>
      </c>
      <c r="G628" s="142" t="s">
        <v>442</v>
      </c>
    </row>
    <row r="629" spans="1:7" ht="49.9" hidden="1" customHeight="1" outlineLevel="1" x14ac:dyDescent="0.25">
      <c r="A629" s="605"/>
      <c r="B629" s="600"/>
      <c r="C629" s="600"/>
      <c r="D629" s="142" t="s">
        <v>324</v>
      </c>
      <c r="E629" s="143">
        <v>691670000</v>
      </c>
      <c r="F629" s="143">
        <v>0</v>
      </c>
      <c r="G629" s="142" t="s">
        <v>442</v>
      </c>
    </row>
    <row r="630" spans="1:7" ht="49.9" hidden="1" customHeight="1" outlineLevel="1" x14ac:dyDescent="0.25">
      <c r="A630" s="598" t="s">
        <v>136</v>
      </c>
      <c r="B630" s="600" t="s">
        <v>363</v>
      </c>
      <c r="C630" s="600" t="s">
        <v>432</v>
      </c>
      <c r="D630" s="142" t="s">
        <v>318</v>
      </c>
      <c r="E630" s="143">
        <v>1564678000</v>
      </c>
      <c r="F630" s="143">
        <v>188232000</v>
      </c>
      <c r="G630" s="142" t="s">
        <v>442</v>
      </c>
    </row>
    <row r="631" spans="1:7" ht="49.9" hidden="1" customHeight="1" outlineLevel="1" x14ac:dyDescent="0.25">
      <c r="A631" s="599"/>
      <c r="B631" s="600"/>
      <c r="C631" s="600"/>
      <c r="D631" s="142" t="s">
        <v>330</v>
      </c>
      <c r="E631" s="143">
        <v>1374057000</v>
      </c>
      <c r="F631" s="143">
        <v>582050000</v>
      </c>
      <c r="G631" s="142" t="s">
        <v>442</v>
      </c>
    </row>
    <row r="632" spans="1:7" ht="49.9" hidden="1" customHeight="1" outlineLevel="1" x14ac:dyDescent="0.25">
      <c r="A632" s="599"/>
      <c r="B632" s="600"/>
      <c r="C632" s="600"/>
      <c r="D632" s="142" t="s">
        <v>435</v>
      </c>
      <c r="E632" s="143">
        <v>2973776000</v>
      </c>
      <c r="F632" s="143">
        <v>408790000</v>
      </c>
      <c r="G632" s="142" t="s">
        <v>442</v>
      </c>
    </row>
    <row r="633" spans="1:7" ht="49.9" hidden="1" customHeight="1" outlineLevel="1" x14ac:dyDescent="0.25">
      <c r="A633" s="599"/>
      <c r="B633" s="142" t="s">
        <v>370</v>
      </c>
      <c r="C633" s="142" t="s">
        <v>436</v>
      </c>
      <c r="D633" s="142" t="s">
        <v>437</v>
      </c>
      <c r="E633" s="143">
        <v>1480481000</v>
      </c>
      <c r="F633" s="143">
        <v>740287000</v>
      </c>
      <c r="G633" s="142" t="s">
        <v>442</v>
      </c>
    </row>
    <row r="634" spans="1:7" ht="49.9" hidden="1" customHeight="1" outlineLevel="1" x14ac:dyDescent="0.25">
      <c r="A634" s="599"/>
      <c r="B634" s="142" t="s">
        <v>374</v>
      </c>
      <c r="C634" s="142" t="s">
        <v>438</v>
      </c>
      <c r="D634" s="142" t="s">
        <v>439</v>
      </c>
      <c r="E634" s="143">
        <v>689070000</v>
      </c>
      <c r="F634" s="143">
        <v>34584000</v>
      </c>
      <c r="G634" s="142" t="s">
        <v>442</v>
      </c>
    </row>
    <row r="635" spans="1:7" ht="49.9" hidden="1" customHeight="1" outlineLevel="1" x14ac:dyDescent="0.25">
      <c r="A635" s="599"/>
      <c r="B635" s="600" t="s">
        <v>378</v>
      </c>
      <c r="C635" s="600" t="s">
        <v>440</v>
      </c>
      <c r="D635" s="142" t="s">
        <v>441</v>
      </c>
      <c r="E635" s="143">
        <v>1294148000</v>
      </c>
      <c r="F635" s="143">
        <v>385283000</v>
      </c>
      <c r="G635" s="142" t="s">
        <v>442</v>
      </c>
    </row>
    <row r="636" spans="1:7" ht="49.9" hidden="1" customHeight="1" outlineLevel="1" x14ac:dyDescent="0.25">
      <c r="A636" s="605"/>
      <c r="B636" s="600"/>
      <c r="C636" s="600"/>
      <c r="D636" s="142" t="s">
        <v>324</v>
      </c>
      <c r="E636" s="143">
        <v>691670000</v>
      </c>
      <c r="F636" s="143">
        <v>326043000</v>
      </c>
      <c r="G636" s="142" t="s">
        <v>442</v>
      </c>
    </row>
    <row r="637" spans="1:7" ht="49.9" hidden="1" customHeight="1" outlineLevel="1" x14ac:dyDescent="0.25">
      <c r="A637" s="598" t="s">
        <v>137</v>
      </c>
      <c r="B637" s="600" t="s">
        <v>363</v>
      </c>
      <c r="C637" s="600" t="s">
        <v>432</v>
      </c>
      <c r="D637" s="142" t="s">
        <v>318</v>
      </c>
      <c r="E637" s="143">
        <v>1564678000</v>
      </c>
      <c r="F637" s="143">
        <v>537224000</v>
      </c>
      <c r="G637" s="142" t="s">
        <v>442</v>
      </c>
    </row>
    <row r="638" spans="1:7" ht="49.9" hidden="1" customHeight="1" outlineLevel="1" x14ac:dyDescent="0.25">
      <c r="A638" s="599"/>
      <c r="B638" s="600"/>
      <c r="C638" s="600"/>
      <c r="D638" s="142" t="s">
        <v>330</v>
      </c>
      <c r="E638" s="143">
        <v>1374057000</v>
      </c>
      <c r="F638" s="143">
        <v>1121617000</v>
      </c>
      <c r="G638" s="142" t="s">
        <v>442</v>
      </c>
    </row>
    <row r="639" spans="1:7" ht="49.9" hidden="1" customHeight="1" outlineLevel="1" x14ac:dyDescent="0.25">
      <c r="A639" s="599"/>
      <c r="B639" s="600"/>
      <c r="C639" s="600"/>
      <c r="D639" s="142" t="s">
        <v>435</v>
      </c>
      <c r="E639" s="143">
        <v>2973776000</v>
      </c>
      <c r="F639" s="143">
        <v>1793944150</v>
      </c>
      <c r="G639" s="142" t="s">
        <v>442</v>
      </c>
    </row>
    <row r="640" spans="1:7" ht="49.9" hidden="1" customHeight="1" outlineLevel="1" x14ac:dyDescent="0.25">
      <c r="A640" s="599"/>
      <c r="B640" s="142" t="s">
        <v>370</v>
      </c>
      <c r="C640" s="142" t="s">
        <v>436</v>
      </c>
      <c r="D640" s="142" t="s">
        <v>437</v>
      </c>
      <c r="E640" s="143">
        <v>1480481000</v>
      </c>
      <c r="F640" s="143">
        <v>1001575000</v>
      </c>
      <c r="G640" s="142" t="s">
        <v>442</v>
      </c>
    </row>
    <row r="641" spans="1:7" ht="49.9" hidden="1" customHeight="1" outlineLevel="1" x14ac:dyDescent="0.25">
      <c r="A641" s="599"/>
      <c r="B641" s="142" t="s">
        <v>374</v>
      </c>
      <c r="C641" s="142" t="s">
        <v>438</v>
      </c>
      <c r="D641" s="142" t="s">
        <v>439</v>
      </c>
      <c r="E641" s="143">
        <v>689070000</v>
      </c>
      <c r="F641" s="143">
        <v>343006000</v>
      </c>
      <c r="G641" s="142" t="s">
        <v>442</v>
      </c>
    </row>
    <row r="642" spans="1:7" ht="49.9" hidden="1" customHeight="1" outlineLevel="1" x14ac:dyDescent="0.25">
      <c r="A642" s="599"/>
      <c r="B642" s="600" t="s">
        <v>378</v>
      </c>
      <c r="C642" s="600" t="s">
        <v>440</v>
      </c>
      <c r="D642" s="142" t="s">
        <v>441</v>
      </c>
      <c r="E642" s="143">
        <v>1294148000</v>
      </c>
      <c r="F642" s="143">
        <v>1137979000</v>
      </c>
      <c r="G642" s="142" t="s">
        <v>442</v>
      </c>
    </row>
    <row r="643" spans="1:7" ht="49.9" hidden="1" customHeight="1" outlineLevel="1" x14ac:dyDescent="0.25">
      <c r="A643" s="605"/>
      <c r="B643" s="600"/>
      <c r="C643" s="600"/>
      <c r="D643" s="142" t="s">
        <v>324</v>
      </c>
      <c r="E643" s="143">
        <v>691670000</v>
      </c>
      <c r="F643" s="143">
        <v>415638000</v>
      </c>
      <c r="G643" s="142" t="s">
        <v>442</v>
      </c>
    </row>
    <row r="644" spans="1:7" ht="49.9" hidden="1" customHeight="1" outlineLevel="1" x14ac:dyDescent="0.25">
      <c r="A644" s="598" t="s">
        <v>138</v>
      </c>
      <c r="B644" s="600" t="s">
        <v>363</v>
      </c>
      <c r="C644" s="600" t="s">
        <v>432</v>
      </c>
      <c r="D644" s="142" t="s">
        <v>318</v>
      </c>
      <c r="E644" s="143">
        <v>837335614</v>
      </c>
      <c r="F644" s="143">
        <v>664703857</v>
      </c>
      <c r="G644" s="142" t="s">
        <v>442</v>
      </c>
    </row>
    <row r="645" spans="1:7" ht="49.9" hidden="1" customHeight="1" outlineLevel="1" x14ac:dyDescent="0.25">
      <c r="A645" s="599"/>
      <c r="B645" s="600"/>
      <c r="C645" s="600"/>
      <c r="D645" s="142" t="s">
        <v>330</v>
      </c>
      <c r="E645" s="143">
        <v>1262994000</v>
      </c>
      <c r="F645" s="143">
        <v>1215729000</v>
      </c>
      <c r="G645" s="142" t="s">
        <v>442</v>
      </c>
    </row>
    <row r="646" spans="1:7" ht="49.9" hidden="1" customHeight="1" outlineLevel="1" x14ac:dyDescent="0.25">
      <c r="A646" s="599"/>
      <c r="B646" s="600"/>
      <c r="C646" s="600"/>
      <c r="D646" s="142" t="s">
        <v>435</v>
      </c>
      <c r="E646" s="143">
        <v>2636043000</v>
      </c>
      <c r="F646" s="143">
        <v>1942784150</v>
      </c>
      <c r="G646" s="142" t="s">
        <v>442</v>
      </c>
    </row>
    <row r="647" spans="1:7" ht="49.9" hidden="1" customHeight="1" outlineLevel="1" x14ac:dyDescent="0.25">
      <c r="A647" s="599"/>
      <c r="B647" s="142" t="s">
        <v>370</v>
      </c>
      <c r="C647" s="142" t="s">
        <v>436</v>
      </c>
      <c r="D647" s="142" t="s">
        <v>437</v>
      </c>
      <c r="E647" s="143">
        <v>1453575000</v>
      </c>
      <c r="F647" s="143">
        <v>1001575000</v>
      </c>
      <c r="G647" s="142" t="s">
        <v>442</v>
      </c>
    </row>
    <row r="648" spans="1:7" ht="49.9" hidden="1" customHeight="1" outlineLevel="1" x14ac:dyDescent="0.25">
      <c r="A648" s="599"/>
      <c r="B648" s="142" t="s">
        <v>374</v>
      </c>
      <c r="C648" s="142" t="s">
        <v>438</v>
      </c>
      <c r="D648" s="142" t="s">
        <v>439</v>
      </c>
      <c r="E648" s="143">
        <v>483246000</v>
      </c>
      <c r="F648" s="143">
        <v>344744634</v>
      </c>
      <c r="G648" s="142" t="s">
        <v>442</v>
      </c>
    </row>
    <row r="649" spans="1:7" ht="49.9" hidden="1" customHeight="1" outlineLevel="1" x14ac:dyDescent="0.25">
      <c r="A649" s="599"/>
      <c r="B649" s="600" t="s">
        <v>378</v>
      </c>
      <c r="C649" s="600" t="s">
        <v>440</v>
      </c>
      <c r="D649" s="142" t="s">
        <v>441</v>
      </c>
      <c r="E649" s="143">
        <v>1294148000</v>
      </c>
      <c r="F649" s="143">
        <v>1137979000</v>
      </c>
      <c r="G649" s="142" t="s">
        <v>442</v>
      </c>
    </row>
    <row r="650" spans="1:7" ht="49.9" hidden="1" customHeight="1" outlineLevel="1" x14ac:dyDescent="0.25">
      <c r="A650" s="605"/>
      <c r="B650" s="600"/>
      <c r="C650" s="600"/>
      <c r="D650" s="142" t="s">
        <v>324</v>
      </c>
      <c r="E650" s="143">
        <v>528678000</v>
      </c>
      <c r="F650" s="143">
        <v>516118000</v>
      </c>
      <c r="G650" s="142" t="s">
        <v>442</v>
      </c>
    </row>
    <row r="651" spans="1:7" ht="49.9" hidden="1" customHeight="1" outlineLevel="1" x14ac:dyDescent="0.25">
      <c r="A651" s="598" t="s">
        <v>139</v>
      </c>
      <c r="B651" s="600" t="s">
        <v>363</v>
      </c>
      <c r="C651" s="600" t="s">
        <v>432</v>
      </c>
      <c r="D651" s="142" t="s">
        <v>318</v>
      </c>
      <c r="E651" s="143">
        <v>837335614</v>
      </c>
      <c r="F651" s="143">
        <v>664703857</v>
      </c>
      <c r="G651" s="142" t="s">
        <v>442</v>
      </c>
    </row>
    <row r="652" spans="1:7" ht="49.9" hidden="1" customHeight="1" outlineLevel="1" x14ac:dyDescent="0.25">
      <c r="A652" s="599"/>
      <c r="B652" s="600"/>
      <c r="C652" s="600"/>
      <c r="D652" s="142" t="s">
        <v>330</v>
      </c>
      <c r="E652" s="143">
        <v>1262994000</v>
      </c>
      <c r="F652" s="143">
        <v>1215729000</v>
      </c>
      <c r="G652" s="142" t="s">
        <v>442</v>
      </c>
    </row>
    <row r="653" spans="1:7" ht="49.9" hidden="1" customHeight="1" outlineLevel="1" x14ac:dyDescent="0.25">
      <c r="A653" s="599"/>
      <c r="B653" s="600"/>
      <c r="C653" s="600"/>
      <c r="D653" s="142" t="s">
        <v>435</v>
      </c>
      <c r="E653" s="143">
        <v>2636043000</v>
      </c>
      <c r="F653" s="143">
        <v>1947784150</v>
      </c>
      <c r="G653" s="142" t="s">
        <v>442</v>
      </c>
    </row>
    <row r="654" spans="1:7" ht="49.9" hidden="1" customHeight="1" outlineLevel="1" x14ac:dyDescent="0.25">
      <c r="A654" s="599"/>
      <c r="B654" s="142" t="s">
        <v>370</v>
      </c>
      <c r="C654" s="142" t="s">
        <v>436</v>
      </c>
      <c r="D654" s="142" t="s">
        <v>437</v>
      </c>
      <c r="E654" s="143">
        <v>1453575000</v>
      </c>
      <c r="F654" s="143">
        <v>1001575000</v>
      </c>
      <c r="G654" s="142" t="s">
        <v>442</v>
      </c>
    </row>
    <row r="655" spans="1:7" ht="49.9" hidden="1" customHeight="1" outlineLevel="1" x14ac:dyDescent="0.25">
      <c r="A655" s="599"/>
      <c r="B655" s="142" t="s">
        <v>374</v>
      </c>
      <c r="C655" s="142" t="s">
        <v>438</v>
      </c>
      <c r="D655" s="142" t="s">
        <v>439</v>
      </c>
      <c r="E655" s="143">
        <v>483246000</v>
      </c>
      <c r="F655" s="143">
        <v>353986578</v>
      </c>
      <c r="G655" s="142" t="s">
        <v>442</v>
      </c>
    </row>
    <row r="656" spans="1:7" ht="49.9" hidden="1" customHeight="1" outlineLevel="1" x14ac:dyDescent="0.25">
      <c r="A656" s="599"/>
      <c r="B656" s="600" t="s">
        <v>378</v>
      </c>
      <c r="C656" s="600" t="s">
        <v>440</v>
      </c>
      <c r="D656" s="142" t="s">
        <v>441</v>
      </c>
      <c r="E656" s="143">
        <v>1294148000</v>
      </c>
      <c r="F656" s="143">
        <v>1162045000</v>
      </c>
      <c r="G656" s="142" t="s">
        <v>442</v>
      </c>
    </row>
    <row r="657" spans="1:7" ht="49.9" hidden="1" customHeight="1" outlineLevel="1" x14ac:dyDescent="0.25">
      <c r="A657" s="605"/>
      <c r="B657" s="600"/>
      <c r="C657" s="600"/>
      <c r="D657" s="142" t="s">
        <v>324</v>
      </c>
      <c r="E657" s="143">
        <v>528678000</v>
      </c>
      <c r="F657" s="143">
        <v>516118000</v>
      </c>
      <c r="G657" s="142" t="s">
        <v>442</v>
      </c>
    </row>
    <row r="658" spans="1:7" ht="49.9" hidden="1" customHeight="1" outlineLevel="1" x14ac:dyDescent="0.25">
      <c r="A658" s="598" t="s">
        <v>140</v>
      </c>
      <c r="B658" s="600" t="s">
        <v>363</v>
      </c>
      <c r="C658" s="600" t="s">
        <v>432</v>
      </c>
      <c r="D658" s="142" t="s">
        <v>318</v>
      </c>
      <c r="E658" s="143">
        <v>837335614</v>
      </c>
      <c r="F658" s="143">
        <v>871181753</v>
      </c>
      <c r="G658" s="142" t="s">
        <v>442</v>
      </c>
    </row>
    <row r="659" spans="1:7" ht="49.9" hidden="1" customHeight="1" outlineLevel="1" x14ac:dyDescent="0.25">
      <c r="A659" s="599"/>
      <c r="B659" s="600"/>
      <c r="C659" s="600"/>
      <c r="D659" s="142" t="s">
        <v>330</v>
      </c>
      <c r="E659" s="143">
        <v>1262994000</v>
      </c>
      <c r="F659" s="143">
        <v>1215729000</v>
      </c>
      <c r="G659" s="142" t="s">
        <v>442</v>
      </c>
    </row>
    <row r="660" spans="1:7" ht="49.9" hidden="1" customHeight="1" outlineLevel="1" x14ac:dyDescent="0.25">
      <c r="A660" s="599"/>
      <c r="B660" s="600"/>
      <c r="C660" s="600"/>
      <c r="D660" s="142" t="s">
        <v>435</v>
      </c>
      <c r="E660" s="143">
        <v>2636043000</v>
      </c>
      <c r="F660" s="143">
        <v>2192515714</v>
      </c>
      <c r="G660" s="142" t="s">
        <v>442</v>
      </c>
    </row>
    <row r="661" spans="1:7" ht="49.9" hidden="1" customHeight="1" outlineLevel="1" x14ac:dyDescent="0.25">
      <c r="A661" s="599"/>
      <c r="B661" s="142" t="s">
        <v>370</v>
      </c>
      <c r="C661" s="142" t="s">
        <v>436</v>
      </c>
      <c r="D661" s="142" t="s">
        <v>437</v>
      </c>
      <c r="E661" s="143">
        <v>1453575000</v>
      </c>
      <c r="F661" s="143">
        <v>1151575000</v>
      </c>
      <c r="G661" s="142" t="s">
        <v>442</v>
      </c>
    </row>
    <row r="662" spans="1:7" ht="49.9" hidden="1" customHeight="1" outlineLevel="1" x14ac:dyDescent="0.25">
      <c r="A662" s="599"/>
      <c r="B662" s="142" t="s">
        <v>374</v>
      </c>
      <c r="C662" s="142" t="s">
        <v>438</v>
      </c>
      <c r="D662" s="142" t="s">
        <v>439</v>
      </c>
      <c r="E662" s="143">
        <v>483246000</v>
      </c>
      <c r="F662" s="143">
        <v>455766292</v>
      </c>
      <c r="G662" s="142" t="s">
        <v>442</v>
      </c>
    </row>
    <row r="663" spans="1:7" ht="49.9" hidden="1" customHeight="1" outlineLevel="1" x14ac:dyDescent="0.25">
      <c r="A663" s="599"/>
      <c r="B663" s="600" t="s">
        <v>378</v>
      </c>
      <c r="C663" s="600" t="s">
        <v>440</v>
      </c>
      <c r="D663" s="142" t="s">
        <v>441</v>
      </c>
      <c r="E663" s="143">
        <v>1294148000</v>
      </c>
      <c r="F663" s="143">
        <v>1162045000</v>
      </c>
      <c r="G663" s="142" t="s">
        <v>442</v>
      </c>
    </row>
    <row r="664" spans="1:7" ht="49.9" hidden="1" customHeight="1" outlineLevel="1" x14ac:dyDescent="0.25">
      <c r="A664" s="605"/>
      <c r="B664" s="600"/>
      <c r="C664" s="600"/>
      <c r="D664" s="142" t="s">
        <v>324</v>
      </c>
      <c r="E664" s="143">
        <v>528678000</v>
      </c>
      <c r="F664" s="143">
        <v>516118000</v>
      </c>
      <c r="G664" s="142" t="s">
        <v>442</v>
      </c>
    </row>
    <row r="665" spans="1:7" ht="49.9" hidden="1" customHeight="1" outlineLevel="1" x14ac:dyDescent="0.25">
      <c r="A665" s="598" t="s">
        <v>128</v>
      </c>
      <c r="B665" s="600" t="s">
        <v>363</v>
      </c>
      <c r="C665" s="600" t="s">
        <v>432</v>
      </c>
      <c r="D665" s="142" t="s">
        <v>318</v>
      </c>
      <c r="E665" s="143">
        <v>837335614</v>
      </c>
      <c r="F665" s="143">
        <f>+INVERSIÓN!BE11</f>
        <v>1496588620</v>
      </c>
      <c r="G665" s="142" t="s">
        <v>442</v>
      </c>
    </row>
    <row r="666" spans="1:7" ht="49.9" hidden="1" customHeight="1" outlineLevel="1" x14ac:dyDescent="0.25">
      <c r="A666" s="599"/>
      <c r="B666" s="600"/>
      <c r="C666" s="600"/>
      <c r="D666" s="142" t="s">
        <v>330</v>
      </c>
      <c r="E666" s="143">
        <v>1262994000</v>
      </c>
      <c r="F666" s="143">
        <f>+INVERSIÓN!BE18</f>
        <v>1338348800</v>
      </c>
      <c r="G666" s="142" t="s">
        <v>442</v>
      </c>
    </row>
    <row r="667" spans="1:7" ht="49.9" hidden="1" customHeight="1" outlineLevel="1" x14ac:dyDescent="0.25">
      <c r="A667" s="599"/>
      <c r="B667" s="600"/>
      <c r="C667" s="600"/>
      <c r="D667" s="142" t="s">
        <v>435</v>
      </c>
      <c r="E667" s="143">
        <v>2636043000</v>
      </c>
      <c r="F667" s="143">
        <f>+INVERSIÓN!BE25</f>
        <v>2682109323</v>
      </c>
      <c r="G667" s="142" t="s">
        <v>442</v>
      </c>
    </row>
    <row r="668" spans="1:7" ht="49.9" hidden="1" customHeight="1" outlineLevel="1" x14ac:dyDescent="0.25">
      <c r="A668" s="599"/>
      <c r="B668" s="142" t="s">
        <v>370</v>
      </c>
      <c r="C668" s="142" t="s">
        <v>436</v>
      </c>
      <c r="D668" s="142" t="s">
        <v>437</v>
      </c>
      <c r="E668" s="143">
        <v>1453575000</v>
      </c>
      <c r="F668" s="143">
        <f>+INVERSIÓN!BE32</f>
        <v>1587021667</v>
      </c>
      <c r="G668" s="142" t="s">
        <v>442</v>
      </c>
    </row>
    <row r="669" spans="1:7" ht="49.9" hidden="1" customHeight="1" outlineLevel="1" x14ac:dyDescent="0.25">
      <c r="A669" s="599"/>
      <c r="B669" s="142" t="s">
        <v>374</v>
      </c>
      <c r="C669" s="142" t="s">
        <v>438</v>
      </c>
      <c r="D669" s="142" t="s">
        <v>439</v>
      </c>
      <c r="E669" s="143">
        <v>483246000</v>
      </c>
      <c r="F669" s="143">
        <f>+INVERSIÓN!BE39</f>
        <v>703847144</v>
      </c>
      <c r="G669" s="142" t="s">
        <v>442</v>
      </c>
    </row>
    <row r="670" spans="1:7" ht="49.9" hidden="1" customHeight="1" outlineLevel="1" x14ac:dyDescent="0.25">
      <c r="A670" s="599"/>
      <c r="B670" s="600" t="s">
        <v>378</v>
      </c>
      <c r="C670" s="600" t="s">
        <v>440</v>
      </c>
      <c r="D670" s="142" t="s">
        <v>441</v>
      </c>
      <c r="E670" s="143">
        <v>1294148000</v>
      </c>
      <c r="F670" s="143">
        <f>+INVERSIÓN!BE46</f>
        <v>1272316799</v>
      </c>
      <c r="G670" s="142" t="s">
        <v>442</v>
      </c>
    </row>
    <row r="671" spans="1:7" ht="49.9" hidden="1" customHeight="1" outlineLevel="1" x14ac:dyDescent="0.25">
      <c r="A671" s="605"/>
      <c r="B671" s="600"/>
      <c r="C671" s="600"/>
      <c r="D671" s="142" t="s">
        <v>324</v>
      </c>
      <c r="E671" s="143">
        <v>528678000</v>
      </c>
      <c r="F671" s="143">
        <f>+INVERSIÓN!BE53</f>
        <v>556933365</v>
      </c>
      <c r="G671" s="142" t="s">
        <v>442</v>
      </c>
    </row>
    <row r="672" spans="1:7" ht="49.9" hidden="1" customHeight="1" outlineLevel="1" x14ac:dyDescent="0.25">
      <c r="A672" s="598" t="s">
        <v>129</v>
      </c>
      <c r="B672" s="600" t="s">
        <v>363</v>
      </c>
      <c r="C672" s="600" t="s">
        <v>432</v>
      </c>
      <c r="D672" s="142" t="s">
        <v>318</v>
      </c>
      <c r="E672" s="143">
        <v>1534521300</v>
      </c>
      <c r="F672" s="143">
        <v>898822087</v>
      </c>
      <c r="G672" s="142" t="s">
        <v>442</v>
      </c>
    </row>
    <row r="673" spans="1:7" ht="49.9" hidden="1" customHeight="1" outlineLevel="1" x14ac:dyDescent="0.25">
      <c r="A673" s="599"/>
      <c r="B673" s="600"/>
      <c r="C673" s="600"/>
      <c r="D673" s="142" t="s">
        <v>330</v>
      </c>
      <c r="E673" s="143">
        <v>1389997314</v>
      </c>
      <c r="F673" s="143">
        <v>1256382667</v>
      </c>
      <c r="G673" s="142" t="s">
        <v>442</v>
      </c>
    </row>
    <row r="674" spans="1:7" ht="49.9" hidden="1" customHeight="1" outlineLevel="1" x14ac:dyDescent="0.25">
      <c r="A674" s="599"/>
      <c r="B674" s="600"/>
      <c r="C674" s="600"/>
      <c r="D674" s="142" t="s">
        <v>435</v>
      </c>
      <c r="E674" s="143">
        <v>2930900316</v>
      </c>
      <c r="F674" s="143">
        <v>2205742548</v>
      </c>
      <c r="G674" s="142" t="s">
        <v>442</v>
      </c>
    </row>
    <row r="675" spans="1:7" ht="49.9" hidden="1" customHeight="1" outlineLevel="1" x14ac:dyDescent="0.25">
      <c r="A675" s="599"/>
      <c r="B675" s="142" t="s">
        <v>370</v>
      </c>
      <c r="C675" s="142" t="s">
        <v>436</v>
      </c>
      <c r="D675" s="142" t="s">
        <v>437</v>
      </c>
      <c r="E675" s="143">
        <v>1587481000.0000007</v>
      </c>
      <c r="F675" s="143">
        <v>1151575000</v>
      </c>
      <c r="G675" s="142" t="s">
        <v>442</v>
      </c>
    </row>
    <row r="676" spans="1:7" ht="49.9" hidden="1" customHeight="1" outlineLevel="1" x14ac:dyDescent="0.25">
      <c r="A676" s="599"/>
      <c r="B676" s="142" t="s">
        <v>374</v>
      </c>
      <c r="C676" s="142" t="s">
        <v>438</v>
      </c>
      <c r="D676" s="142" t="s">
        <v>439</v>
      </c>
      <c r="E676" s="143">
        <v>749389999.99999988</v>
      </c>
      <c r="F676" s="143">
        <v>492530292</v>
      </c>
      <c r="G676" s="142" t="s">
        <v>442</v>
      </c>
    </row>
    <row r="677" spans="1:7" ht="49.9" hidden="1" customHeight="1" outlineLevel="1" x14ac:dyDescent="0.25">
      <c r="A677" s="599"/>
      <c r="B677" s="600" t="s">
        <v>378</v>
      </c>
      <c r="C677" s="600" t="s">
        <v>440</v>
      </c>
      <c r="D677" s="142" t="s">
        <v>441</v>
      </c>
      <c r="E677" s="143">
        <v>1294147999.9999998</v>
      </c>
      <c r="F677" s="143">
        <v>1186640500</v>
      </c>
      <c r="G677" s="142" t="s">
        <v>442</v>
      </c>
    </row>
    <row r="678" spans="1:7" ht="49.9" hidden="1" customHeight="1" outlineLevel="1" x14ac:dyDescent="0.25">
      <c r="A678" s="605"/>
      <c r="B678" s="600"/>
      <c r="C678" s="600"/>
      <c r="D678" s="142" t="s">
        <v>324</v>
      </c>
      <c r="E678" s="143">
        <v>557942070</v>
      </c>
      <c r="F678" s="143">
        <v>516118000</v>
      </c>
      <c r="G678" s="142" t="s">
        <v>442</v>
      </c>
    </row>
    <row r="679" spans="1:7" ht="49.9" hidden="1" customHeight="1" outlineLevel="1" x14ac:dyDescent="0.25">
      <c r="A679" s="598" t="s">
        <v>130</v>
      </c>
      <c r="B679" s="600" t="s">
        <v>363</v>
      </c>
      <c r="C679" s="600" t="s">
        <v>432</v>
      </c>
      <c r="D679" s="142" t="s">
        <v>318</v>
      </c>
      <c r="E679" s="143">
        <v>1534521300</v>
      </c>
      <c r="F679" s="143">
        <v>898822087</v>
      </c>
      <c r="G679" s="142" t="s">
        <v>442</v>
      </c>
    </row>
    <row r="680" spans="1:7" ht="49.9" hidden="1" customHeight="1" outlineLevel="1" x14ac:dyDescent="0.25">
      <c r="A680" s="599"/>
      <c r="B680" s="600"/>
      <c r="C680" s="600"/>
      <c r="D680" s="142" t="s">
        <v>330</v>
      </c>
      <c r="E680" s="143">
        <v>1389997314</v>
      </c>
      <c r="F680" s="143">
        <v>1256382667</v>
      </c>
      <c r="G680" s="142" t="s">
        <v>442</v>
      </c>
    </row>
    <row r="681" spans="1:7" ht="49.9" hidden="1" customHeight="1" outlineLevel="1" x14ac:dyDescent="0.25">
      <c r="A681" s="599"/>
      <c r="B681" s="600"/>
      <c r="C681" s="600"/>
      <c r="D681" s="142" t="s">
        <v>435</v>
      </c>
      <c r="E681" s="143">
        <v>2930900316</v>
      </c>
      <c r="F681" s="143">
        <v>2205742548</v>
      </c>
      <c r="G681" s="142" t="s">
        <v>442</v>
      </c>
    </row>
    <row r="682" spans="1:7" ht="49.9" hidden="1" customHeight="1" outlineLevel="1" x14ac:dyDescent="0.25">
      <c r="A682" s="599"/>
      <c r="B682" s="142" t="s">
        <v>370</v>
      </c>
      <c r="C682" s="142" t="s">
        <v>436</v>
      </c>
      <c r="D682" s="142" t="s">
        <v>437</v>
      </c>
      <c r="E682" s="143">
        <v>1587481000.0000007</v>
      </c>
      <c r="F682" s="143">
        <v>1151575000</v>
      </c>
      <c r="G682" s="142" t="s">
        <v>442</v>
      </c>
    </row>
    <row r="683" spans="1:7" ht="49.9" hidden="1" customHeight="1" outlineLevel="1" x14ac:dyDescent="0.25">
      <c r="A683" s="599"/>
      <c r="B683" s="142" t="s">
        <v>374</v>
      </c>
      <c r="C683" s="142" t="s">
        <v>438</v>
      </c>
      <c r="D683" s="142" t="s">
        <v>439</v>
      </c>
      <c r="E683" s="143">
        <v>749389999.99999988</v>
      </c>
      <c r="F683" s="143">
        <v>492530292</v>
      </c>
      <c r="G683" s="142" t="s">
        <v>442</v>
      </c>
    </row>
    <row r="684" spans="1:7" ht="49.9" hidden="1" customHeight="1" outlineLevel="1" x14ac:dyDescent="0.25">
      <c r="A684" s="599"/>
      <c r="B684" s="600" t="s">
        <v>378</v>
      </c>
      <c r="C684" s="600" t="s">
        <v>440</v>
      </c>
      <c r="D684" s="142" t="s">
        <v>441</v>
      </c>
      <c r="E684" s="143">
        <v>1294147999.9999998</v>
      </c>
      <c r="F684" s="143">
        <v>1186640500</v>
      </c>
      <c r="G684" s="142" t="s">
        <v>442</v>
      </c>
    </row>
    <row r="685" spans="1:7" ht="49.9" hidden="1" customHeight="1" outlineLevel="1" x14ac:dyDescent="0.25">
      <c r="A685" s="605"/>
      <c r="B685" s="600"/>
      <c r="C685" s="600"/>
      <c r="D685" s="142" t="s">
        <v>324</v>
      </c>
      <c r="E685" s="143">
        <v>557942070</v>
      </c>
      <c r="F685" s="143">
        <v>516118000</v>
      </c>
      <c r="G685" s="142" t="s">
        <v>442</v>
      </c>
    </row>
    <row r="686" spans="1:7" ht="49.9" hidden="1" customHeight="1" outlineLevel="1" x14ac:dyDescent="0.25">
      <c r="A686" s="631" t="s">
        <v>131</v>
      </c>
      <c r="B686" s="600" t="s">
        <v>363</v>
      </c>
      <c r="C686" s="600" t="s">
        <v>432</v>
      </c>
      <c r="D686" s="142" t="s">
        <v>318</v>
      </c>
      <c r="E686" s="143">
        <v>1534521300</v>
      </c>
      <c r="F686" s="143">
        <f>+INVERSIÓN!BC11</f>
        <v>1496588620</v>
      </c>
      <c r="G686" s="142" t="s">
        <v>442</v>
      </c>
    </row>
    <row r="687" spans="1:7" ht="49.9" hidden="1" customHeight="1" outlineLevel="1" x14ac:dyDescent="0.25">
      <c r="A687" s="632"/>
      <c r="B687" s="600"/>
      <c r="C687" s="600"/>
      <c r="D687" s="142" t="s">
        <v>330</v>
      </c>
      <c r="E687" s="143">
        <v>1389997314</v>
      </c>
      <c r="F687" s="143">
        <f>+INVERSIÓN!BC18</f>
        <v>1338348800</v>
      </c>
      <c r="G687" s="142" t="s">
        <v>442</v>
      </c>
    </row>
    <row r="688" spans="1:7" ht="49.9" hidden="1" customHeight="1" outlineLevel="1" x14ac:dyDescent="0.25">
      <c r="A688" s="632"/>
      <c r="B688" s="600"/>
      <c r="C688" s="600"/>
      <c r="D688" s="142" t="s">
        <v>435</v>
      </c>
      <c r="E688" s="143">
        <v>2930900316</v>
      </c>
      <c r="F688" s="143">
        <f>+INVERSIÓN!BC25</f>
        <v>2682109323</v>
      </c>
      <c r="G688" s="142" t="s">
        <v>442</v>
      </c>
    </row>
    <row r="689" spans="1:7" ht="49.9" hidden="1" customHeight="1" outlineLevel="1" x14ac:dyDescent="0.25">
      <c r="A689" s="632"/>
      <c r="B689" s="142" t="s">
        <v>370</v>
      </c>
      <c r="C689" s="142" t="s">
        <v>436</v>
      </c>
      <c r="D689" s="142" t="s">
        <v>437</v>
      </c>
      <c r="E689" s="143">
        <v>1587481000.0000007</v>
      </c>
      <c r="F689" s="143">
        <f>+INVERSIÓN!BC32</f>
        <v>1587021667</v>
      </c>
      <c r="G689" s="142" t="s">
        <v>442</v>
      </c>
    </row>
    <row r="690" spans="1:7" ht="49.9" hidden="1" customHeight="1" outlineLevel="1" x14ac:dyDescent="0.25">
      <c r="A690" s="632"/>
      <c r="B690" s="142" t="s">
        <v>374</v>
      </c>
      <c r="C690" s="142" t="s">
        <v>438</v>
      </c>
      <c r="D690" s="142" t="s">
        <v>439</v>
      </c>
      <c r="E690" s="143">
        <v>749389999.99999988</v>
      </c>
      <c r="F690" s="143">
        <f>+INVERSIÓN!BC39</f>
        <v>703847144</v>
      </c>
      <c r="G690" s="142" t="s">
        <v>442</v>
      </c>
    </row>
    <row r="691" spans="1:7" ht="49.9" hidden="1" customHeight="1" outlineLevel="1" x14ac:dyDescent="0.25">
      <c r="A691" s="632"/>
      <c r="B691" s="600" t="s">
        <v>378</v>
      </c>
      <c r="C691" s="600" t="s">
        <v>440</v>
      </c>
      <c r="D691" s="142" t="s">
        <v>441</v>
      </c>
      <c r="E691" s="143">
        <v>1294147999.9999998</v>
      </c>
      <c r="F691" s="143">
        <f>+INVERSIÓN!BC46</f>
        <v>1272316799</v>
      </c>
      <c r="G691" s="142" t="s">
        <v>442</v>
      </c>
    </row>
    <row r="692" spans="1:7" ht="49.9" hidden="1" customHeight="1" outlineLevel="1" x14ac:dyDescent="0.25">
      <c r="A692" s="633"/>
      <c r="B692" s="600"/>
      <c r="C692" s="600"/>
      <c r="D692" s="142" t="s">
        <v>324</v>
      </c>
      <c r="E692" s="143">
        <v>557942070</v>
      </c>
      <c r="F692" s="143">
        <f>+INVERSIÓN!BC53</f>
        <v>556933365</v>
      </c>
      <c r="G692" s="142" t="s">
        <v>442</v>
      </c>
    </row>
    <row r="693" spans="1:7" ht="49.9" hidden="1" customHeight="1" outlineLevel="1" x14ac:dyDescent="0.25">
      <c r="A693" s="598" t="s">
        <v>132</v>
      </c>
      <c r="B693" s="600" t="s">
        <v>363</v>
      </c>
      <c r="C693" s="600" t="s">
        <v>432</v>
      </c>
      <c r="D693" s="142" t="s">
        <v>318</v>
      </c>
      <c r="E693" s="143">
        <f>+INVERSIÓN!BA11</f>
        <v>1534521300</v>
      </c>
      <c r="F693" s="143">
        <f>+INVERSIÓN!BC11</f>
        <v>1496588620</v>
      </c>
      <c r="G693" s="142" t="s">
        <v>442</v>
      </c>
    </row>
    <row r="694" spans="1:7" ht="49.9" hidden="1" customHeight="1" outlineLevel="1" x14ac:dyDescent="0.25">
      <c r="A694" s="599"/>
      <c r="B694" s="600"/>
      <c r="C694" s="600"/>
      <c r="D694" s="142" t="s">
        <v>330</v>
      </c>
      <c r="E694" s="143">
        <f>+INVERSIÓN!BA18</f>
        <v>1389997314</v>
      </c>
      <c r="F694" s="143">
        <f>+INVERSIÓN!BC18</f>
        <v>1338348800</v>
      </c>
      <c r="G694" s="142" t="s">
        <v>442</v>
      </c>
    </row>
    <row r="695" spans="1:7" ht="49.9" hidden="1" customHeight="1" outlineLevel="1" x14ac:dyDescent="0.25">
      <c r="A695" s="599"/>
      <c r="B695" s="600"/>
      <c r="C695" s="600"/>
      <c r="D695" s="142" t="s">
        <v>435</v>
      </c>
      <c r="E695" s="143">
        <f>+INVERSIÓN!BA25</f>
        <v>2930900316</v>
      </c>
      <c r="F695" s="143">
        <f>+INVERSIÓN!BC25</f>
        <v>2682109323</v>
      </c>
      <c r="G695" s="142" t="s">
        <v>442</v>
      </c>
    </row>
    <row r="696" spans="1:7" ht="49.9" hidden="1" customHeight="1" outlineLevel="1" x14ac:dyDescent="0.25">
      <c r="A696" s="599"/>
      <c r="B696" s="142" t="s">
        <v>370</v>
      </c>
      <c r="C696" s="142" t="s">
        <v>436</v>
      </c>
      <c r="D696" s="142" t="s">
        <v>437</v>
      </c>
      <c r="E696" s="143">
        <f>+INVERSIÓN!BA32</f>
        <v>1587481000.0000005</v>
      </c>
      <c r="F696" s="143">
        <f>+INVERSIÓN!BC32</f>
        <v>1587021667</v>
      </c>
      <c r="G696" s="142" t="s">
        <v>442</v>
      </c>
    </row>
    <row r="697" spans="1:7" ht="49.9" hidden="1" customHeight="1" outlineLevel="1" x14ac:dyDescent="0.25">
      <c r="A697" s="599"/>
      <c r="B697" s="142" t="s">
        <v>374</v>
      </c>
      <c r="C697" s="142" t="s">
        <v>438</v>
      </c>
      <c r="D697" s="142" t="s">
        <v>439</v>
      </c>
      <c r="E697" s="143">
        <f>+INVERSIÓN!BA39</f>
        <v>749390000</v>
      </c>
      <c r="F697" s="143">
        <f>+INVERSIÓN!BC39</f>
        <v>703847144</v>
      </c>
      <c r="G697" s="142" t="s">
        <v>442</v>
      </c>
    </row>
    <row r="698" spans="1:7" ht="49.9" hidden="1" customHeight="1" outlineLevel="1" x14ac:dyDescent="0.25">
      <c r="A698" s="599"/>
      <c r="B698" s="600" t="s">
        <v>378</v>
      </c>
      <c r="C698" s="600" t="s">
        <v>440</v>
      </c>
      <c r="D698" s="142" t="s">
        <v>441</v>
      </c>
      <c r="E698" s="143">
        <f>+INVERSIÓN!BA46</f>
        <v>1294148000</v>
      </c>
      <c r="F698" s="143">
        <f>+INVERSIÓN!BC46</f>
        <v>1272316799</v>
      </c>
      <c r="G698" s="142" t="s">
        <v>442</v>
      </c>
    </row>
    <row r="699" spans="1:7" ht="49.9" hidden="1" customHeight="1" outlineLevel="1" x14ac:dyDescent="0.25">
      <c r="A699" s="605"/>
      <c r="B699" s="600"/>
      <c r="C699" s="600"/>
      <c r="D699" s="142" t="s">
        <v>324</v>
      </c>
      <c r="E699" s="143">
        <f>+INVERSIÓN!BA53</f>
        <v>557942070</v>
      </c>
      <c r="F699" s="143">
        <f>+INVERSIÓN!BC53</f>
        <v>556933365</v>
      </c>
      <c r="G699" s="142" t="s">
        <v>442</v>
      </c>
    </row>
    <row r="700" spans="1:7" hidden="1" outlineLevel="1" x14ac:dyDescent="0.25">
      <c r="A700" s="38" t="s">
        <v>133</v>
      </c>
      <c r="B700" s="38"/>
      <c r="C700" s="38"/>
      <c r="D700" s="38"/>
      <c r="E700" s="38"/>
      <c r="F700" s="38"/>
      <c r="G700" s="38"/>
    </row>
    <row r="701" spans="1:7" collapsed="1" x14ac:dyDescent="0.25">
      <c r="A701" s="39"/>
      <c r="G701" s="40"/>
    </row>
    <row r="702" spans="1:7" ht="20.25" x14ac:dyDescent="0.3">
      <c r="A702" s="614" t="s">
        <v>443</v>
      </c>
      <c r="B702" s="615"/>
      <c r="C702" s="615"/>
      <c r="D702" s="615"/>
      <c r="E702" s="615"/>
      <c r="F702" s="615"/>
      <c r="G702" s="616"/>
    </row>
    <row r="703" spans="1:7" ht="38.25" x14ac:dyDescent="0.25">
      <c r="A703" s="140" t="s">
        <v>61</v>
      </c>
      <c r="B703" s="37" t="s">
        <v>145</v>
      </c>
      <c r="C703" s="37" t="s">
        <v>146</v>
      </c>
      <c r="D703" s="37" t="s">
        <v>168</v>
      </c>
      <c r="E703" s="37" t="s">
        <v>444</v>
      </c>
      <c r="F703" s="37" t="s">
        <v>445</v>
      </c>
      <c r="G703" s="37" t="s">
        <v>171</v>
      </c>
    </row>
    <row r="704" spans="1:7" ht="49.9" customHeight="1" x14ac:dyDescent="0.25">
      <c r="A704" s="598" t="s">
        <v>135</v>
      </c>
      <c r="B704" s="600" t="s">
        <v>363</v>
      </c>
      <c r="C704" s="600" t="s">
        <v>432</v>
      </c>
      <c r="D704" s="142" t="s">
        <v>318</v>
      </c>
      <c r="E704" s="143">
        <f>+INVERSIÓN!$BF$11</f>
        <v>2219609000</v>
      </c>
      <c r="F704" s="143">
        <f>+INVERSIÓN!BH11</f>
        <v>665963000</v>
      </c>
      <c r="G704" s="142" t="s">
        <v>442</v>
      </c>
    </row>
    <row r="705" spans="1:7" ht="49.9" customHeight="1" x14ac:dyDescent="0.25">
      <c r="A705" s="599"/>
      <c r="B705" s="600"/>
      <c r="C705" s="600"/>
      <c r="D705" s="142" t="s">
        <v>330</v>
      </c>
      <c r="E705" s="143">
        <f>+INVERSIÓN!$BF$18</f>
        <v>6130432000</v>
      </c>
      <c r="F705" s="143">
        <f>+INVERSIÓN!BH18</f>
        <v>1835843000</v>
      </c>
      <c r="G705" s="142" t="s">
        <v>442</v>
      </c>
    </row>
    <row r="706" spans="1:7" ht="49.9" customHeight="1" x14ac:dyDescent="0.25">
      <c r="A706" s="599"/>
      <c r="B706" s="600"/>
      <c r="C706" s="600"/>
      <c r="D706" s="142" t="s">
        <v>435</v>
      </c>
      <c r="E706" s="143">
        <f>+INVERSIÓN!$BF$25</f>
        <v>3364237000</v>
      </c>
      <c r="F706" s="143">
        <f>+INVERSIÓN!BH25</f>
        <v>2534638908</v>
      </c>
      <c r="G706" s="142" t="s">
        <v>442</v>
      </c>
    </row>
    <row r="707" spans="1:7" ht="49.9" customHeight="1" x14ac:dyDescent="0.25">
      <c r="A707" s="599"/>
      <c r="B707" s="142" t="s">
        <v>370</v>
      </c>
      <c r="C707" s="142" t="s">
        <v>436</v>
      </c>
      <c r="D707" s="142" t="s">
        <v>437</v>
      </c>
      <c r="E707" s="143">
        <f>+INVERSIÓN!$BF$32</f>
        <v>1617058000</v>
      </c>
      <c r="F707" s="143">
        <f>+INVERSIÓN!BH32</f>
        <v>1097940000</v>
      </c>
      <c r="G707" s="142" t="s">
        <v>442</v>
      </c>
    </row>
    <row r="708" spans="1:7" ht="49.9" customHeight="1" x14ac:dyDescent="0.25">
      <c r="A708" s="599"/>
      <c r="B708" s="142" t="s">
        <v>374</v>
      </c>
      <c r="C708" s="142" t="s">
        <v>438</v>
      </c>
      <c r="D708" s="142" t="s">
        <v>439</v>
      </c>
      <c r="E708" s="143">
        <f>+INVERSIÓN!$BF$39</f>
        <v>843232000</v>
      </c>
      <c r="F708" s="143">
        <f>+INVERSIÓN!BH39</f>
        <v>455184000</v>
      </c>
      <c r="G708" s="142" t="s">
        <v>442</v>
      </c>
    </row>
    <row r="709" spans="1:7" ht="49.9" customHeight="1" x14ac:dyDescent="0.25">
      <c r="A709" s="599"/>
      <c r="B709" s="600" t="s">
        <v>378</v>
      </c>
      <c r="C709" s="600" t="s">
        <v>440</v>
      </c>
      <c r="D709" s="142" t="s">
        <v>441</v>
      </c>
      <c r="E709" s="143">
        <f>+INVERSIÓN!$BF$46</f>
        <v>1568833000</v>
      </c>
      <c r="F709" s="143">
        <f>+INVERSIÓN!BH46</f>
        <v>1487818000</v>
      </c>
      <c r="G709" s="142" t="s">
        <v>442</v>
      </c>
    </row>
    <row r="710" spans="1:7" ht="49.9" customHeight="1" x14ac:dyDescent="0.25">
      <c r="A710" s="605"/>
      <c r="B710" s="600"/>
      <c r="C710" s="600"/>
      <c r="D710" s="142" t="s">
        <v>324</v>
      </c>
      <c r="E710" s="143">
        <f>+INVERSIÓN!$BF$53</f>
        <v>725040000</v>
      </c>
      <c r="F710" s="143">
        <f>+INVERSIÓN!BH53</f>
        <v>585413000</v>
      </c>
      <c r="G710" s="142" t="s">
        <v>442</v>
      </c>
    </row>
    <row r="711" spans="1:7" ht="49.9" customHeight="1" x14ac:dyDescent="0.25">
      <c r="A711" s="598" t="s">
        <v>136</v>
      </c>
      <c r="B711" s="600" t="s">
        <v>363</v>
      </c>
      <c r="C711" s="600" t="s">
        <v>432</v>
      </c>
      <c r="D711" s="142" t="s">
        <v>318</v>
      </c>
      <c r="E711" s="143">
        <f>+INVERSIÓN!$BF$11</f>
        <v>2219609000</v>
      </c>
      <c r="F711" s="228">
        <f>+INVERSIÓN!BJ11</f>
        <v>0</v>
      </c>
      <c r="G711" s="142" t="s">
        <v>442</v>
      </c>
    </row>
    <row r="712" spans="1:7" ht="49.9" customHeight="1" x14ac:dyDescent="0.25">
      <c r="A712" s="599"/>
      <c r="B712" s="600"/>
      <c r="C712" s="600"/>
      <c r="D712" s="142" t="s">
        <v>330</v>
      </c>
      <c r="E712" s="143">
        <f>+INVERSIÓN!$BF$18</f>
        <v>6130432000</v>
      </c>
      <c r="F712" s="228">
        <f>+INVERSIÓN!BJ18</f>
        <v>0</v>
      </c>
      <c r="G712" s="142" t="s">
        <v>442</v>
      </c>
    </row>
    <row r="713" spans="1:7" ht="49.9" customHeight="1" x14ac:dyDescent="0.25">
      <c r="A713" s="599"/>
      <c r="B713" s="600"/>
      <c r="C713" s="600"/>
      <c r="D713" s="142" t="s">
        <v>435</v>
      </c>
      <c r="E713" s="143">
        <f>+INVERSIÓN!$BF$25</f>
        <v>3364237000</v>
      </c>
      <c r="F713" s="228">
        <f>+INVERSIÓN!BJ25</f>
        <v>0</v>
      </c>
      <c r="G713" s="142" t="s">
        <v>442</v>
      </c>
    </row>
    <row r="714" spans="1:7" ht="49.9" customHeight="1" x14ac:dyDescent="0.25">
      <c r="A714" s="599"/>
      <c r="B714" s="142" t="s">
        <v>370</v>
      </c>
      <c r="C714" s="142" t="s">
        <v>436</v>
      </c>
      <c r="D714" s="142" t="s">
        <v>437</v>
      </c>
      <c r="E714" s="143">
        <f>+INVERSIÓN!$BF$32</f>
        <v>1617058000</v>
      </c>
      <c r="F714" s="228">
        <f>+INVERSIÓN!BJ32</f>
        <v>0</v>
      </c>
      <c r="G714" s="142" t="s">
        <v>442</v>
      </c>
    </row>
    <row r="715" spans="1:7" ht="49.9" customHeight="1" x14ac:dyDescent="0.25">
      <c r="A715" s="599"/>
      <c r="B715" s="142" t="s">
        <v>374</v>
      </c>
      <c r="C715" s="142" t="s">
        <v>438</v>
      </c>
      <c r="D715" s="142" t="s">
        <v>439</v>
      </c>
      <c r="E715" s="143">
        <f>+INVERSIÓN!$BF$39</f>
        <v>843232000</v>
      </c>
      <c r="F715" s="228">
        <f>+INVERSIÓN!BJ39</f>
        <v>0</v>
      </c>
      <c r="G715" s="142" t="s">
        <v>442</v>
      </c>
    </row>
    <row r="716" spans="1:7" ht="49.9" customHeight="1" x14ac:dyDescent="0.25">
      <c r="A716" s="599"/>
      <c r="B716" s="600" t="s">
        <v>378</v>
      </c>
      <c r="C716" s="600" t="s">
        <v>440</v>
      </c>
      <c r="D716" s="142" t="s">
        <v>441</v>
      </c>
      <c r="E716" s="143">
        <f>+INVERSIÓN!$BF$46</f>
        <v>1568833000</v>
      </c>
      <c r="F716" s="228">
        <f>+INVERSIÓN!BJ46</f>
        <v>0</v>
      </c>
      <c r="G716" s="142" t="s">
        <v>442</v>
      </c>
    </row>
    <row r="717" spans="1:7" ht="49.9" customHeight="1" x14ac:dyDescent="0.25">
      <c r="A717" s="605"/>
      <c r="B717" s="600"/>
      <c r="C717" s="600"/>
      <c r="D717" s="142" t="s">
        <v>324</v>
      </c>
      <c r="E717" s="143">
        <f>+INVERSIÓN!$BF$53</f>
        <v>725040000</v>
      </c>
      <c r="F717" s="228">
        <f>+INVERSIÓN!BJ53</f>
        <v>0</v>
      </c>
      <c r="G717" s="142" t="s">
        <v>442</v>
      </c>
    </row>
    <row r="718" spans="1:7" ht="49.9" customHeight="1" x14ac:dyDescent="0.25">
      <c r="A718" s="598" t="s">
        <v>137</v>
      </c>
      <c r="B718" s="600" t="s">
        <v>363</v>
      </c>
      <c r="C718" s="600" t="s">
        <v>432</v>
      </c>
      <c r="D718" s="142" t="s">
        <v>318</v>
      </c>
      <c r="E718" s="143">
        <f>+INVERSIÓN!$CE$11</f>
        <v>1988256600</v>
      </c>
      <c r="F718" s="228">
        <f>+INVERSIÓN!$BL$11</f>
        <v>0</v>
      </c>
      <c r="G718" s="142" t="s">
        <v>442</v>
      </c>
    </row>
    <row r="719" spans="1:7" ht="49.9" customHeight="1" x14ac:dyDescent="0.25">
      <c r="A719" s="599"/>
      <c r="B719" s="600"/>
      <c r="C719" s="600"/>
      <c r="D719" s="142" t="s">
        <v>330</v>
      </c>
      <c r="E719" s="143">
        <f>+INVERSIÓN!$CE$18</f>
        <v>5689748327</v>
      </c>
      <c r="F719" s="228">
        <f>+INVERSIÓN!$BL$18</f>
        <v>0</v>
      </c>
      <c r="G719" s="142" t="s">
        <v>442</v>
      </c>
    </row>
    <row r="720" spans="1:7" ht="49.9" customHeight="1" x14ac:dyDescent="0.25">
      <c r="A720" s="599"/>
      <c r="B720" s="600"/>
      <c r="C720" s="600"/>
      <c r="D720" s="142" t="s">
        <v>435</v>
      </c>
      <c r="E720" s="143">
        <f>+INVERSIÓN!$CE$25</f>
        <v>3517906108</v>
      </c>
      <c r="F720" s="228">
        <f>+INVERSIÓN!$BL$25</f>
        <v>50000000</v>
      </c>
      <c r="G720" s="142" t="s">
        <v>442</v>
      </c>
    </row>
    <row r="721" spans="1:7" ht="49.9" customHeight="1" x14ac:dyDescent="0.25">
      <c r="A721" s="599"/>
      <c r="B721" s="142" t="s">
        <v>370</v>
      </c>
      <c r="C721" s="142" t="s">
        <v>436</v>
      </c>
      <c r="D721" s="142" t="s">
        <v>437</v>
      </c>
      <c r="E721" s="143">
        <f>+INVERSIÓN!$CE$32</f>
        <v>1816153100</v>
      </c>
      <c r="F721" s="228">
        <f>+INVERSIÓN!$BL$32</f>
        <v>0</v>
      </c>
      <c r="G721" s="142" t="s">
        <v>442</v>
      </c>
    </row>
    <row r="722" spans="1:7" ht="49.9" customHeight="1" x14ac:dyDescent="0.25">
      <c r="A722" s="599"/>
      <c r="B722" s="142" t="s">
        <v>374</v>
      </c>
      <c r="C722" s="142" t="s">
        <v>438</v>
      </c>
      <c r="D722" s="142" t="s">
        <v>439</v>
      </c>
      <c r="E722" s="143">
        <f>+INVERSIÓN!$CE$39</f>
        <v>946213900</v>
      </c>
      <c r="F722" s="228">
        <f>+INVERSIÓN!$BL$39</f>
        <v>0</v>
      </c>
      <c r="G722" s="142" t="s">
        <v>442</v>
      </c>
    </row>
    <row r="723" spans="1:7" ht="49.9" customHeight="1" x14ac:dyDescent="0.25">
      <c r="A723" s="599"/>
      <c r="B723" s="600" t="s">
        <v>378</v>
      </c>
      <c r="C723" s="600" t="s">
        <v>440</v>
      </c>
      <c r="D723" s="142" t="s">
        <v>441</v>
      </c>
      <c r="E723" s="143">
        <f>+INVERSIÓN!$CE$46</f>
        <v>1845306198</v>
      </c>
      <c r="F723" s="228">
        <f>+INVERSIÓN!$BL$46</f>
        <v>0</v>
      </c>
      <c r="G723" s="142" t="s">
        <v>442</v>
      </c>
    </row>
    <row r="724" spans="1:7" ht="49.9" customHeight="1" x14ac:dyDescent="0.25">
      <c r="A724" s="605"/>
      <c r="B724" s="600"/>
      <c r="C724" s="600"/>
      <c r="D724" s="142" t="s">
        <v>324</v>
      </c>
      <c r="E724" s="143">
        <f>+INVERSIÓN!$CE$53</f>
        <v>664856767</v>
      </c>
      <c r="F724" s="228">
        <f>+INVERSIÓN!$BL$53</f>
        <v>0</v>
      </c>
      <c r="G724" s="142" t="s">
        <v>442</v>
      </c>
    </row>
    <row r="725" spans="1:7" ht="49.9" customHeight="1" x14ac:dyDescent="0.25">
      <c r="A725" s="598" t="s">
        <v>138</v>
      </c>
      <c r="B725" s="600" t="s">
        <v>363</v>
      </c>
      <c r="C725" s="600" t="s">
        <v>432</v>
      </c>
      <c r="D725" s="142" t="s">
        <v>318</v>
      </c>
      <c r="E725" s="143">
        <f>+INVERSIÓN!$CE$11</f>
        <v>1988256600</v>
      </c>
      <c r="F725" s="143">
        <f>+INVERSIÓN!$BN$11</f>
        <v>0</v>
      </c>
      <c r="G725" s="142" t="s">
        <v>442</v>
      </c>
    </row>
    <row r="726" spans="1:7" ht="49.9" customHeight="1" x14ac:dyDescent="0.25">
      <c r="A726" s="599"/>
      <c r="B726" s="600"/>
      <c r="C726" s="600"/>
      <c r="D726" s="142" t="s">
        <v>330</v>
      </c>
      <c r="E726" s="143">
        <f>+INVERSIÓN!$CE$18</f>
        <v>5689748327</v>
      </c>
      <c r="F726" s="143">
        <f>+INVERSIÓN!$BN$18</f>
        <v>0</v>
      </c>
      <c r="G726" s="142" t="s">
        <v>442</v>
      </c>
    </row>
    <row r="727" spans="1:7" ht="49.9" customHeight="1" x14ac:dyDescent="0.25">
      <c r="A727" s="599"/>
      <c r="B727" s="600"/>
      <c r="C727" s="600"/>
      <c r="D727" s="142" t="s">
        <v>435</v>
      </c>
      <c r="E727" s="143">
        <f>+INVERSIÓN!$CE$25</f>
        <v>3517906108</v>
      </c>
      <c r="F727" s="143">
        <f>+INVERSIÓN!$BN$25</f>
        <v>0</v>
      </c>
      <c r="G727" s="142" t="s">
        <v>442</v>
      </c>
    </row>
    <row r="728" spans="1:7" ht="49.9" customHeight="1" x14ac:dyDescent="0.25">
      <c r="A728" s="599"/>
      <c r="B728" s="142" t="s">
        <v>370</v>
      </c>
      <c r="C728" s="142" t="s">
        <v>436</v>
      </c>
      <c r="D728" s="142" t="s">
        <v>437</v>
      </c>
      <c r="E728" s="143">
        <f>+INVERSIÓN!$CE$32</f>
        <v>1816153100</v>
      </c>
      <c r="F728" s="143">
        <f>+INVERSIÓN!$BN$32</f>
        <v>0</v>
      </c>
      <c r="G728" s="142" t="s">
        <v>442</v>
      </c>
    </row>
    <row r="729" spans="1:7" ht="49.9" customHeight="1" x14ac:dyDescent="0.25">
      <c r="A729" s="599"/>
      <c r="B729" s="142" t="s">
        <v>374</v>
      </c>
      <c r="C729" s="142" t="s">
        <v>438</v>
      </c>
      <c r="D729" s="142" t="s">
        <v>439</v>
      </c>
      <c r="E729" s="143">
        <f>+INVERSIÓN!$CE$39</f>
        <v>946213900</v>
      </c>
      <c r="F729" s="143">
        <f>+INVERSIÓN!$BN$39</f>
        <v>0</v>
      </c>
      <c r="G729" s="142" t="s">
        <v>442</v>
      </c>
    </row>
    <row r="730" spans="1:7" ht="49.9" customHeight="1" x14ac:dyDescent="0.25">
      <c r="A730" s="599"/>
      <c r="B730" s="600" t="s">
        <v>378</v>
      </c>
      <c r="C730" s="600" t="s">
        <v>440</v>
      </c>
      <c r="D730" s="142" t="s">
        <v>441</v>
      </c>
      <c r="E730" s="143">
        <f>+INVERSIÓN!$CE$46</f>
        <v>1845306198</v>
      </c>
      <c r="F730" s="143">
        <f>+INVERSIÓN!$BN$46</f>
        <v>0</v>
      </c>
      <c r="G730" s="142" t="s">
        <v>442</v>
      </c>
    </row>
    <row r="731" spans="1:7" ht="49.9" customHeight="1" x14ac:dyDescent="0.25">
      <c r="A731" s="599"/>
      <c r="B731" s="600"/>
      <c r="C731" s="600"/>
      <c r="D731" s="142" t="s">
        <v>324</v>
      </c>
      <c r="E731" s="143">
        <f>+INVERSIÓN!$CE$53</f>
        <v>664856767</v>
      </c>
      <c r="F731" s="143">
        <f>+INVERSIÓN!$BN$53</f>
        <v>0</v>
      </c>
      <c r="G731" s="142" t="s">
        <v>442</v>
      </c>
    </row>
    <row r="732" spans="1:7" ht="49.9" customHeight="1" x14ac:dyDescent="0.25">
      <c r="A732" s="598" t="s">
        <v>139</v>
      </c>
      <c r="B732" s="600" t="s">
        <v>363</v>
      </c>
      <c r="C732" s="600" t="s">
        <v>432</v>
      </c>
      <c r="D732" s="142" t="s">
        <v>318</v>
      </c>
      <c r="E732" s="143">
        <f>+INVERSIÓN!$CE$11</f>
        <v>1988256600</v>
      </c>
      <c r="F732" s="143">
        <f>+INVERSIÓN!$BP$11</f>
        <v>112000000</v>
      </c>
      <c r="G732" s="142" t="s">
        <v>442</v>
      </c>
    </row>
    <row r="733" spans="1:7" ht="49.9" customHeight="1" x14ac:dyDescent="0.25">
      <c r="A733" s="599"/>
      <c r="B733" s="600"/>
      <c r="C733" s="600"/>
      <c r="D733" s="142" t="s">
        <v>330</v>
      </c>
      <c r="E733" s="143">
        <f>+INVERSIÓN!$CE$18</f>
        <v>5689748327</v>
      </c>
      <c r="F733" s="143">
        <f>+INVERSIÓN!$BP$18</f>
        <v>0</v>
      </c>
      <c r="G733" s="142" t="s">
        <v>442</v>
      </c>
    </row>
    <row r="734" spans="1:7" ht="49.9" customHeight="1" x14ac:dyDescent="0.25">
      <c r="A734" s="599"/>
      <c r="B734" s="600"/>
      <c r="C734" s="600"/>
      <c r="D734" s="142" t="s">
        <v>435</v>
      </c>
      <c r="E734" s="143">
        <f>+INVERSIÓN!$CE$25</f>
        <v>3517906108</v>
      </c>
      <c r="F734" s="143">
        <f>+INVERSIÓN!$BP$25</f>
        <v>162596000</v>
      </c>
      <c r="G734" s="142" t="s">
        <v>442</v>
      </c>
    </row>
    <row r="735" spans="1:7" ht="49.9" customHeight="1" x14ac:dyDescent="0.25">
      <c r="A735" s="599"/>
      <c r="B735" s="142" t="s">
        <v>370</v>
      </c>
      <c r="C735" s="142" t="s">
        <v>436</v>
      </c>
      <c r="D735" s="142" t="s">
        <v>437</v>
      </c>
      <c r="E735" s="143">
        <f>+INVERSIÓN!$CE$32</f>
        <v>1816153100</v>
      </c>
      <c r="F735" s="143">
        <f>+INVERSIÓN!$BP$32</f>
        <v>0</v>
      </c>
      <c r="G735" s="142" t="s">
        <v>442</v>
      </c>
    </row>
    <row r="736" spans="1:7" ht="49.9" customHeight="1" x14ac:dyDescent="0.25">
      <c r="A736" s="599"/>
      <c r="B736" s="142" t="s">
        <v>374</v>
      </c>
      <c r="C736" s="142" t="s">
        <v>438</v>
      </c>
      <c r="D736" s="142" t="s">
        <v>439</v>
      </c>
      <c r="E736" s="143">
        <f>+INVERSIÓN!$CE$39</f>
        <v>946213900</v>
      </c>
      <c r="F736" s="143">
        <f>+INVERSIÓN!$BP$39</f>
        <v>0</v>
      </c>
      <c r="G736" s="142" t="s">
        <v>442</v>
      </c>
    </row>
    <row r="737" spans="1:7" ht="49.9" customHeight="1" x14ac:dyDescent="0.25">
      <c r="A737" s="599"/>
      <c r="B737" s="600" t="s">
        <v>378</v>
      </c>
      <c r="C737" s="600" t="s">
        <v>440</v>
      </c>
      <c r="D737" s="142" t="s">
        <v>441</v>
      </c>
      <c r="E737" s="143">
        <f>+INVERSIÓN!$CE$46</f>
        <v>1845306198</v>
      </c>
      <c r="F737" s="143">
        <f>+INVERSIÓN!$BP$46</f>
        <v>0</v>
      </c>
      <c r="G737" s="142" t="s">
        <v>442</v>
      </c>
    </row>
    <row r="738" spans="1:7" ht="49.9" customHeight="1" x14ac:dyDescent="0.25">
      <c r="A738" s="605"/>
      <c r="B738" s="600"/>
      <c r="C738" s="600"/>
      <c r="D738" s="142" t="s">
        <v>324</v>
      </c>
      <c r="E738" s="143">
        <f>+INVERSIÓN!$CE$53</f>
        <v>664856767</v>
      </c>
      <c r="F738" s="143">
        <f>+INVERSIÓN!$BP$53</f>
        <v>0</v>
      </c>
      <c r="G738" s="142" t="s">
        <v>442</v>
      </c>
    </row>
    <row r="739" spans="1:7" ht="49.9" customHeight="1" x14ac:dyDescent="0.25">
      <c r="A739" s="598" t="s">
        <v>140</v>
      </c>
      <c r="B739" s="600" t="s">
        <v>363</v>
      </c>
      <c r="C739" s="600" t="s">
        <v>432</v>
      </c>
      <c r="D739" s="142" t="s">
        <v>318</v>
      </c>
      <c r="E739" s="143">
        <f>+INVERSIÓN!$CE$11</f>
        <v>1988256600</v>
      </c>
      <c r="F739" s="143">
        <f>+INVERSIÓN!$BR$11</f>
        <v>38000000</v>
      </c>
      <c r="G739" s="142" t="s">
        <v>442</v>
      </c>
    </row>
    <row r="740" spans="1:7" ht="49.9" customHeight="1" x14ac:dyDescent="0.25">
      <c r="A740" s="599"/>
      <c r="B740" s="600"/>
      <c r="C740" s="600"/>
      <c r="D740" s="142" t="s">
        <v>330</v>
      </c>
      <c r="E740" s="143">
        <f>+INVERSIÓN!$CE$18</f>
        <v>5689748327</v>
      </c>
      <c r="F740" s="143">
        <f>+INVERSIÓN!$BR$18</f>
        <v>90000000</v>
      </c>
      <c r="G740" s="142" t="s">
        <v>442</v>
      </c>
    </row>
    <row r="741" spans="1:7" ht="49.9" customHeight="1" x14ac:dyDescent="0.25">
      <c r="A741" s="599"/>
      <c r="B741" s="600"/>
      <c r="C741" s="600"/>
      <c r="D741" s="142" t="s">
        <v>435</v>
      </c>
      <c r="E741" s="143">
        <f>+INVERSIÓN!$CE$25</f>
        <v>3517906108</v>
      </c>
      <c r="F741" s="143">
        <f>+INVERSIÓN!$BR$25</f>
        <v>0</v>
      </c>
      <c r="G741" s="142" t="s">
        <v>442</v>
      </c>
    </row>
    <row r="742" spans="1:7" ht="49.9" customHeight="1" x14ac:dyDescent="0.25">
      <c r="A742" s="599"/>
      <c r="B742" s="142" t="s">
        <v>370</v>
      </c>
      <c r="C742" s="142" t="s">
        <v>436</v>
      </c>
      <c r="D742" s="142" t="s">
        <v>437</v>
      </c>
      <c r="E742" s="143">
        <f>+INVERSIÓN!$CE$32</f>
        <v>1816153100</v>
      </c>
      <c r="F742" s="143">
        <f>+INVERSIÓN!$BR$32</f>
        <v>0</v>
      </c>
      <c r="G742" s="142" t="s">
        <v>442</v>
      </c>
    </row>
    <row r="743" spans="1:7" ht="49.9" customHeight="1" x14ac:dyDescent="0.25">
      <c r="A743" s="599"/>
      <c r="B743" s="142" t="s">
        <v>374</v>
      </c>
      <c r="C743" s="142" t="s">
        <v>438</v>
      </c>
      <c r="D743" s="142" t="s">
        <v>439</v>
      </c>
      <c r="E743" s="143">
        <f>+INVERSIÓN!$CE$39</f>
        <v>946213900</v>
      </c>
      <c r="F743" s="143">
        <f>+INVERSIÓN!$BR$39</f>
        <v>0</v>
      </c>
      <c r="G743" s="142" t="s">
        <v>442</v>
      </c>
    </row>
    <row r="744" spans="1:7" ht="49.9" customHeight="1" x14ac:dyDescent="0.25">
      <c r="A744" s="599"/>
      <c r="B744" s="600" t="s">
        <v>378</v>
      </c>
      <c r="C744" s="600" t="s">
        <v>440</v>
      </c>
      <c r="D744" s="142" t="s">
        <v>441</v>
      </c>
      <c r="E744" s="143">
        <f>+INVERSIÓN!$CE$46</f>
        <v>1845306198</v>
      </c>
      <c r="F744" s="143">
        <f>+INVERSIÓN!$BR$46</f>
        <v>6020000</v>
      </c>
      <c r="G744" s="142" t="s">
        <v>442</v>
      </c>
    </row>
    <row r="745" spans="1:7" ht="49.9" customHeight="1" x14ac:dyDescent="0.25">
      <c r="A745" s="605"/>
      <c r="B745" s="600"/>
      <c r="C745" s="600"/>
      <c r="D745" s="142" t="s">
        <v>324</v>
      </c>
      <c r="E745" s="143">
        <f>+INVERSIÓN!$CE$53</f>
        <v>664856767</v>
      </c>
      <c r="F745" s="143">
        <f>+INVERSIÓN!$BR$53</f>
        <v>0</v>
      </c>
      <c r="G745" s="142" t="s">
        <v>442</v>
      </c>
    </row>
    <row r="746" spans="1:7" ht="49.9" customHeight="1" x14ac:dyDescent="0.25">
      <c r="A746" s="598" t="s">
        <v>128</v>
      </c>
      <c r="B746" s="600" t="s">
        <v>363</v>
      </c>
      <c r="C746" s="600" t="s">
        <v>432</v>
      </c>
      <c r="D746" s="142" t="s">
        <v>318</v>
      </c>
      <c r="E746" s="143">
        <f>+INVERSIÓN!$CE$11</f>
        <v>1988256600</v>
      </c>
      <c r="F746" s="143">
        <f>+INVERSIÓN!$BT$11</f>
        <v>0</v>
      </c>
      <c r="G746" s="142" t="s">
        <v>442</v>
      </c>
    </row>
    <row r="747" spans="1:7" ht="49.9" customHeight="1" x14ac:dyDescent="0.25">
      <c r="A747" s="599"/>
      <c r="B747" s="600"/>
      <c r="C747" s="600"/>
      <c r="D747" s="142" t="s">
        <v>330</v>
      </c>
      <c r="E747" s="143">
        <f>+INVERSIÓN!$CE$18</f>
        <v>5689748327</v>
      </c>
      <c r="F747" s="143">
        <f>+INVERSIÓN!$BT$18</f>
        <v>-45866000</v>
      </c>
      <c r="G747" s="142" t="s">
        <v>442</v>
      </c>
    </row>
    <row r="748" spans="1:7" ht="49.9" customHeight="1" x14ac:dyDescent="0.25">
      <c r="A748" s="599"/>
      <c r="B748" s="600"/>
      <c r="C748" s="600"/>
      <c r="D748" s="142" t="s">
        <v>435</v>
      </c>
      <c r="E748" s="143">
        <f>+INVERSIÓN!$CE$25</f>
        <v>3517906108</v>
      </c>
      <c r="F748" s="143">
        <f>+INVERSIÓN!$BT$25</f>
        <v>0</v>
      </c>
      <c r="G748" s="142" t="s">
        <v>442</v>
      </c>
    </row>
    <row r="749" spans="1:7" ht="49.9" customHeight="1" x14ac:dyDescent="0.25">
      <c r="A749" s="599"/>
      <c r="B749" s="142" t="s">
        <v>370</v>
      </c>
      <c r="C749" s="142" t="s">
        <v>436</v>
      </c>
      <c r="D749" s="142" t="s">
        <v>437</v>
      </c>
      <c r="E749" s="143">
        <f>+INVERSIÓN!$CE$32</f>
        <v>1816153100</v>
      </c>
      <c r="F749" s="143">
        <f>+INVERSIÓN!$BT$32</f>
        <v>0</v>
      </c>
      <c r="G749" s="142" t="s">
        <v>442</v>
      </c>
    </row>
    <row r="750" spans="1:7" ht="49.9" customHeight="1" x14ac:dyDescent="0.25">
      <c r="A750" s="599"/>
      <c r="B750" s="142" t="s">
        <v>374</v>
      </c>
      <c r="C750" s="142" t="s">
        <v>438</v>
      </c>
      <c r="D750" s="142" t="s">
        <v>439</v>
      </c>
      <c r="E750" s="143">
        <f>+INVERSIÓN!$CE$39</f>
        <v>946213900</v>
      </c>
      <c r="F750" s="143">
        <f>+INVERSIÓN!$BT$39</f>
        <v>0</v>
      </c>
      <c r="G750" s="142" t="s">
        <v>442</v>
      </c>
    </row>
    <row r="751" spans="1:7" ht="49.9" customHeight="1" x14ac:dyDescent="0.25">
      <c r="A751" s="599"/>
      <c r="B751" s="600" t="s">
        <v>378</v>
      </c>
      <c r="C751" s="600" t="s">
        <v>440</v>
      </c>
      <c r="D751" s="142" t="s">
        <v>441</v>
      </c>
      <c r="E751" s="143">
        <f>+INVERSIÓN!$CE$46</f>
        <v>1845306198</v>
      </c>
      <c r="F751" s="143">
        <f>+INVERSIÓN!$BT$46</f>
        <v>0</v>
      </c>
      <c r="G751" s="142" t="s">
        <v>442</v>
      </c>
    </row>
    <row r="752" spans="1:7" ht="49.9" customHeight="1" x14ac:dyDescent="0.25">
      <c r="A752" s="605"/>
      <c r="B752" s="600"/>
      <c r="C752" s="600"/>
      <c r="D752" s="142" t="s">
        <v>324</v>
      </c>
      <c r="E752" s="143">
        <f>+INVERSIÓN!$CE$53</f>
        <v>664856767</v>
      </c>
      <c r="F752" s="143">
        <f>+INVERSIÓN!$BT$53</f>
        <v>0</v>
      </c>
      <c r="G752" s="142" t="s">
        <v>442</v>
      </c>
    </row>
    <row r="753" spans="1:7" ht="49.9" customHeight="1" x14ac:dyDescent="0.25">
      <c r="A753" s="598" t="s">
        <v>129</v>
      </c>
      <c r="B753" s="600" t="s">
        <v>363</v>
      </c>
      <c r="C753" s="600" t="s">
        <v>432</v>
      </c>
      <c r="D753" s="142" t="s">
        <v>318</v>
      </c>
      <c r="E753" s="143">
        <f>+INVERSIÓN!$CE$11</f>
        <v>1988256600</v>
      </c>
      <c r="F753" s="143">
        <f>+INVERSIÓN!$BV$11</f>
        <v>0</v>
      </c>
      <c r="G753" s="142" t="s">
        <v>442</v>
      </c>
    </row>
    <row r="754" spans="1:7" ht="49.9" customHeight="1" x14ac:dyDescent="0.25">
      <c r="A754" s="599"/>
      <c r="B754" s="600"/>
      <c r="C754" s="600"/>
      <c r="D754" s="142" t="s">
        <v>330</v>
      </c>
      <c r="E754" s="143">
        <f>+INVERSIÓN!$CE$18</f>
        <v>5689748327</v>
      </c>
      <c r="F754" s="143">
        <f>+INVERSIÓN!$BV$18</f>
        <v>0</v>
      </c>
      <c r="G754" s="142" t="s">
        <v>442</v>
      </c>
    </row>
    <row r="755" spans="1:7" ht="49.9" customHeight="1" x14ac:dyDescent="0.25">
      <c r="A755" s="599"/>
      <c r="B755" s="600"/>
      <c r="C755" s="600"/>
      <c r="D755" s="142" t="s">
        <v>435</v>
      </c>
      <c r="E755" s="143">
        <f>+INVERSIÓN!$CE$25</f>
        <v>3517906108</v>
      </c>
      <c r="F755" s="143">
        <f>+INVERSIÓN!$BV$25</f>
        <v>0</v>
      </c>
      <c r="G755" s="142" t="s">
        <v>442</v>
      </c>
    </row>
    <row r="756" spans="1:7" ht="49.9" customHeight="1" x14ac:dyDescent="0.25">
      <c r="A756" s="599"/>
      <c r="B756" s="142" t="s">
        <v>370</v>
      </c>
      <c r="C756" s="142" t="s">
        <v>436</v>
      </c>
      <c r="D756" s="142" t="s">
        <v>437</v>
      </c>
      <c r="E756" s="143">
        <f>+INVERSIÓN!$CE$32</f>
        <v>1816153100</v>
      </c>
      <c r="F756" s="143">
        <f>+INVERSIÓN!$BV$32</f>
        <v>0</v>
      </c>
      <c r="G756" s="142" t="s">
        <v>442</v>
      </c>
    </row>
    <row r="757" spans="1:7" ht="49.9" customHeight="1" x14ac:dyDescent="0.25">
      <c r="A757" s="599"/>
      <c r="B757" s="142" t="s">
        <v>374</v>
      </c>
      <c r="C757" s="142" t="s">
        <v>438</v>
      </c>
      <c r="D757" s="142" t="s">
        <v>439</v>
      </c>
      <c r="E757" s="143">
        <f>+INVERSIÓN!$CE$39</f>
        <v>946213900</v>
      </c>
      <c r="F757" s="143">
        <f>+INVERSIÓN!$BV$39</f>
        <v>14028000</v>
      </c>
      <c r="G757" s="142" t="s">
        <v>442</v>
      </c>
    </row>
    <row r="758" spans="1:7" ht="49.9" customHeight="1" x14ac:dyDescent="0.25">
      <c r="A758" s="599"/>
      <c r="B758" s="600" t="s">
        <v>378</v>
      </c>
      <c r="C758" s="600" t="s">
        <v>440</v>
      </c>
      <c r="D758" s="142" t="s">
        <v>441</v>
      </c>
      <c r="E758" s="143">
        <f>+INVERSIÓN!$CE$46</f>
        <v>1845306198</v>
      </c>
      <c r="F758" s="143">
        <f>+INVERSIÓN!$BV$46</f>
        <v>0</v>
      </c>
      <c r="G758" s="142" t="s">
        <v>442</v>
      </c>
    </row>
    <row r="759" spans="1:7" ht="49.9" customHeight="1" x14ac:dyDescent="0.25">
      <c r="A759" s="605"/>
      <c r="B759" s="600"/>
      <c r="C759" s="600"/>
      <c r="D759" s="142" t="s">
        <v>324</v>
      </c>
      <c r="E759" s="143">
        <f>+INVERSIÓN!$CE$53</f>
        <v>664856767</v>
      </c>
      <c r="F759" s="143">
        <f>+INVERSIÓN!$BV$53</f>
        <v>0</v>
      </c>
      <c r="G759" s="142" t="s">
        <v>442</v>
      </c>
    </row>
    <row r="760" spans="1:7" ht="49.9" customHeight="1" x14ac:dyDescent="0.25">
      <c r="A760" s="598" t="s">
        <v>130</v>
      </c>
      <c r="B760" s="600" t="s">
        <v>363</v>
      </c>
      <c r="C760" s="600" t="s">
        <v>432</v>
      </c>
      <c r="D760" s="142" t="s">
        <v>318</v>
      </c>
      <c r="E760" s="143">
        <f>+INVERSIÓN!$CE$11</f>
        <v>1988256600</v>
      </c>
      <c r="F760" s="143">
        <f>+INVERSIÓN!$CG$11</f>
        <v>836275000</v>
      </c>
      <c r="G760" s="142" t="s">
        <v>442</v>
      </c>
    </row>
    <row r="761" spans="1:7" ht="49.9" customHeight="1" x14ac:dyDescent="0.25">
      <c r="A761" s="599"/>
      <c r="B761" s="600"/>
      <c r="C761" s="600"/>
      <c r="D761" s="142" t="s">
        <v>330</v>
      </c>
      <c r="E761" s="143">
        <f>+INVERSIÓN!$CE$18</f>
        <v>5689748327</v>
      </c>
      <c r="F761" s="143">
        <f>+INVERSIÓN!$CG$18</f>
        <v>2115789834</v>
      </c>
      <c r="G761" s="142" t="s">
        <v>442</v>
      </c>
    </row>
    <row r="762" spans="1:7" ht="49.9" customHeight="1" x14ac:dyDescent="0.25">
      <c r="A762" s="599"/>
      <c r="B762" s="600"/>
      <c r="C762" s="600"/>
      <c r="D762" s="142" t="s">
        <v>435</v>
      </c>
      <c r="E762" s="143">
        <f>+INVERSIÓN!$CE$25</f>
        <v>3517906108</v>
      </c>
      <c r="F762" s="143">
        <f>+INVERSIÓN!$CG$25</f>
        <v>2828127908</v>
      </c>
      <c r="G762" s="142" t="s">
        <v>442</v>
      </c>
    </row>
    <row r="763" spans="1:7" ht="49.9" customHeight="1" x14ac:dyDescent="0.25">
      <c r="A763" s="599"/>
      <c r="B763" s="142" t="s">
        <v>370</v>
      </c>
      <c r="C763" s="142" t="s">
        <v>436</v>
      </c>
      <c r="D763" s="142" t="s">
        <v>437</v>
      </c>
      <c r="E763" s="143">
        <f>+INVERSIÓN!$CE$32</f>
        <v>1816153100</v>
      </c>
      <c r="F763" s="143">
        <f>+INVERSIÓN!$CG$32</f>
        <v>1137940000</v>
      </c>
      <c r="G763" s="142" t="s">
        <v>442</v>
      </c>
    </row>
    <row r="764" spans="1:7" ht="49.9" customHeight="1" x14ac:dyDescent="0.25">
      <c r="A764" s="599"/>
      <c r="B764" s="142" t="s">
        <v>374</v>
      </c>
      <c r="C764" s="142" t="s">
        <v>438</v>
      </c>
      <c r="D764" s="142" t="s">
        <v>439</v>
      </c>
      <c r="E764" s="143">
        <f>+INVERSIÓN!$CE$39</f>
        <v>946213900</v>
      </c>
      <c r="F764" s="143">
        <f>+INVERSIÓN!$CG$39</f>
        <v>488561800</v>
      </c>
      <c r="G764" s="142" t="s">
        <v>442</v>
      </c>
    </row>
    <row r="765" spans="1:7" ht="49.9" customHeight="1" x14ac:dyDescent="0.25">
      <c r="A765" s="599"/>
      <c r="B765" s="600" t="s">
        <v>378</v>
      </c>
      <c r="C765" s="600" t="s">
        <v>440</v>
      </c>
      <c r="D765" s="142" t="s">
        <v>441</v>
      </c>
      <c r="E765" s="143">
        <f>+INVERSIÓN!$CE$46</f>
        <v>1845306198</v>
      </c>
      <c r="F765" s="143">
        <f>+INVERSIÓN!$CG$46</f>
        <v>1541778200</v>
      </c>
      <c r="G765" s="142" t="s">
        <v>442</v>
      </c>
    </row>
    <row r="766" spans="1:7" ht="49.9" customHeight="1" x14ac:dyDescent="0.25">
      <c r="A766" s="605"/>
      <c r="B766" s="600"/>
      <c r="C766" s="600"/>
      <c r="D766" s="142" t="s">
        <v>324</v>
      </c>
      <c r="E766" s="143">
        <f>+INVERSIÓN!$CE$53</f>
        <v>664856767</v>
      </c>
      <c r="F766" s="143">
        <f>+INVERSIÓN!$CG$53</f>
        <v>597453000</v>
      </c>
      <c r="G766" s="142" t="s">
        <v>442</v>
      </c>
    </row>
    <row r="767" spans="1:7" x14ac:dyDescent="0.25">
      <c r="A767" s="38" t="s">
        <v>131</v>
      </c>
      <c r="B767" s="38"/>
      <c r="C767" s="38"/>
      <c r="D767" s="38"/>
      <c r="E767" s="38"/>
      <c r="F767" s="38"/>
      <c r="G767" s="38"/>
    </row>
    <row r="768" spans="1:7" x14ac:dyDescent="0.25">
      <c r="A768" s="38" t="s">
        <v>132</v>
      </c>
      <c r="B768" s="38"/>
      <c r="C768" s="38"/>
      <c r="D768" s="38"/>
      <c r="E768" s="38"/>
      <c r="F768" s="38"/>
      <c r="G768" s="38"/>
    </row>
    <row r="769" spans="1:7" x14ac:dyDescent="0.25">
      <c r="A769" s="38" t="s">
        <v>133</v>
      </c>
      <c r="B769" s="38"/>
      <c r="C769" s="38"/>
      <c r="D769" s="38"/>
      <c r="E769" s="38"/>
      <c r="F769" s="38"/>
      <c r="G769" s="38"/>
    </row>
    <row r="770" spans="1:7" x14ac:dyDescent="0.25">
      <c r="A770" s="39"/>
      <c r="G770" s="40"/>
    </row>
    <row r="771" spans="1:7" ht="30.75" hidden="1" customHeight="1" x14ac:dyDescent="0.3">
      <c r="A771" s="614" t="s">
        <v>175</v>
      </c>
      <c r="B771" s="615"/>
      <c r="C771" s="615"/>
      <c r="D771" s="615"/>
      <c r="E771" s="615"/>
      <c r="F771" s="615"/>
      <c r="G771" s="616"/>
    </row>
    <row r="772" spans="1:7" ht="38.25" hidden="1" x14ac:dyDescent="0.25">
      <c r="A772" s="140" t="s">
        <v>62</v>
      </c>
      <c r="B772" s="37" t="s">
        <v>145</v>
      </c>
      <c r="C772" s="37" t="s">
        <v>146</v>
      </c>
      <c r="D772" s="37" t="s">
        <v>168</v>
      </c>
      <c r="E772" s="37" t="s">
        <v>176</v>
      </c>
      <c r="F772" s="37" t="s">
        <v>177</v>
      </c>
      <c r="G772" s="37" t="s">
        <v>171</v>
      </c>
    </row>
    <row r="773" spans="1:7" ht="16.5" hidden="1" customHeight="1" x14ac:dyDescent="0.25">
      <c r="A773" s="38" t="s">
        <v>135</v>
      </c>
      <c r="B773" s="38"/>
      <c r="C773" s="38"/>
      <c r="D773" s="38"/>
      <c r="E773" s="38"/>
      <c r="F773" s="38"/>
      <c r="G773" s="38"/>
    </row>
    <row r="774" spans="1:7" ht="16.5" hidden="1" customHeight="1" x14ac:dyDescent="0.25">
      <c r="A774" s="38" t="s">
        <v>136</v>
      </c>
      <c r="B774" s="38"/>
      <c r="C774" s="38"/>
      <c r="D774" s="38"/>
      <c r="E774" s="38"/>
      <c r="F774" s="38"/>
      <c r="G774" s="38"/>
    </row>
    <row r="775" spans="1:7" ht="16.5" hidden="1" customHeight="1" x14ac:dyDescent="0.25">
      <c r="A775" s="38" t="s">
        <v>137</v>
      </c>
      <c r="B775" s="38"/>
      <c r="C775" s="38"/>
      <c r="D775" s="38"/>
      <c r="E775" s="38"/>
      <c r="F775" s="38"/>
      <c r="G775" s="38"/>
    </row>
    <row r="776" spans="1:7" ht="16.5" hidden="1" customHeight="1" x14ac:dyDescent="0.25">
      <c r="A776" s="38" t="s">
        <v>138</v>
      </c>
      <c r="B776" s="38"/>
      <c r="C776" s="38"/>
      <c r="D776" s="38"/>
      <c r="E776" s="38"/>
      <c r="F776" s="38"/>
      <c r="G776" s="38"/>
    </row>
    <row r="777" spans="1:7" ht="16.5" hidden="1" customHeight="1" x14ac:dyDescent="0.25">
      <c r="A777" s="38" t="s">
        <v>139</v>
      </c>
      <c r="B777" s="38"/>
      <c r="C777" s="38"/>
      <c r="D777" s="38"/>
      <c r="E777" s="38"/>
      <c r="F777" s="38"/>
      <c r="G777" s="38"/>
    </row>
    <row r="778" spans="1:7" ht="16.5" hidden="1" customHeight="1" x14ac:dyDescent="0.25">
      <c r="A778" s="38" t="s">
        <v>140</v>
      </c>
      <c r="B778" s="38"/>
      <c r="C778" s="38"/>
      <c r="D778" s="38"/>
      <c r="E778" s="38"/>
      <c r="F778" s="38"/>
      <c r="G778" s="38"/>
    </row>
    <row r="779" spans="1:7" hidden="1" x14ac:dyDescent="0.25">
      <c r="A779" s="38" t="s">
        <v>128</v>
      </c>
      <c r="B779" s="38"/>
      <c r="C779" s="38"/>
      <c r="D779" s="38"/>
      <c r="E779" s="38"/>
      <c r="F779" s="38"/>
      <c r="G779" s="38"/>
    </row>
    <row r="780" spans="1:7" hidden="1" x14ac:dyDescent="0.25">
      <c r="A780" s="38" t="s">
        <v>129</v>
      </c>
      <c r="B780" s="38"/>
      <c r="C780" s="38"/>
      <c r="D780" s="38"/>
      <c r="E780" s="38"/>
      <c r="F780" s="38"/>
      <c r="G780" s="38"/>
    </row>
    <row r="781" spans="1:7" hidden="1" x14ac:dyDescent="0.25">
      <c r="A781" s="38" t="s">
        <v>130</v>
      </c>
      <c r="B781" s="38"/>
      <c r="C781" s="38"/>
      <c r="D781" s="38"/>
      <c r="E781" s="38"/>
      <c r="F781" s="38"/>
      <c r="G781" s="38"/>
    </row>
    <row r="782" spans="1:7" hidden="1" x14ac:dyDescent="0.25">
      <c r="A782" s="38" t="s">
        <v>131</v>
      </c>
      <c r="B782" s="38"/>
      <c r="C782" s="38"/>
      <c r="D782" s="38"/>
      <c r="E782" s="38"/>
      <c r="F782" s="38"/>
      <c r="G782" s="38"/>
    </row>
    <row r="783" spans="1:7" hidden="1" x14ac:dyDescent="0.25">
      <c r="A783" s="38" t="s">
        <v>132</v>
      </c>
      <c r="B783" s="38"/>
      <c r="C783" s="38"/>
      <c r="D783" s="38"/>
      <c r="E783" s="38"/>
      <c r="F783" s="38"/>
      <c r="G783" s="38"/>
    </row>
    <row r="784" spans="1:7" hidden="1" x14ac:dyDescent="0.25">
      <c r="A784" s="38" t="s">
        <v>133</v>
      </c>
      <c r="B784" s="38"/>
      <c r="C784" s="38"/>
      <c r="D784" s="38"/>
      <c r="E784" s="38"/>
      <c r="F784" s="38"/>
      <c r="G784" s="38"/>
    </row>
    <row r="785" spans="1:7" hidden="1" x14ac:dyDescent="0.25">
      <c r="A785" s="39"/>
      <c r="G785" s="40"/>
    </row>
    <row r="786" spans="1:7" ht="20.25" hidden="1" x14ac:dyDescent="0.3">
      <c r="A786" s="614" t="s">
        <v>178</v>
      </c>
      <c r="B786" s="615"/>
      <c r="C786" s="615"/>
      <c r="D786" s="615"/>
      <c r="E786" s="615"/>
      <c r="F786" s="615"/>
      <c r="G786" s="616"/>
    </row>
    <row r="787" spans="1:7" ht="38.25" hidden="1" x14ac:dyDescent="0.25">
      <c r="A787" s="140" t="s">
        <v>63</v>
      </c>
      <c r="B787" s="37" t="s">
        <v>145</v>
      </c>
      <c r="C787" s="37" t="s">
        <v>146</v>
      </c>
      <c r="D787" s="37" t="s">
        <v>168</v>
      </c>
      <c r="E787" s="37" t="s">
        <v>179</v>
      </c>
      <c r="F787" s="37" t="s">
        <v>180</v>
      </c>
      <c r="G787" s="37" t="s">
        <v>171</v>
      </c>
    </row>
    <row r="788" spans="1:7" ht="16.5" hidden="1" customHeight="1" x14ac:dyDescent="0.25">
      <c r="A788" s="38" t="s">
        <v>135</v>
      </c>
      <c r="B788" s="38"/>
      <c r="C788" s="38"/>
      <c r="D788" s="38"/>
      <c r="E788" s="38"/>
      <c r="F788" s="38"/>
      <c r="G788" s="38"/>
    </row>
    <row r="789" spans="1:7" ht="16.5" hidden="1" customHeight="1" x14ac:dyDescent="0.25">
      <c r="A789" s="38" t="s">
        <v>136</v>
      </c>
      <c r="B789" s="38"/>
      <c r="C789" s="38"/>
      <c r="D789" s="38"/>
      <c r="E789" s="38"/>
      <c r="F789" s="38"/>
      <c r="G789" s="38"/>
    </row>
    <row r="790" spans="1:7" ht="16.5" hidden="1" customHeight="1" x14ac:dyDescent="0.25">
      <c r="A790" s="38" t="s">
        <v>137</v>
      </c>
      <c r="B790" s="38"/>
      <c r="C790" s="38"/>
      <c r="D790" s="38"/>
      <c r="E790" s="38"/>
      <c r="F790" s="38"/>
      <c r="G790" s="38"/>
    </row>
    <row r="791" spans="1:7" ht="16.5" hidden="1" customHeight="1" x14ac:dyDescent="0.25">
      <c r="A791" s="38" t="s">
        <v>138</v>
      </c>
      <c r="B791" s="38"/>
      <c r="C791" s="38"/>
      <c r="D791" s="38"/>
      <c r="E791" s="38"/>
      <c r="F791" s="38"/>
      <c r="G791" s="38"/>
    </row>
    <row r="792" spans="1:7" ht="16.5" hidden="1" customHeight="1" x14ac:dyDescent="0.25">
      <c r="A792" s="38" t="s">
        <v>139</v>
      </c>
      <c r="B792" s="38"/>
      <c r="C792" s="38"/>
      <c r="D792" s="38"/>
      <c r="E792" s="38"/>
      <c r="F792" s="38"/>
      <c r="G792" s="38"/>
    </row>
    <row r="793" spans="1:7" ht="16.5" hidden="1" customHeight="1" x14ac:dyDescent="0.25">
      <c r="A793" s="38" t="s">
        <v>140</v>
      </c>
      <c r="B793" s="38"/>
      <c r="C793" s="38"/>
      <c r="D793" s="38"/>
      <c r="E793" s="38"/>
      <c r="F793" s="38"/>
      <c r="G793" s="38"/>
    </row>
    <row r="794" spans="1:7" hidden="1" x14ac:dyDescent="0.25">
      <c r="A794" s="38" t="s">
        <v>128</v>
      </c>
      <c r="B794" s="38"/>
      <c r="C794" s="38"/>
      <c r="D794" s="38"/>
      <c r="E794" s="38"/>
      <c r="F794" s="38"/>
      <c r="G794" s="38"/>
    </row>
    <row r="795" spans="1:7" hidden="1" x14ac:dyDescent="0.25">
      <c r="A795" s="38" t="s">
        <v>129</v>
      </c>
      <c r="B795" s="38"/>
      <c r="C795" s="38"/>
      <c r="D795" s="38"/>
      <c r="E795" s="38"/>
      <c r="F795" s="38"/>
      <c r="G795" s="38"/>
    </row>
    <row r="796" spans="1:7" hidden="1" x14ac:dyDescent="0.25">
      <c r="A796" s="38" t="s">
        <v>130</v>
      </c>
      <c r="B796" s="38"/>
      <c r="C796" s="38"/>
      <c r="D796" s="38"/>
      <c r="E796" s="38"/>
      <c r="F796" s="38"/>
      <c r="G796" s="38"/>
    </row>
    <row r="797" spans="1:7" hidden="1" x14ac:dyDescent="0.25">
      <c r="A797" s="38" t="s">
        <v>131</v>
      </c>
      <c r="B797" s="38"/>
      <c r="C797" s="38"/>
      <c r="D797" s="38"/>
      <c r="E797" s="38"/>
      <c r="F797" s="38"/>
      <c r="G797" s="38"/>
    </row>
    <row r="798" spans="1:7" hidden="1" x14ac:dyDescent="0.25">
      <c r="A798" s="38" t="s">
        <v>132</v>
      </c>
      <c r="B798" s="38"/>
      <c r="C798" s="38"/>
      <c r="D798" s="38"/>
      <c r="E798" s="38"/>
      <c r="F798" s="38"/>
      <c r="G798" s="38"/>
    </row>
    <row r="799" spans="1:7" hidden="1" x14ac:dyDescent="0.25">
      <c r="A799" s="38" t="s">
        <v>133</v>
      </c>
      <c r="B799" s="38"/>
      <c r="C799" s="38"/>
      <c r="D799" s="38"/>
      <c r="E799" s="38"/>
      <c r="F799" s="38"/>
      <c r="G799" s="38"/>
    </row>
    <row r="801" spans="1:9" ht="24.75" customHeight="1" x14ac:dyDescent="0.3">
      <c r="A801" s="614" t="s">
        <v>181</v>
      </c>
      <c r="B801" s="615"/>
      <c r="C801" s="615"/>
      <c r="D801" s="615"/>
      <c r="E801" s="615"/>
      <c r="F801" s="615"/>
      <c r="G801" s="615"/>
      <c r="H801" s="616"/>
    </row>
    <row r="802" spans="1:9" ht="46.5" customHeight="1" x14ac:dyDescent="0.25">
      <c r="A802" s="140" t="s">
        <v>48</v>
      </c>
      <c r="B802" s="37" t="s">
        <v>182</v>
      </c>
      <c r="C802" s="41" t="s">
        <v>148</v>
      </c>
      <c r="D802" s="41" t="s">
        <v>149</v>
      </c>
      <c r="E802" s="41" t="s">
        <v>183</v>
      </c>
      <c r="F802" s="41" t="s">
        <v>184</v>
      </c>
      <c r="G802" s="41" t="s">
        <v>185</v>
      </c>
      <c r="H802" s="37" t="s">
        <v>171</v>
      </c>
    </row>
    <row r="803" spans="1:9" s="144" customFormat="1" ht="49.9" hidden="1" customHeight="1" outlineLevel="1" x14ac:dyDescent="0.25">
      <c r="A803" s="634" t="s">
        <v>128</v>
      </c>
      <c r="B803" s="138" t="s">
        <v>446</v>
      </c>
      <c r="C803" s="47" t="s">
        <v>447</v>
      </c>
      <c r="D803" s="161">
        <v>0.15</v>
      </c>
      <c r="E803" s="139">
        <v>20</v>
      </c>
      <c r="F803" s="139">
        <v>20</v>
      </c>
      <c r="G803" s="146">
        <f>F803/E803</f>
        <v>1</v>
      </c>
      <c r="H803" s="142" t="str">
        <f t="shared" ref="H803:H837" si="29">+L353</f>
        <v xml:space="preserve">Para el mes de julio de 2020, se remite el reporte de los mantenimientos preventivos y correctivos que se han realizado durante el mes, estos han sido ejecutados por los técnicos de campo. En el reporte se relaciona la fecha del mantenimiento, el No. de inventario, el nombre y la ubicación del equipo, la actividad que se realiza, el tipo de mantenimiento, el técnico responsable y la estación en la cual se realizó el mantenimiento. 
Por otro lado, se realizó la validación diaria de los datos de concentraciones de contaminantes criterio y parámetros meteorológicos que monitorea la RMCAB, se adjunta reporte de operatividad en el que se evidencia un 95,1% de los datos validos para el mes. 
Se realizó el análisis de datos del mes de junio de 2020 para plasmarlo en el informe de calidad del aire, se adjunta el documento de Excel en el que se evidencia el tratamiento de los datos. Asimismo, el equipo de la RMCAB en el mes de julio de 2020 elaboró y publicó el informe mensual de junio. Se adjunta copia de este.  </v>
      </c>
      <c r="I803" s="183"/>
    </row>
    <row r="804" spans="1:9" s="144" customFormat="1" ht="49.9" hidden="1" customHeight="1" outlineLevel="1" x14ac:dyDescent="0.25">
      <c r="A804" s="635"/>
      <c r="B804" s="138" t="s">
        <v>448</v>
      </c>
      <c r="C804" s="47" t="s">
        <v>447</v>
      </c>
      <c r="D804" s="161">
        <v>0.15</v>
      </c>
      <c r="E804" s="162">
        <v>4</v>
      </c>
      <c r="F804" s="162">
        <v>0</v>
      </c>
      <c r="G804" s="146">
        <f>F804/E804</f>
        <v>0</v>
      </c>
      <c r="H804" s="142" t="str">
        <f t="shared" si="29"/>
        <v xml:space="preserve">No fueron programados avances para el mes de julio, la ejecución respectiva se realizará desde el mes de agosto </v>
      </c>
      <c r="I804" s="183"/>
    </row>
    <row r="805" spans="1:9" s="144" customFormat="1" ht="49.9" hidden="1" customHeight="1" outlineLevel="1" x14ac:dyDescent="0.25">
      <c r="A805" s="635"/>
      <c r="B805" s="138" t="s">
        <v>449</v>
      </c>
      <c r="C805" s="47" t="s">
        <v>447</v>
      </c>
      <c r="D805" s="161">
        <v>0.15</v>
      </c>
      <c r="E805" s="162">
        <v>1</v>
      </c>
      <c r="F805" s="162">
        <v>0.1666</v>
      </c>
      <c r="G805" s="146">
        <f>F805/E805</f>
        <v>0.1666</v>
      </c>
      <c r="H805" s="142" t="str">
        <f t="shared" si="29"/>
        <v>Julio de 2020: Con el fin de construir el informe correspondiente al segundo semestre de 2020, se realizó intervención mediante actuaciones técnicas, atención a PQRs, visitas de control, acompañamientos entre otras actividades del sector de fuentes fijas, operativos de medición de seguimiento y control ambiental de emisiones a vehículos que transitan en el Distrito, visitas técnicas de auditoria  a centros de diagnóstico automotor del Distrito Capital y la caracterización de procedimientos vigentes correspondientes al control y seguimiento de fuentes móviles, con esta información se adelanta la construcción del informe de acciones de evaluación, control y seguimiento a las fuentes fijas y móviles.</v>
      </c>
      <c r="I805" s="183"/>
    </row>
    <row r="806" spans="1:9" s="144" customFormat="1" ht="49.9" hidden="1" customHeight="1" outlineLevel="1" x14ac:dyDescent="0.25">
      <c r="A806" s="635"/>
      <c r="B806" s="138" t="s">
        <v>450</v>
      </c>
      <c r="C806" s="47" t="s">
        <v>447</v>
      </c>
      <c r="D806" s="161">
        <v>0.15</v>
      </c>
      <c r="E806" s="139">
        <v>362</v>
      </c>
      <c r="F806" s="139">
        <v>5</v>
      </c>
      <c r="G806" s="146">
        <f t="shared" ref="G806:G844" si="30">F806/E806</f>
        <v>1.3812154696132596E-2</v>
      </c>
      <c r="H806" s="142" t="str">
        <f t="shared" si="29"/>
        <v>En cumplimiento a la meta plan de desarrollo planteada para el periodo de julio  2020, el área técnica de ruido realizó cinco (5) visitas técnicas, de las cuales una (1), corresponde a visita efectiva con medición, cuatro (4) visitas no efectivas por presencia de piso húmedo y/o presencia de lloviznas, las cuales, son objeto de reprogramación (articulo 20° Resolución 0627 de 2006) y tres (3) actuaciones técnicas correspondientes a otros documentos, dos (2) Conceptos Técnicos Aclaratorios y un (1) Concepto de Favorabilidad SUGA.  La Meta del proyecto de Inversión presenta avance en el mes de Julio, toda vez que las acciones realizadas se ejecutaron al comienzo del mes de Julio con personal contratado vigente desde el mes de marzo de 2020 y aun en el Plan de Desarrollo BMPT.</v>
      </c>
      <c r="I806" s="183"/>
    </row>
    <row r="807" spans="1:9" s="144" customFormat="1" ht="49.9" hidden="1" customHeight="1" outlineLevel="1" x14ac:dyDescent="0.25">
      <c r="A807" s="635"/>
      <c r="B807" s="138" t="s">
        <v>451</v>
      </c>
      <c r="C807" s="47" t="s">
        <v>447</v>
      </c>
      <c r="D807" s="161">
        <v>0.15</v>
      </c>
      <c r="E807" s="162">
        <v>1</v>
      </c>
      <c r="F807" s="162">
        <v>1</v>
      </c>
      <c r="G807" s="146">
        <f t="shared" si="30"/>
        <v>1</v>
      </c>
      <c r="H807" s="142" t="str">
        <f t="shared" si="29"/>
        <v xml:space="preserve">Para el presente periodo, se programaron y realizaron visitas técnicas con la Empresa de Telecomunicaciones de Bogotá (ETB), para la instalación de tendido, configuración y puesta en marcha de servicio de internet por canal dedicado de las estaciones de la Red de Monitoreo de Ruido Ambiental de Bogotá (RMRAB) ubicadas en el CAI Berna, Jardín Botánico JCM, Cruz Roja Avenida 68, CAI Quirigua, CAI Las Ferias y CAI Normandía. 
Durante el presente periodo se diligencia y envía por correo electrónico matriz Inventario de equipos/ patrones/ material de referencia y programa de mantenimiento, calibración y verificación. </v>
      </c>
      <c r="I807" s="183"/>
    </row>
    <row r="808" spans="1:9" s="144" customFormat="1" ht="49.9" hidden="1" customHeight="1" outlineLevel="1" x14ac:dyDescent="0.25">
      <c r="A808" s="635"/>
      <c r="B808" s="138" t="s">
        <v>452</v>
      </c>
      <c r="C808" s="47" t="s">
        <v>447</v>
      </c>
      <c r="D808" s="161">
        <v>0.15</v>
      </c>
      <c r="E808" s="162">
        <v>234</v>
      </c>
      <c r="F808" s="163">
        <v>28</v>
      </c>
      <c r="G808" s="146">
        <f t="shared" si="30"/>
        <v>0.11965811965811966</v>
      </c>
      <c r="H808" s="142" t="str">
        <f t="shared" si="29"/>
        <v>Se realizaron las siguientes actividades en cumplimiento de la meta
- Siete (7) operativos (5 Op. de sensibilización y 2 Op. de Control) - 87 establecimientos
- Cinco (5) visitas a elementos mayores (vallas tubulares): (3 visitas de evaluación y 2 visitas de control y seguimiento)
- Un (1) documento técnico: 1 Concepto técnico 
- Quince (15) visitas a elementos menores
- Cero (0) actuaciones técnicas de evaluación de elementos de publicidad de la vigencia.
La Meta del proyecto de Inversión presenta avance en el mes de Julio, toda vez que las acciones realizadas se ejecutaron al comienzo del mes de Julio con personal contratado vigente desde el mes de marzo de 2020 y aun en el Plan de Desarrollo BMPT.</v>
      </c>
      <c r="I808" s="183"/>
    </row>
    <row r="809" spans="1:9" s="144" customFormat="1" ht="49.9" hidden="1" customHeight="1" outlineLevel="1" x14ac:dyDescent="0.25">
      <c r="A809" s="635"/>
      <c r="B809" s="138" t="s">
        <v>453</v>
      </c>
      <c r="C809" s="47" t="s">
        <v>447</v>
      </c>
      <c r="D809" s="161">
        <v>0.1</v>
      </c>
      <c r="E809" s="162">
        <v>1</v>
      </c>
      <c r="F809" s="162">
        <v>1</v>
      </c>
      <c r="G809" s="146">
        <f t="shared" si="30"/>
        <v>1</v>
      </c>
      <c r="H809" s="142" t="str">
        <f t="shared" si="29"/>
        <v>Durante julio, se atendió el 100% de los conceptos técnicos que recomendaron actuación administrativa sancionatoria, obteniendo el siguiente avance: 
Julio 2020:
N° de Conceptos Técnicos que recomiendan actuaciones administrativas sancionatorias: 13
N° de Conceptos Técnicos atendidos jurídicamente: 13
Total, avance meta julio 2020: 100 % 
Es importante aclarar que los avances en la magnitud de la meta están sujetos a la demanda de conceptos técnicos que genere el área técnica para ser acogidos jurídicamente; por lo tanto, el porcentaje de la magnitud programada es a 100% de conformidad con el volumen de conceptos recibidos durante el periodo.
La Meta del proyecto de Inversión presenta avance en el mes de Julio, toda vez que las actuaciones realizadas se ejecutaron al comienzo del mes de Julio con personal contratado vigente desde el mes de marzo de 2020 y aun en el Plan de Desarrollo BMPT.</v>
      </c>
      <c r="I809" s="183"/>
    </row>
    <row r="810" spans="1:9" s="144" customFormat="1" ht="49.9" hidden="1" customHeight="1" outlineLevel="1" x14ac:dyDescent="0.25">
      <c r="A810" s="634" t="s">
        <v>129</v>
      </c>
      <c r="B810" s="138" t="s">
        <v>446</v>
      </c>
      <c r="C810" s="47" t="s">
        <v>447</v>
      </c>
      <c r="D810" s="161">
        <v>0.15</v>
      </c>
      <c r="E810" s="139">
        <v>20</v>
      </c>
      <c r="F810" s="139">
        <v>20</v>
      </c>
      <c r="G810" s="146">
        <f t="shared" si="30"/>
        <v>1</v>
      </c>
      <c r="H810" s="142" t="str">
        <f t="shared" si="29"/>
        <v xml:space="preserve">"Para el mes de julio, se realizó los mantenimientos preventivos y correctivos, se realizó la validación diaria de los datos de concentraciones de contaminantes criterio y parámetros meteorológicos que monitorea la RMCAB, el reporte de operatividad para el mes fue del 95,1%. Se realizó el análisis de datos del mes de junio para plasmarlo en el informe de calidad del aire. Asimismo, en el mes de julio de 2020 se elaboró y publicó el informe mensual de junio.
Para el mes de agosto, se realizó los mantenimientos preventivos y correctivos, se realizó la validación diaria de los datos de concentraciones de contaminantes criterio y parámetros meteorológicos que monitorea la RMCAB, el reporte de operatividad para el mes fue del 93,2%. Se realizó el análisis de datos del mes de julio para plasmarlo en el informe de calidad del aire, el informe mensual de julio se publicará a más tardar el 14 de septiembre, debido a los retrasos generados por la reducción de la capacidad operativa del personal durante la primera mitad de agosto."
</v>
      </c>
      <c r="I810" s="183"/>
    </row>
    <row r="811" spans="1:9" s="144" customFormat="1" ht="49.9" hidden="1" customHeight="1" outlineLevel="1" x14ac:dyDescent="0.25">
      <c r="A811" s="635"/>
      <c r="B811" s="138" t="s">
        <v>448</v>
      </c>
      <c r="C811" s="47" t="s">
        <v>447</v>
      </c>
      <c r="D811" s="161">
        <v>0.15</v>
      </c>
      <c r="E811" s="162">
        <v>4</v>
      </c>
      <c r="F811" s="162">
        <v>0.90500000000000003</v>
      </c>
      <c r="G811" s="146">
        <f t="shared" si="30"/>
        <v>0.22625000000000001</v>
      </c>
      <c r="H811" s="142" t="str">
        <f t="shared" si="29"/>
        <v>En el marco de la gestión integral de la calidad del aire de Bogotá, se ha avanzado en la estructuración del contenido de 3 informes, los cuales son: 1. contenido en el cual se encuentra el cierre del PDDAB con los resultados respectivos de su implementación de 2010 a 2020, así como el contenido del plan estratégico para la gestión integral de la calidad del aire; 2. Definición del plan de trabajo con sus alcances teniendo en cuenta los 5 temas estratégicos definidos, avanzando en la concertación de las acciones relacionadas con las mesas de trabajo para la actualización del IBOCA y los lineamientos de protocolos de actuación con la mesa de expertos de calidad del aire, entre otras acciones relacionadas con la gestión de la calidad del aire; 3. Validación de datos e información de inventarios realizada para el Informe Anual de Calidad del Aire Año 2019, como estructura general del documento.</v>
      </c>
      <c r="I811" s="183"/>
    </row>
    <row r="812" spans="1:9" s="144" customFormat="1" ht="49.9" hidden="1" customHeight="1" outlineLevel="1" x14ac:dyDescent="0.25">
      <c r="A812" s="635"/>
      <c r="B812" s="138" t="s">
        <v>449</v>
      </c>
      <c r="C812" s="47" t="s">
        <v>447</v>
      </c>
      <c r="D812" s="161">
        <v>0.15</v>
      </c>
      <c r="E812" s="162">
        <v>1</v>
      </c>
      <c r="F812" s="162">
        <v>0.1</v>
      </c>
      <c r="G812" s="146">
        <f t="shared" si="30"/>
        <v>0.1</v>
      </c>
      <c r="H812" s="142" t="str">
        <f t="shared" si="29"/>
        <v>Con el fin de construir el informe correspondiente al segundo semestre de 2020, se realizó intervención mediante la generación de actuaciones técnicas, producto de las visitas de Inspección Vigilancia, Control y Monitoreo generadas de la atención a PQRs,  y el ejercicio misional propio de la Entidad, mediante operativos internos, e interinstitucionales, acompañamientos a monitoreo de Fuentes Fijas de combustión externa y Fuentes Fijas de emisión por proceso así como operativos de medición en vía a vehículos que transitan en el Distrito Capital como parte del seguimiento y control ambiental a fuentes móviles, visitas técnicas de auditoria a Centros de Diagnóstico Automotor CDA'S  y la caracterización de procedimientos vigentes correspondientes al control y seguimiento de fuentes móviles.
Con esta información se adelanta la construcción del informe de acciones de evaluación, control y seguimiento a las fuentes fijas y móviles en el cual se reporta el avance de las actividades que desarrolla cada grupo, el cual habla de los objetivos la operatividad del grupo y los programas de autogestión aplicados durante la vigencia  semestre II 2020 teniendo en cuenta el control a los factores de deterioro ambiental  en pro de aportar a la meta plan de desarrollo de reducir en un 10% como promedio ponderado ciudad, la concentración de material partículado pm10 y pm2.5, mediante la implementación del plan de gestión integral de la calidad de aire. Alcanzando un 0.33% de la meta de gestión.</v>
      </c>
      <c r="I812" s="183"/>
    </row>
    <row r="813" spans="1:9" s="144" customFormat="1" ht="49.9" hidden="1" customHeight="1" outlineLevel="1" x14ac:dyDescent="0.25">
      <c r="A813" s="635"/>
      <c r="B813" s="138" t="s">
        <v>450</v>
      </c>
      <c r="C813" s="47" t="s">
        <v>447</v>
      </c>
      <c r="D813" s="161">
        <v>0.15</v>
      </c>
      <c r="E813" s="139">
        <v>362</v>
      </c>
      <c r="F813" s="139">
        <v>1</v>
      </c>
      <c r="G813" s="146">
        <f t="shared" si="30"/>
        <v>2.7624309392265192E-3</v>
      </c>
      <c r="H813" s="142" t="str">
        <f t="shared" si="29"/>
        <v>En cumplimiento a la meta plan de desarrollo planteada para el periodo de julio  2020, el área técnica de ruido realizó cinco (5) visitas técnicas, de las cuales una (1), corresponde a visita efectiva con medición, cuatro (4) visitas no efectivas por presencia de piso húmedo y/o presencia de lloviznas, las cuales, son objeto de reprogramación (articulo 20° Resolución 0627 de 2006) y tres (3) actuaciones técnicas correspondientes a otros documentos, dos (2) Conceptos Técnicos Aclaratorios y un (1) Concepto de Favorabilidad SUGA.  
Agosto 2020, el área técnica de ruido realizó un total de 1 visita técnica, correspondientes a visita no efectiva, la cual es objeto de reprogramación. 6 actuaciones técnicas correspondientes a otros documentos así; 1 comunicación oficial externa sin visita para finalizar el caso, 1 oficio relacionado con una petición en el marco del SUGA, 1 presentación en ppt para una socialización a realizar en la Cámara de Comercio de Bogotá y 3 documentos técnicos relacionados con informes mensuales de las Acciones Populares que cursan en materia de ruido para un sector de las localidades de Bosa, Antonio Nariño y Teusaquillo. 
Así, el acumulado para el II semestre del 2020 es de: 6 visitas técnicas; 1 visita efectiva con medición, 5 visitas no efectivas objeto de reprogramación. 9 actuaciones técnicas correspondientes a otros documentos, dos 2 conceptos técnicos aclaratorios, dos 2 documentos relacionados con SUGA, 1 comunicación oficial externa para finalizar caso de presunta afectación por emisión de ruido, 1 presentación técnica enviada, vía correo electrónico, dirigida a la Cámara de Comercio de Bogotá y 3 informes mensuales para las Acciones Populares mencionadas previamente.</v>
      </c>
      <c r="I813" s="183"/>
    </row>
    <row r="814" spans="1:9" s="144" customFormat="1" ht="49.9" hidden="1" customHeight="1" outlineLevel="1" x14ac:dyDescent="0.25">
      <c r="A814" s="635"/>
      <c r="B814" s="138" t="s">
        <v>451</v>
      </c>
      <c r="C814" s="47" t="s">
        <v>447</v>
      </c>
      <c r="D814" s="161">
        <v>0.15</v>
      </c>
      <c r="E814" s="162">
        <v>1</v>
      </c>
      <c r="F814" s="164">
        <v>1</v>
      </c>
      <c r="G814" s="146">
        <f t="shared" si="30"/>
        <v>1</v>
      </c>
      <c r="H814" s="142" t="str">
        <f t="shared" si="29"/>
        <v>Para el presente periodo, se programaron y realizaron visitas técnicas con la Empresa de Telecomunicaciones de Bogotá (ETB), para la instalación de tendido, configuración y puesta en marcha de servicio de internet por canal dedicado de las estaciones de la Red de Monitoreo de Ruido Ambiental de Bogotá (RMRAB) ubicadas en el CAI Las Ferias, CAI Quirigua y CAI Normandía. 
Asimismo, se participó en las reuniones de seguimiento programadas por los profesionales del laboratorio ambiental de la SDA – LABCIMAB, en donde se programa la presentación de plan de capacitaciones, proyección de matriz de equipos activos, cartas control y demás documentos necesarios para la acreditación en la matriz aire – ruido – ruido ambiental ante el IDEAM.</v>
      </c>
      <c r="I814" s="183"/>
    </row>
    <row r="815" spans="1:9" s="144" customFormat="1" ht="49.9" hidden="1" customHeight="1" outlineLevel="1" x14ac:dyDescent="0.25">
      <c r="A815" s="635"/>
      <c r="B815" s="138" t="s">
        <v>452</v>
      </c>
      <c r="C815" s="47" t="s">
        <v>447</v>
      </c>
      <c r="D815" s="161">
        <v>0.15</v>
      </c>
      <c r="E815" s="163">
        <v>234</v>
      </c>
      <c r="F815" s="163">
        <v>18</v>
      </c>
      <c r="G815" s="146">
        <f t="shared" si="30"/>
        <v>7.6923076923076927E-2</v>
      </c>
      <c r="H815" s="142" t="str">
        <f t="shared" si="29"/>
        <v>Para la vigencia del Proyecto de Inversión se han realizado (46) acciones de evaluación, control y seguimiento:
            Trece (13) operativos de control y seguimiento, Nueve (09) visitas a elementos mayores, Un (1) documento técnico, Veintitrés (23)  visitas a elementos menores.
JULIO: Se realizaron veintiocho (28) actividades en cumplimiento de la meta
- Siete (7) operativos (5 Op. de sensibilización y 2 Op. de Control) - 87 establecimientos
- Cinco (5) visitas a elementos mayores (vallas tubulares)
- Un (1) documento técnico: 1 Concepto técnico 
- Quince (15) visitas a elementos menores
AGOSTO: se realizaron dieciocho (18) acciones en cumplimiento de la meta
- Seis (06) operativos (03 Op. de control y 03 Op. de sensibilización) - 45 establecimientos.
- Cuatro (04) visitas a elementos mayores (vallas tubulares).
- Ocho (08) visitas a elementos menores de PEV.
Nota: La información de evaluación a elementos de Publicidad Exterior Visual se reporta trimestralmente</v>
      </c>
      <c r="I815" s="183"/>
    </row>
    <row r="816" spans="1:9" s="144" customFormat="1" ht="49.9" hidden="1" customHeight="1" outlineLevel="1" x14ac:dyDescent="0.25">
      <c r="A816" s="635"/>
      <c r="B816" s="138" t="s">
        <v>453</v>
      </c>
      <c r="C816" s="47" t="s">
        <v>447</v>
      </c>
      <c r="D816" s="161">
        <v>0.1</v>
      </c>
      <c r="E816" s="162">
        <v>1</v>
      </c>
      <c r="F816" s="164">
        <v>1</v>
      </c>
      <c r="G816" s="146">
        <f t="shared" si="30"/>
        <v>1</v>
      </c>
      <c r="H816" s="142" t="str">
        <f t="shared" si="29"/>
        <v>Para el cumplimiento de las regulaciones asociadas al control de los factores de deterioro de calidad del aire, acústica y visual del Distrito Capital, la Secretaría Distrital de Ambiente durante el mes de Agosto atendió el 100% de los conceptos técnicos que recomiendan una actuación administrativa sancionatoria, obteniendo el siguiente avance: 
Agosto 2020 
N° de Conceptos Técnicos que recomiendan actuaciones administrativas sancionatorias: 13 (Conceptos Técnicos No 6572, 7991, 569, 6322, 13400, 8356, 1360, 8126, 8784, 4927, 7458, 11323, 2092).  
N° de Conceptos Técnicos atendidos jurídicamente: 13 (AUTO N. AUTO DCA-02819-AUTO DCA-02820-AUTO DCA-02821-AUTO DCA-02822-AUTO DCA-02824-AUTO DCA-02861-AUTO DCA-02869-AUTO DCA 02878
AUTO DCA-02882-AUTO DCA-02883-AUTO DCA-02902-AUTO DCA-02903-AUTO DCA-02904)
Total, avance meta Agosto 2020: 100 % 
Por último, es importante tener presente que los avances en la magnitud de la meta están sujetos a la demanda de conceptos técnicos que remitan las áreas para ser acogidos jurídicamente; por lo tanto, el porcentaje de la magnitud programada corresponde al 100%.</v>
      </c>
      <c r="I816" s="183"/>
    </row>
    <row r="817" spans="1:9" s="144" customFormat="1" ht="49.9" hidden="1" customHeight="1" outlineLevel="1" x14ac:dyDescent="0.25">
      <c r="A817" s="634" t="s">
        <v>130</v>
      </c>
      <c r="B817" s="138" t="s">
        <v>446</v>
      </c>
      <c r="C817" s="47" t="s">
        <v>447</v>
      </c>
      <c r="D817" s="161">
        <v>0.15</v>
      </c>
      <c r="E817" s="139">
        <v>20</v>
      </c>
      <c r="F817" s="139">
        <v>20</v>
      </c>
      <c r="G817" s="146">
        <f t="shared" si="30"/>
        <v>1</v>
      </c>
      <c r="H817" s="142" t="str">
        <f t="shared" si="29"/>
        <v>Para el mes de septiembre el porcentaje de cumplimiento para este indicador es del 100%, basado en: se realizó el reporte de los mantenimientos preventivos y correctivos que se realizaron en el mes, se realizó la validación diaria de los datos de concentraciones de contaminantes criterio y parámetros meteorológicos que monitorea la RMCAB, el reporte de operatividad para el mes de septiembre fue del 95,7%. (el cual es promedio de los datos validos de todos los parámetros de la red  que se genera a través del software Envista).
Se realizó el análisis de datos del mes de agosto de 2020 y del Trimestre abr-jun 2020. Asimismo, el equipo de la RMCAB en el mes de septiembre elaboró y publicó el informe mensual de agosto y el informe Trimestral abr-jun 2020, adicionalmente se publico el informe mensual de julio que estaba retrasado. Se mantiene el proceso de validación de los datos generados por las nuevas estaciones y los equipos, se solicito la activación de las estaciones nuevas (El Jazmín, Usme y Bosa) en el Envista Web. 
De acuerdo con la tipología constante de la meta se presenta un avance acumulado del 100% para la vigencia.</v>
      </c>
      <c r="I817" s="183"/>
    </row>
    <row r="818" spans="1:9" s="144" customFormat="1" ht="49.9" hidden="1" customHeight="1" outlineLevel="1" x14ac:dyDescent="0.25">
      <c r="A818" s="635"/>
      <c r="B818" s="138" t="s">
        <v>448</v>
      </c>
      <c r="C818" s="47" t="s">
        <v>447</v>
      </c>
      <c r="D818" s="161">
        <v>0.15</v>
      </c>
      <c r="E818" s="162">
        <v>4</v>
      </c>
      <c r="F818" s="162">
        <v>0.9</v>
      </c>
      <c r="G818" s="146">
        <f t="shared" si="30"/>
        <v>0.22500000000000001</v>
      </c>
      <c r="H818" s="142" t="str">
        <f t="shared" si="29"/>
        <v>En el marco de la gestión integral de la calidad del aire de Bogotá, durante la vigencia en el Proyecto de Inversión se ha avanzado en la estructuración del contenido de 3 informes, los cuales son: 
1. Avance en el desarrollo del documento técnico el cual contiene los resultados y se evidencian las acciones realizadas en el marco del PDDAB de 2010 a 2019 con los indicadores de seguimiento, resultados de las medidas optimas y medidas complementarias. 
2. El documento con las metodologías utilizadas para la estimación de los inventarios de emisión que contemplan enfoques Top-Down y Bottom-Up. Mientras que el primer enfoque utiliza información en un rango de tiempo y zona específica (lo cual es ideal para tener un panorama general del estado de las emisiones a nivel ciudad); el segundo permite desagregar temporal y espacialmente las emisiones, útil para ejercicios de modelación detallada de la calidad del aire.  
3. El documento técnico que recopila las acciones orientados a la definición de los protocolos de actuaciones de alertas ambientales, adelantando además las etapas para la definición y adopción del nuevo IBOCA de acuerdo con lo estipulado por la Resolución 2254 de 2017, adicionalmente se ha nutrido diferentes espacios de gobernanza con temas de articulación entre la SDS y SDA, así como instancia de participación con mesas de expertos, entre otros.
Se presenta un avance acumulado del 25% de la meta para la vigencia 2020. Y del 3,45% para el Cuatrienio.</v>
      </c>
      <c r="I818" s="183"/>
    </row>
    <row r="819" spans="1:9" s="144" customFormat="1" ht="49.9" hidden="1" customHeight="1" outlineLevel="1" x14ac:dyDescent="0.25">
      <c r="A819" s="635"/>
      <c r="B819" s="138" t="s">
        <v>449</v>
      </c>
      <c r="C819" s="47" t="s">
        <v>447</v>
      </c>
      <c r="D819" s="161">
        <v>0.15</v>
      </c>
      <c r="E819" s="162">
        <v>1</v>
      </c>
      <c r="F819" s="162">
        <v>0.01</v>
      </c>
      <c r="G819" s="146">
        <f t="shared" si="30"/>
        <v>0.01</v>
      </c>
      <c r="H819" s="142" t="str">
        <f t="shared" si="29"/>
        <v>A este corte, se ha avanzado un 0.34% del informe programado en la vigencia, basado en las actividades de recolección de la información de las acciones de seguimiento y control de los grupos de fuentes fijas y fuentes móviles. Este documento  contendrá la presentación del estado del arte de los grupos competentes, descripción de la metodología desarrollada en las acciones de evaluación, seguimiento, control y monitoreo realizadas, con la cual se podrá determinar la toma de decisiones a nivel jurídico y la formulación de proyectos en el marco de la disminución los índices de contaminación ambiental.</v>
      </c>
      <c r="I819" s="183"/>
    </row>
    <row r="820" spans="1:9" s="144" customFormat="1" ht="49.9" hidden="1" customHeight="1" outlineLevel="1" x14ac:dyDescent="0.25">
      <c r="A820" s="635"/>
      <c r="B820" s="138" t="s">
        <v>450</v>
      </c>
      <c r="C820" s="47" t="s">
        <v>447</v>
      </c>
      <c r="D820" s="161">
        <v>0.15</v>
      </c>
      <c r="E820" s="139">
        <v>362</v>
      </c>
      <c r="F820" s="139">
        <v>65</v>
      </c>
      <c r="G820" s="146">
        <f t="shared" si="30"/>
        <v>0.17955801104972377</v>
      </c>
      <c r="H820" s="142" t="str">
        <f t="shared" si="29"/>
        <v>A 30 de septiembre, se han realizado 120 acciones, equivalentes a: 71 visitas técnicas (8 visitas efectivas con medición, 44 visitas efectivas para cerrar el caso y 19 visitas no efectivas objeto de reprogramación), así como 49 actuaciones técnicas de otros documentos (2 conceptos técnicos aclaratorios, 1 comunicación oficial externa para finalizar caso de presunta afectación por emisión de ruido, 1 presentación técnica enviada, dirigida a la Cámara de Comercio de Bogotá, 15 oficios SUGA, 6 Informes de acciones populares, 1 evaluación de estudio de ruido, 2 participaciones WEBINAR MADS, 19 capacitaciones a los gestores de la OPEL, 1 Socialización a la CAL Mártires, 1 informe para la CAL de Tunjuelito).
Acumulado de 120 equivalente al 28,17% de avance en la vigencia.</v>
      </c>
      <c r="I820" s="183"/>
    </row>
    <row r="821" spans="1:9" s="144" customFormat="1" ht="49.9" hidden="1" customHeight="1" outlineLevel="1" x14ac:dyDescent="0.25">
      <c r="A821" s="635"/>
      <c r="B821" s="138" t="s">
        <v>451</v>
      </c>
      <c r="C821" s="47" t="s">
        <v>447</v>
      </c>
      <c r="D821" s="161">
        <v>0.15</v>
      </c>
      <c r="E821" s="162">
        <v>1</v>
      </c>
      <c r="F821" s="164">
        <v>1</v>
      </c>
      <c r="G821" s="146">
        <f t="shared" si="30"/>
        <v>1</v>
      </c>
      <c r="H821" s="142" t="str">
        <f t="shared" si="29"/>
        <v>A este corte, se presenta un avance del 100%, que equivalen a: 1) Visitas técnicas de evaluación de daños a 11 de las estaciones de monitoreo de ruido ambiental que se vieron involucradas en los desmanes ocurridos en los CAI, los días 09 y 10 de septiembre de 2020, y 2) Visitas de mantenimiento preventivo a 20 de las estaciones que componen el sistema. (En caso que se tengan las cantidades de visitas, por favor enunciarlas).</v>
      </c>
      <c r="I821" s="183"/>
    </row>
    <row r="822" spans="1:9" s="144" customFormat="1" ht="49.9" hidden="1" customHeight="1" outlineLevel="1" x14ac:dyDescent="0.25">
      <c r="A822" s="635"/>
      <c r="B822" s="138" t="s">
        <v>452</v>
      </c>
      <c r="C822" s="47" t="s">
        <v>447</v>
      </c>
      <c r="D822" s="161">
        <v>0.15</v>
      </c>
      <c r="E822" s="162">
        <v>234</v>
      </c>
      <c r="F822" s="163">
        <v>146</v>
      </c>
      <c r="G822" s="146">
        <f t="shared" si="30"/>
        <v>0.62393162393162394</v>
      </c>
      <c r="H822" s="142" t="str">
        <f t="shared" si="29"/>
        <v>Para la vigencia del Proyecto de Inversión se han realizado (192) acciones de evaluación, control y seguimiento:
- Veintiocho (28) operativos de control y seguimiento
- Cincuenta y tres (53) visitas a elementos mayores
- Dos (02) documentos técnicos
- Un (01) cargue de información a la plataforma SIIPEV.
- Cincuenta y cinco (55) evaluaciones a solicitudes de elementos de publicidad exterior visual.
- Cincuenta y tres (53) visitas a elementos menores.
Correspondiente a un avance en la meta para la vigencia del 82,05%, y un avance en la meta del cuatrienio del 4,8%.</v>
      </c>
      <c r="I822" s="183"/>
    </row>
    <row r="823" spans="1:9" s="144" customFormat="1" ht="49.9" hidden="1" customHeight="1" outlineLevel="1" x14ac:dyDescent="0.25">
      <c r="A823" s="635"/>
      <c r="B823" s="138" t="s">
        <v>453</v>
      </c>
      <c r="C823" s="47" t="s">
        <v>447</v>
      </c>
      <c r="D823" s="161">
        <v>0.1</v>
      </c>
      <c r="E823" s="162">
        <v>1</v>
      </c>
      <c r="F823" s="164">
        <v>1</v>
      </c>
      <c r="G823" s="146">
        <f t="shared" si="30"/>
        <v>1</v>
      </c>
      <c r="H823" s="142" t="str">
        <f t="shared" si="29"/>
        <v>Para el cumplimiento de las regulaciones asociadas al control de los factores de deterioro de calidad del Aire, Auditiva y Visual del Distrito Capital, la Secretaría Distrital de Ambiente durante el trimestre, se atendió el 100% de los conceptos técnicos que recomiendan una actuación Administrativa Sancionatoria, obteniendo el siguiente avance: 
•	N° de Conceptos Técnicos que recomiendan actuaciones administrativas sancionatorias: 146 
•	N° de Conceptos Técnicos atendidos jurídicamente: 146
Por último, es importante tener presente que los avances en la magnitud de la meta están sujetos a la demanda de conceptos técnicos que remitan las áreas para ser acogidos jurídicamente.</v>
      </c>
      <c r="I823" s="183"/>
    </row>
    <row r="824" spans="1:9" s="144" customFormat="1" ht="49.9" hidden="1" customHeight="1" outlineLevel="1" x14ac:dyDescent="0.25">
      <c r="A824" s="583" t="s">
        <v>131</v>
      </c>
      <c r="B824" s="138" t="s">
        <v>446</v>
      </c>
      <c r="C824" s="47" t="s">
        <v>447</v>
      </c>
      <c r="D824" s="146">
        <v>0.15</v>
      </c>
      <c r="E824" s="139">
        <v>20</v>
      </c>
      <c r="F824" s="139">
        <v>20</v>
      </c>
      <c r="G824" s="146">
        <f t="shared" si="30"/>
        <v>1</v>
      </c>
      <c r="H824" s="142" t="str">
        <f t="shared" si="29"/>
        <v>Durante la ejecución 2021, se han realizado mantenimientos preventivos y correctivos, validación y análisis de datos, diaria de las concentraciones de contaminantes criterio y parámetros meteorológicos que monitorea la RMCAB incluyendo nuevas estaciones en la red (Bolivia, Usme, Ciudad Bolívar, Bosa, Jazmín, Colina y Móvil Fontibón), así como sus respectivos informes. Además, se realizó la validación diaria de los datos de concentraciones de contaminantes criterio y parámetros meteorológicos que monitorea la red en las estaciones antiguas. Se mantuvo el plan de prueba de sensores de bajo costo.
Se realizó el análisis de datos del mes de marzo de 2021. 
Como parte del proceso de colaboración entre la Red de Monitoreo de Calidad del Aire de Bogotá – RMCAB y los diferentes actores en el establecimiento de esta red colaborativa de sensores de bajo costo se mantuvo la operación de los sensores instalados en la estación de Las ferias por parte del Colectivo CanAir.io, La Universidad Central y La Universidad Nacional. Adicionalmente, se mantiene en operación los sensores de bajo costo del Colectivo CanAir.io en la estación Kennedy y en la estación del Tunal.
Para el mes de Abril se realizó el análisis de datos del mes de marzo de 2021. Asimismo, el equipo de la RMCAB en el mes de abril publicó los informes de diciembre 2020, enero, febrero 2021 y el informe trimestral oct-dic 2020 que estaba retrasado y se avanzo en la elaboración del informe de marzo de 2021.</v>
      </c>
      <c r="I824" s="183"/>
    </row>
    <row r="825" spans="1:9" s="144" customFormat="1" ht="49.9" hidden="1" customHeight="1" outlineLevel="1" x14ac:dyDescent="0.25">
      <c r="A825" s="583"/>
      <c r="B825" s="138" t="s">
        <v>448</v>
      </c>
      <c r="C825" s="47" t="s">
        <v>447</v>
      </c>
      <c r="D825" s="146">
        <v>0.15</v>
      </c>
      <c r="E825" s="162">
        <v>4</v>
      </c>
      <c r="F825" s="162">
        <v>1</v>
      </c>
      <c r="G825" s="146">
        <f t="shared" si="30"/>
        <v>0.25</v>
      </c>
      <c r="H825" s="142" t="str">
        <f t="shared" si="29"/>
        <v>En el marco de la gestión integral de la calidad del aire de Bogotá, hasta la fecha se ha venido trabajando en el desarrollo de 3 documentos técnicos, los cuales son: 
1.	Revisión y ajuste al documento técnico de Plan Aire, así mismo, su envió a las diferentes secretarias firmantes para su respectiva revisión y firma del Decreto Distrital del Plan Aire y posteriormente, remisión del documento técnico, anexos y Decreto del Plan aire a la alcaldía mayor de Bogotá.
2.	Suscripción entre la SDA y SDS de la Resolución por la cual se establece el nuevo “Índice Bogotano de Calidad del Aire y Riesgo en salud - IBOCA- para la gestión conjunta del riesgo de deterioro del ambiente y de salud humana”. Así mismo, en relación con el Plan de Contingencia y Emergencia Distrital por contaminación atmosférica para la atención de eventos por contaminación atmosférica fue remitido para su revisión al IDIGER.
3.	Adición de los resultados gráficos de modelación y calidad del aire al primer informe de modelación, de igual manera, se han enlistado las posibilidades de mejoras del Sistema Integrado de Modelación de Calidad de Aire.
Este avance de uno (1,6) en términos numéricos, corresponde a:
•	Enero 0,2.
•	Febrero 0,25.
•	Marzo 0,55 
•	Abril 0,60; de avance en el Informe de gestión de la vigencia 2021.</v>
      </c>
      <c r="I825" s="183"/>
    </row>
    <row r="826" spans="1:9" s="144" customFormat="1" ht="49.9" hidden="1" customHeight="1" outlineLevel="1" x14ac:dyDescent="0.25">
      <c r="A826" s="583"/>
      <c r="B826" s="138" t="s">
        <v>449</v>
      </c>
      <c r="C826" s="47" t="s">
        <v>447</v>
      </c>
      <c r="D826" s="146">
        <v>0.15</v>
      </c>
      <c r="E826" s="162">
        <v>1</v>
      </c>
      <c r="F826" s="162">
        <v>0.16819999999999999</v>
      </c>
      <c r="G826" s="146">
        <f t="shared" si="30"/>
        <v>0.16819999999999999</v>
      </c>
      <c r="H826" s="142" t="str">
        <f t="shared" si="29"/>
        <v>En el cumplimiento del (01) informes de gestión programados para la vigencia 2021; se ha alcanzado un avance acumulado en la ejecución de la meta del 0,51, equivalente a un 51% respecto a lo programado. 
Este avance está basado en las actividades de recolección de información de las acciones de evaluación, control y seguimiento de los grupos de fuentes fijas y fuentes móviles. También en la intervención mediante actuaciones técnicas, visitas de control y seguimiento, acompañamientos, monitoreos, operativos de medición en vía a vehículos que transitan en el Distrito Capital, visitas técnicas de auditoria a Centros de Diagnóstico Automotor CDA'S, con esta información se construyó el informe de acciones de evaluación, control y seguimiento a las fuentes de emisión.
El avance acumulado se registra, así:
•	Enero 0,15, de avance en la ejecución de la meta.
•	Febrero 0,11, de avance en la ejecución de la meta.
•	Marzo 0,10, de avance en la ejecución de la meta.
•Abril 0,15, de avance en la ejecución de la meta.</v>
      </c>
      <c r="I826" s="183"/>
    </row>
    <row r="827" spans="1:9" s="144" customFormat="1" ht="49.9" hidden="1" customHeight="1" outlineLevel="1" x14ac:dyDescent="0.25">
      <c r="A827" s="583"/>
      <c r="B827" s="138" t="s">
        <v>450</v>
      </c>
      <c r="C827" s="47" t="s">
        <v>447</v>
      </c>
      <c r="D827" s="146">
        <v>0.15</v>
      </c>
      <c r="E827" s="139">
        <v>362</v>
      </c>
      <c r="F827" s="139">
        <v>120</v>
      </c>
      <c r="G827" s="146">
        <f t="shared" si="30"/>
        <v>0.33149171270718231</v>
      </c>
      <c r="H827" s="142" t="str">
        <f t="shared" si="29"/>
        <v>Para la vigencia 2021, se han desarrollado 272 actuaciones técnicas que corresponde a un 30,46% respecto a lo programado, y a su vez, un avance del 16,23% durante el cuatrienio.
Este avance del 2021, se conforma de 205 visitas (25 efectivas con medición, 22 efectivas sin medición en cumplimiento a actos administrativos, 97 efectivas para cerrar el caso, 61 no efectivas para reprogramar) y 67 actuaciones técnicas correspondientes a otros documentos (8 informes de acciones populares, para las localidades de Antonio Nariño, Bosa y Teusaquillo, 1 concepto técnico aclaratorio, 52 oficios SUGA, 6 participaciones en reuniones interinstitucionales).</v>
      </c>
      <c r="I827" s="183"/>
    </row>
    <row r="828" spans="1:9" s="144" customFormat="1" ht="49.9" hidden="1" customHeight="1" outlineLevel="1" x14ac:dyDescent="0.25">
      <c r="A828" s="583"/>
      <c r="B828" s="138" t="s">
        <v>451</v>
      </c>
      <c r="C828" s="47" t="s">
        <v>447</v>
      </c>
      <c r="D828" s="146">
        <v>0.15</v>
      </c>
      <c r="E828" s="162">
        <v>1</v>
      </c>
      <c r="F828" s="162">
        <v>1</v>
      </c>
      <c r="G828" s="146">
        <f t="shared" si="30"/>
        <v>1</v>
      </c>
      <c r="H828" s="142" t="str">
        <f t="shared" si="29"/>
        <v>La meta presenta un avance del 100% para la vigencia, que corresponde a:
 *Enero 2021, se proyecta el informe relacionado con la operación de la Red de Monitoreo de Ruido Ambiental de Bogotá (RMRAB), en la cual, se reportan principalmente la realización de las actividades acreditación del procedimiento de monitoreo de ruido ambiental ante el IDEAM, actividades de soporte y mantenimiento realizado a las estaciones de monitoreo de ruido, espacialización de datos de emisión de ruido Colector - ESRI y se presentó el procedimiento interno de manejo de PQR´s a la secretaria de salud.
*Febrero: actividades, de soporte y mantenimiento realizado a las estaciones de monitoreo de ruido, y el avance en el proceso de instalación de las estaciones de la RMRAB afectadas durante protestas. contratación del personal para a la operación de la RMRAB.
*Marzo: Se genera informe de avance semestral del mes de marzo relacionado con la operación de la Red de Monitoreo de Ruido Ambiental de Bogotá (RMRAB) durante el primer trimestre del 2021 en la cual se reportan principalmente la realización de las actividades de soporte y mantenimiento realizado a las estaciones de monitoreo de ruido y el avance en el proceso de instalación de las estaciones de la RMRAB afectadas durante protestas, además se realizaron los estudios previos para la renovación de los contratos de arrendamiento y se realizó el análisis técnico de los datos reportados en el mes de enero en el visor WEB MAIGRAI, solicitudes de cotización pata la compra de software y solicitudes de cotizaciones para la calibración de equipos.   
                                                                                                                                                                                                                                          * Abril:  Se genera informe de avance semestral del mes de abril relacionado con la operación de la Red de Monitoreo de Ruido Ambiental de Bogotá (RMRAB) durante los cuatro primeros meses del 2021 en la cual se reportan principalmente la realización de las   actividades de soporte y mantenimiento  realizado a las estaciones de monitoreo de ruido y la instalación de las 10 estaciones de la RMRAB afectadas durante protestas, además se firmaron los estudios previos para la renovación de los contratos de arrendamiento y se realizó el análisis técnico de los datos reportados en el mes de enero en el visor MAIGRAI, e avanzo en la realización del estudio previo para la compra de un software de modelación acústica.</v>
      </c>
      <c r="I828" s="183"/>
    </row>
    <row r="829" spans="1:9" s="144" customFormat="1" ht="49.9" hidden="1" customHeight="1" outlineLevel="1" x14ac:dyDescent="0.25">
      <c r="A829" s="583"/>
      <c r="B829" s="138" t="s">
        <v>452</v>
      </c>
      <c r="C829" s="47" t="s">
        <v>447</v>
      </c>
      <c r="D829" s="146">
        <v>0.15</v>
      </c>
      <c r="E829" s="162">
        <v>234</v>
      </c>
      <c r="F829" s="162">
        <v>37</v>
      </c>
      <c r="G829" s="146">
        <f t="shared" si="30"/>
        <v>0.15811965811965811</v>
      </c>
      <c r="H829" s="142" t="str">
        <f t="shared" si="29"/>
        <v>Para la vigencia del Proyecto de Inversión del año 2021 se han realizado mil setecientas setenta y cuatro (1.501) acciones de evaluación, control y seguimiento:
Quince (15) operativos de control.
Cuarenta y ocho (48) visitas de evaluación a elementos mayores.
Uno (01) cargue de información a la plataforma SIIPEV.
Mil cuatrocientos treinta y siete(1.437) evaluaciones a solicitudes de elementos de publicidad exterior visual.
Lo anterior, dando un avance para el cuatrienio de (2.793)  acciones de evaluación, control y seguimiento 70 operativos de control y seguimiento,145 visitas a elementos mayores, 03 documentos técnicos, 05 cargues de información a la plataforma SIIPEV, 54 visitas a elementos menores, 2.516 evaluaciones a solicitudes de elementos de publicidad exterior visual.</v>
      </c>
      <c r="I829" s="183"/>
    </row>
    <row r="830" spans="1:9" s="144" customFormat="1" ht="49.9" hidden="1" customHeight="1" outlineLevel="1" x14ac:dyDescent="0.25">
      <c r="A830" s="583"/>
      <c r="B830" s="138" t="s">
        <v>453</v>
      </c>
      <c r="C830" s="47" t="s">
        <v>447</v>
      </c>
      <c r="D830" s="146">
        <v>0.1</v>
      </c>
      <c r="E830" s="162">
        <v>1</v>
      </c>
      <c r="F830" s="162">
        <v>1</v>
      </c>
      <c r="G830" s="146">
        <f t="shared" si="30"/>
        <v>1</v>
      </c>
      <c r="H830" s="142" t="str">
        <f t="shared" si="29"/>
        <v>La Secretaría Distrital de Ambiente del 01 de enero al 30 de abril de 2021 en ejercicio de su función sancionatoria acogió el 64% de los conceptos técnicos relacionados con el recurso ambiental aire, auditiva y visual y que recomiendan una actuación administrativa sancionatoria, como se relaciona a continuación: 
No de Conceptos Técnicos que recomiendan actuaciones administrativas sancionatorias: 108 Conceptos Técnicos.
No de Conceptos Técnicos atendidos jurídicamente: 69 Conceptos Técnicos acogidos
Avance total corte 30 de abril de 2021: 64%</v>
      </c>
      <c r="I830" s="183"/>
    </row>
    <row r="831" spans="1:9" s="144" customFormat="1" ht="49.9" hidden="1" customHeight="1" outlineLevel="1" x14ac:dyDescent="0.25">
      <c r="A831" s="617" t="s">
        <v>132</v>
      </c>
      <c r="B831" s="138" t="s">
        <v>446</v>
      </c>
      <c r="C831" s="47" t="s">
        <v>447</v>
      </c>
      <c r="D831" s="146">
        <v>0.15</v>
      </c>
      <c r="E831" s="139">
        <v>20</v>
      </c>
      <c r="F831" s="139">
        <v>20</v>
      </c>
      <c r="G831" s="146">
        <f t="shared" si="30"/>
        <v>1</v>
      </c>
      <c r="H831" s="145" t="str">
        <f t="shared" si="29"/>
        <v>De acuerdo con la tipología constante de la meta se presenta un avance acumulado del 100% para la vigencia 2020.  Se realizaron mantenimientos preventivos y correctivos, validación y análisis de datos, incluyendo nuevas estaciones en la RMCAB (Bolivia, Usme, Ciudad Bolívar, Bosa, Jazmín) se trabajó en integración SDA-CAR y en plan de prueba de sensores de bajo costo.
Para el mes de noviembre el porcentaje de cumplimiento para este indicador es del 98%, se realizó el reporte de los mantenimientos preventivos y correctivos que se realizaron en el mes, se realizó la validación diaria de los datos de concentraciones de contaminantes criterio y parámetros meteorológicos que monitorea la RMCAB, el reporte de operatividad para el mes de noviembre fue del 96,4%  el cual es promedio de los datos validos de todos los parámetros de la red  que se genera a través del software Envista. Se realizó el análisis de datos del mes de octubre de 2020. Asimismo, el equipo de la RMCAB en el mes de noviembre elaboró el informe mensual de octubre y lo publicó el 02 de diciembre. Se mantiene el proceso de validación de los datos generados por las nuevas estaciones y los equipos.
Avance acumulado en la ejecución de la meta 100%.</v>
      </c>
      <c r="I831" s="183"/>
    </row>
    <row r="832" spans="1:9" s="144" customFormat="1" ht="49.9" hidden="1" customHeight="1" outlineLevel="1" x14ac:dyDescent="0.25">
      <c r="A832" s="617"/>
      <c r="B832" s="138" t="s">
        <v>448</v>
      </c>
      <c r="C832" s="47" t="s">
        <v>447</v>
      </c>
      <c r="D832" s="146">
        <v>0.15</v>
      </c>
      <c r="E832" s="162">
        <v>4</v>
      </c>
      <c r="F832" s="162">
        <v>1</v>
      </c>
      <c r="G832" s="146">
        <f t="shared" si="30"/>
        <v>0.25</v>
      </c>
      <c r="H832" s="145" t="str">
        <f t="shared" si="29"/>
        <v>En el segundo semestre de 2020, con respecto a lo programado de la meta se tiene un avance del 75%, correspondiendo a 3 documentos técnicos para que al final del año se entreguen los 4 documentos totales, Con respecto al cuatrienio hay un avance del 10,3%, la descripción de las actividades realizadas para el mes de noviembre a continuación:
1.	se procedió a realizar la consolidación de la información de resultados logrados para cada uno de los proyectos, teniendo en cuenta el periodo de implementación definido para cada uno de estos en el marco de las reuniones y concertaciones realizadas, logrando capturar y consolidar la información y datos de los indicadores de resultados y gestión, específicamente lo relacionado con las estrategias sectoriales, ya que las mismas con identificadas como los sectores y fuentes que aportan en mayor proporción a las emisiones de material partículado en la ciudad.
Seguido, se realizó la descripción de la metodología de seguimiento y evaluación a cada uno de los proyectos, mencionada metodología será enfocada a aquellos proyectos que se encuentren en implementación, y mediante el cual se obtienen los resultados respectivos
2.	se realizó la consolidación de la información faltante del documento, en especial en los resultados de resuspendido, en donde se realiza el cálculo de las emisiones de este para el año 2018 y en el documento se realiza la explicación de este cálculo y los resultados encontrados para este año y sus impactos en la calidad de aire. Adicionalmente se realizan correcciones enviadas por el profesional a cargo de la revisión del documento para posteriormente ordenar el documento para la presentación del mes actual. En este documento las secciones que tendrá ejecución para el siguiente mes serán el resumen ejecutivo, conclusiones, y estética del documento, para su presentación final. 
3.	en el marco de la actualización normativa del IBOCA, se busca la armonización con la normatividad nacional, sin dejar a un lado el papel central en la gestión del riesgo que tiene este indicador. Con base en las discusiones y análisis adelantados entre la SDA y la SDS, se avanzó en el borrador del Documento Técnico de Soporte para la primera etapa de modificación normativa del IBOCA. Este documento se desarrolla con base en las justificaciones conceptuales, técnicas y jurídicas del borrador del articulado. En este documento se debe incluir el análisis retrospectivo de los nuevos niveles de alerta que sean definidos en dicha modificación normativa,
Seguidamente, y en el marco del proceso que debe surtir los protocolos de actuación frente a las alertas por calidad del aire, se están realizando las mesas de trabajo y concertación para los mismos, en ese sentido durante este mes de noviembre, se adelantaron diferentes espacios de trabajo para exponer los resultados de la modelación de restricciones para las fuentes fijas y fuentes móviles en la ciudad durante episodios de contaminación atmosférica. Uno de ellos es la articulación entre la Secretaria Distrital de Ambiente y la Secretaria Distrital de Movilidad, y también reuniones con la ANDI exponiendo los resultados de los escenarios de modelación para las fuentes fijas industriales en la ciudad.</v>
      </c>
      <c r="I832" s="183"/>
    </row>
    <row r="833" spans="1:9" s="144" customFormat="1" ht="49.9" hidden="1" customHeight="1" outlineLevel="1" x14ac:dyDescent="0.25">
      <c r="A833" s="617"/>
      <c r="B833" s="138" t="s">
        <v>449</v>
      </c>
      <c r="C833" s="47" t="s">
        <v>447</v>
      </c>
      <c r="D833" s="146">
        <v>0.15</v>
      </c>
      <c r="E833" s="162">
        <v>1</v>
      </c>
      <c r="F833" s="162">
        <v>0.20399999999999999</v>
      </c>
      <c r="G833" s="146">
        <f t="shared" si="30"/>
        <v>0.20399999999999999</v>
      </c>
      <c r="H833" s="145" t="str">
        <f t="shared" si="29"/>
        <v>El avance acumulado para la vigencia 2020 del cumplimiento en la ejecución de la meta es del 0.71% del informe programado esto basado en: las actividades de recolección de la información de las acciones de seguimiento y control de los grupos de fuentes fijas y fuentes móviles. 
El avance acumulado se registra, así:
•	Julio, 017% de avance en el Informe de gestión.
•	Agosto, 0,16% de avance en el Informe de gestión.
•	Septiembre, 0,01% de avance en el Informe de gestión.
•	Octubre, 0,17% de avance en el Informe de gestión.
Avance de Noviembre 0,20, basado en : Este documento contiene la presentación del estado del arte de los grupos competentes, descripción de la metodología desarrollada en las acciones de evaluación, seguimiento, control y monitoreo realizadas, con la cual se podrá determinar la toma de decisiones a nivel jurídico y la formulación de proyectos en el marco de la disminución los índices de contaminación ambiental.
Se registra el inicio de los monitoreos de fuentes fijas como laboratorio acreditado para la toma de muestras de los parámetros de NOx, SO2 y MP en las industrias objeto de control; se atienden las visitas de seguimiento de la autorización realizada por el IDEAM para cada uno de los programas de evaluación control y seguimiento de fuentes móviles. 
Así mismo, se realizan los seguimientos a empresas que son objeto de permiso de emisiones, operativos de medición en vía a vehículos que transitan en el Distrito Capital, visitas técnicas de auditoria a Centros de Diagnóstico Automotor CDA'S, vinculación de empresas al programa de autorregulación y requerimientos ambientales presentados por la ciudadanía.
Alcanzando un 71% del cumplimiento de la meta de inversión para la vigencia 2020.</v>
      </c>
      <c r="I833" s="183"/>
    </row>
    <row r="834" spans="1:9" s="144" customFormat="1" ht="49.9" hidden="1" customHeight="1" outlineLevel="1" x14ac:dyDescent="0.25">
      <c r="A834" s="617"/>
      <c r="B834" s="138" t="s">
        <v>450</v>
      </c>
      <c r="C834" s="47" t="s">
        <v>447</v>
      </c>
      <c r="D834" s="146">
        <v>0.15</v>
      </c>
      <c r="E834" s="139">
        <v>362</v>
      </c>
      <c r="F834" s="139">
        <v>120</v>
      </c>
      <c r="G834" s="146">
        <f t="shared" si="30"/>
        <v>0.33149171270718231</v>
      </c>
      <c r="H834" s="145" t="str">
        <f t="shared" si="29"/>
        <v>Para la vigencia 2020, se presenta un avance acumulado de la meta de cuatrocientas veintitrés (423) actuaciones, correspondientes al 99,30% de ejecución, es así: 
•	Julio; acciones de seguimiento y control de emisión de ruido; cinco (05) visitas y tres (03) documentos técnicos. Total, ocho (08) acciones.
•	Agosto; acciones de seguimiento y control de emisión de ruido; uno (01) visitas y seis (06) documentos técnicos. Total, siete (07) acciones.
•	Septiembre; acciones de seguimiento y control de emisión de ruido; sesenta y cinco (65) visitas y cuarenta (40) documentos técnicos. Total, ciento cinco (105) acciones.
•	Octubre; acciones de seguimiento y control de emisión de ruido; ciento veinte (120) visitas y veintiocho (28) documentos técnicos. Total, ciento cuarenta y ocho (148) acciones.
•	Noviembre; acciones de seguimiento y control de emisión de ruido; ciento veinte dos (122) visitas y treinta y tres (33) documentos técnicos. Total, ciento cincuenta y cinco acciones (155)
En general se distribuyen:
•	313 visitas técnicas (51 visitas efectivas con medición, 184 visitas efectivas para cerrar el caso y 78 visitas no efectivas (reprogramación).
•	110 actuaciones técnicas de otros documentos:
o	12 informes acciones populares
o	2 conceptos aclaratorios
o	1 presentación a la Cámara de Comercio de Bogotá
o	20 socializaciones OPEL
o	7 socializaciones CAL
o	1 socialización en mesa territorial
o	1 oficio de salida cerrando caso
o	3 estudios de ruido
o	2 WEBINAR con el MADS
o	1 informe CAL
o	60 oficios SUGA
Avance acumulado en la vigencia de 99,30%.</v>
      </c>
      <c r="I834" s="183"/>
    </row>
    <row r="835" spans="1:9" s="144" customFormat="1" ht="49.9" hidden="1" customHeight="1" outlineLevel="1" x14ac:dyDescent="0.25">
      <c r="A835" s="617"/>
      <c r="B835" s="138" t="s">
        <v>451</v>
      </c>
      <c r="C835" s="47" t="s">
        <v>447</v>
      </c>
      <c r="D835" s="146">
        <v>0.15</v>
      </c>
      <c r="E835" s="162">
        <v>1</v>
      </c>
      <c r="F835" s="162">
        <v>1</v>
      </c>
      <c r="G835" s="146">
        <f t="shared" si="30"/>
        <v>1</v>
      </c>
      <c r="H835" s="145" t="str">
        <f t="shared" si="29"/>
        <v>En cumplimiento la meta en la vigencia 2020, se presenta un avance del 100%, basado en el desarrollo de actividades así: (tipología de la Meta Constante)
Julio: se avanza en el informe técnico semestral en el cual se relacionan estadística y geográficamente, las empresas que tramitan reactivación económica ante la alcaldía mayor de Bogotá, a fin de clasificar y priorizar posibles establecimientos objeto de monitoreo de ruido, que sirvan de insumo para la identificación del %PUAR. Avance en el periodo 100%.
Agosto: Durante el presente periodo se avanza en la proyección del informe técnico semestral en el cual se incluyen los datos de las estaciones de la Red de Monitoreo de Ruido Ambiental de Bogotá (RMRAB) y los avances en la formulación de procedimiento de validación de los datos generados. Avance en el periodo 100%.
Septiembre: Para el presente periodo se avanza en la proyección del informe semestral de operación de la red de ruido del Distrito, dentro del cual se incluye reporte de siniestros en nueve (9) de las estaciones de monitoreo de ruido que fueron objeto de vandalismo durante las protestas ocurridas el 09 y 10 se septiembre. Avance en el periodo 100%.
Octubre: Durante el presente periodo se avanza con la proyección del informe semestral de operación de la Red de Monitoreo de Ruido Ambiental de Bogotá (RMRAB) en el cual se destacan la realización de las siguientes actividades: reporte de empresas que solicitaron reactivación económica por COVID 19, acreditación del procedimiento de monitoreo de ruido ambiental ante el IDEAM, soporte y mantenimiento a las estaciones de monitoreo de ruido, actualización del visor monitor web MAIGRAI. Avance en el periodo 100%.
Noviembre:  Para el presente mes, se avanza con la proyección del informe semestral de operación de la Red de Monitoreo de Ruido Ambiental de Bogotá (RMRAB) en el cual se reportan principalmente  la realización de las siguientes actividades: reporte de empresas que solicitaron reactivación económica por COVID 19, acreditación del procedimiento de monitoreo de ruido ambiental ante el IDEAM, actividades de soporte y mantenimiento  realizado a las estaciones de monitoreo de ruido, actualización del visor monitor web MAIGRAI , reporte de estaciones de la RMRAB afectadas durante protestas y espacialización de datos de emisión de ruido Colector-ESRI. 
Avance acumulado según la tipología de la meta es del 100% para la vigencia 2020.</v>
      </c>
      <c r="I835" s="183"/>
    </row>
    <row r="836" spans="1:9" s="144" customFormat="1" ht="49.9" hidden="1" customHeight="1" outlineLevel="1" x14ac:dyDescent="0.25">
      <c r="A836" s="617"/>
      <c r="B836" s="138" t="s">
        <v>452</v>
      </c>
      <c r="C836" s="47" t="s">
        <v>447</v>
      </c>
      <c r="D836" s="146">
        <v>0.15</v>
      </c>
      <c r="E836" s="162">
        <v>234</v>
      </c>
      <c r="F836" s="162">
        <v>0</v>
      </c>
      <c r="G836" s="146">
        <f t="shared" si="30"/>
        <v>0</v>
      </c>
      <c r="H836" s="145" t="str">
        <f t="shared" si="29"/>
        <v>Para la vigencia 2020 del Proyecto de Inversión se han realizado doscientas veinte nueve (229) acciones de evaluación, control y seguimiento, así:
•	Julio, 28 Acciones, avance de ejecución del 12%.
•	Agosto, 18 Acciones, avance de ejecución del 8%.
•	Septiembre, 136 Acciones, avance de ejecución del 62%.
•	Octubre, 37 Acciones, avance de ejecución del 16%.
•	Noviembre, No se realizaron acciones de evaluación sobre el resto del Distrito, se encaminaron a las Zonas de Alta Densidad.
Avance Acumulado 97,86%.</v>
      </c>
      <c r="I836" s="183"/>
    </row>
    <row r="837" spans="1:9" s="144" customFormat="1" ht="49.9" hidden="1" customHeight="1" outlineLevel="1" x14ac:dyDescent="0.25">
      <c r="A837" s="592"/>
      <c r="B837" s="138" t="s">
        <v>453</v>
      </c>
      <c r="C837" s="47" t="s">
        <v>447</v>
      </c>
      <c r="D837" s="146">
        <v>0.1</v>
      </c>
      <c r="E837" s="162">
        <v>1</v>
      </c>
      <c r="F837" s="162">
        <v>1</v>
      </c>
      <c r="G837" s="146">
        <f t="shared" si="30"/>
        <v>1</v>
      </c>
      <c r="H837" s="145" t="str">
        <f t="shared" si="29"/>
        <v>Para el cumplimiento de las regulaciones asociadas al control de los factores de deterioro de calidad del Aire, Auditiva y Visual del Distrito Capital, la Secretaría Distrital de Ambiente durante el periodo del 1 de julio al 30 de noviembre de 2020 atendió el 100% de los conceptos técnicos que recomiendan una actuación Administrativa Sancionatoria, obteniendo el siguiente avance: 
Julio 2020:
N° de Conceptos Técnicos que recomiendan actuaciones administrativas sancionatorias: 13 
N° de Conceptos Técnicos atendidos jurídicamente: 13
Agosto 2020
N° de Conceptos Técnicos que recomiendan actuaciones administrativas sancionatorias: 13 
N° de Conceptos Técnicos atendidos jurídicamente: 13.
Septiembre 2020
N° de Conceptos Técnicos que recomiendan actuaciones administrativas sancionatorias: 133
N° de Conceptos Técnicos atendidos jurídicamente: 133.
Octubre 2020
N° de Conceptos Técnicos que recomiendan actuaciones administrativas sancionatorias: 13
N° de Conceptos Técnicos atendidos jurídicamente: 13.
Noviembre 2020
N° de Conceptos Técnicos que recomiendan actuaciones administrativas sancionatorias: 04
N° de Conceptos Técnicos atendidos jurídicamente: 04.  
Total, avance meta Noviembre 2020: 100 %
Por último, es importante tener presente que los avances en la magnitud de la meta están sujetos a la demanda de conceptos técnicos que remitan los grupos técnicos para ser acogidos jurídicamente; por lo tanto, el porcentaje de la magnitud programada corresponde al 100%</v>
      </c>
      <c r="I837" s="183"/>
    </row>
    <row r="838" spans="1:9" s="144" customFormat="1" ht="55.15" hidden="1" customHeight="1" outlineLevel="1" x14ac:dyDescent="0.25">
      <c r="A838" s="619" t="s">
        <v>133</v>
      </c>
      <c r="B838" s="138" t="s">
        <v>446</v>
      </c>
      <c r="C838" s="47" t="s">
        <v>447</v>
      </c>
      <c r="D838" s="146">
        <v>0.15</v>
      </c>
      <c r="E838" s="139">
        <v>20</v>
      </c>
      <c r="F838" s="139">
        <v>20</v>
      </c>
      <c r="G838" s="146">
        <f t="shared" si="30"/>
        <v>1</v>
      </c>
      <c r="H838" s="142" t="s">
        <v>404</v>
      </c>
      <c r="I838" s="183"/>
    </row>
    <row r="839" spans="1:9" s="144" customFormat="1" ht="55.15" hidden="1" customHeight="1" outlineLevel="1" x14ac:dyDescent="0.25">
      <c r="A839" s="617"/>
      <c r="B839" s="138" t="s">
        <v>448</v>
      </c>
      <c r="C839" s="47" t="s">
        <v>447</v>
      </c>
      <c r="D839" s="146">
        <v>0.15</v>
      </c>
      <c r="E839" s="162">
        <v>4</v>
      </c>
      <c r="F839" s="162">
        <v>4</v>
      </c>
      <c r="G839" s="146">
        <f t="shared" si="30"/>
        <v>1</v>
      </c>
      <c r="H839" s="142" t="s">
        <v>405</v>
      </c>
      <c r="I839" s="183"/>
    </row>
    <row r="840" spans="1:9" s="144" customFormat="1" ht="55.15" hidden="1" customHeight="1" outlineLevel="1" x14ac:dyDescent="0.25">
      <c r="A840" s="617"/>
      <c r="B840" s="138" t="s">
        <v>449</v>
      </c>
      <c r="C840" s="47" t="s">
        <v>447</v>
      </c>
      <c r="D840" s="146">
        <v>0.15</v>
      </c>
      <c r="E840" s="162">
        <v>1</v>
      </c>
      <c r="F840" s="162">
        <v>1</v>
      </c>
      <c r="G840" s="146">
        <f t="shared" si="30"/>
        <v>1</v>
      </c>
      <c r="H840" s="142" t="s">
        <v>406</v>
      </c>
      <c r="I840" s="183"/>
    </row>
    <row r="841" spans="1:9" s="144" customFormat="1" ht="55.15" hidden="1" customHeight="1" outlineLevel="1" x14ac:dyDescent="0.25">
      <c r="A841" s="617"/>
      <c r="B841" s="138" t="s">
        <v>450</v>
      </c>
      <c r="C841" s="47" t="s">
        <v>447</v>
      </c>
      <c r="D841" s="146">
        <v>0.15</v>
      </c>
      <c r="E841" s="139">
        <v>362</v>
      </c>
      <c r="F841" s="139">
        <v>362</v>
      </c>
      <c r="G841" s="146">
        <f t="shared" si="30"/>
        <v>1</v>
      </c>
      <c r="H841" s="142" t="s">
        <v>407</v>
      </c>
      <c r="I841" s="183"/>
    </row>
    <row r="842" spans="1:9" s="144" customFormat="1" ht="55.15" hidden="1" customHeight="1" outlineLevel="1" x14ac:dyDescent="0.25">
      <c r="A842" s="617"/>
      <c r="B842" s="138" t="s">
        <v>451</v>
      </c>
      <c r="C842" s="47" t="s">
        <v>447</v>
      </c>
      <c r="D842" s="146">
        <v>0.15</v>
      </c>
      <c r="E842" s="162">
        <v>1</v>
      </c>
      <c r="F842" s="162">
        <v>1</v>
      </c>
      <c r="G842" s="146">
        <f t="shared" si="30"/>
        <v>1</v>
      </c>
      <c r="H842" s="142" t="s">
        <v>408</v>
      </c>
      <c r="I842" s="183"/>
    </row>
    <row r="843" spans="1:9" s="144" customFormat="1" ht="55.15" hidden="1" customHeight="1" outlineLevel="1" x14ac:dyDescent="0.25">
      <c r="A843" s="617"/>
      <c r="B843" s="138" t="s">
        <v>452</v>
      </c>
      <c r="C843" s="47" t="s">
        <v>447</v>
      </c>
      <c r="D843" s="146">
        <v>0.15</v>
      </c>
      <c r="E843" s="162">
        <v>1292</v>
      </c>
      <c r="F843" s="162">
        <v>1292</v>
      </c>
      <c r="G843" s="146">
        <f t="shared" si="30"/>
        <v>1</v>
      </c>
      <c r="H843" s="142" t="s">
        <v>409</v>
      </c>
      <c r="I843" s="183"/>
    </row>
    <row r="844" spans="1:9" s="144" customFormat="1" ht="55.15" hidden="1" customHeight="1" outlineLevel="1" x14ac:dyDescent="0.25">
      <c r="A844" s="592"/>
      <c r="B844" s="138" t="s">
        <v>453</v>
      </c>
      <c r="C844" s="47" t="s">
        <v>447</v>
      </c>
      <c r="D844" s="146">
        <v>0.1</v>
      </c>
      <c r="E844" s="162">
        <v>1</v>
      </c>
      <c r="F844" s="162">
        <v>1</v>
      </c>
      <c r="G844" s="146">
        <f t="shared" si="30"/>
        <v>1</v>
      </c>
      <c r="H844" s="142" t="s">
        <v>410</v>
      </c>
      <c r="I844" s="183"/>
    </row>
    <row r="845" spans="1:9" collapsed="1" x14ac:dyDescent="0.25"/>
    <row r="846" spans="1:9" ht="25.5" customHeight="1" x14ac:dyDescent="0.3">
      <c r="A846" s="614" t="s">
        <v>199</v>
      </c>
      <c r="B846" s="615"/>
      <c r="C846" s="615"/>
      <c r="D846" s="615"/>
      <c r="E846" s="615"/>
      <c r="F846" s="615"/>
      <c r="G846" s="615"/>
      <c r="H846" s="616"/>
    </row>
    <row r="847" spans="1:9" ht="53.25" customHeight="1" x14ac:dyDescent="0.25">
      <c r="A847" s="140" t="s">
        <v>49</v>
      </c>
      <c r="B847" s="37" t="s">
        <v>182</v>
      </c>
      <c r="C847" s="41" t="s">
        <v>148</v>
      </c>
      <c r="D847" s="41" t="s">
        <v>156</v>
      </c>
      <c r="E847" s="41" t="s">
        <v>201</v>
      </c>
      <c r="F847" s="41" t="s">
        <v>202</v>
      </c>
      <c r="G847" s="41" t="s">
        <v>203</v>
      </c>
      <c r="H847" s="37" t="s">
        <v>171</v>
      </c>
    </row>
    <row r="848" spans="1:9" ht="49.9" hidden="1" customHeight="1" outlineLevel="1" x14ac:dyDescent="0.25">
      <c r="A848" s="636" t="s">
        <v>135</v>
      </c>
      <c r="B848" s="138" t="s">
        <v>446</v>
      </c>
      <c r="C848" s="47" t="s">
        <v>447</v>
      </c>
      <c r="D848" s="146">
        <v>0.15</v>
      </c>
      <c r="E848" s="139">
        <v>20</v>
      </c>
      <c r="F848" s="139">
        <v>20</v>
      </c>
      <c r="G848" s="146">
        <f t="shared" ref="G848:G876" si="31">F848/E848</f>
        <v>1</v>
      </c>
      <c r="H848" s="142" t="s">
        <v>404</v>
      </c>
      <c r="I848" s="189"/>
    </row>
    <row r="849" spans="1:9" ht="49.9" hidden="1" customHeight="1" outlineLevel="1" x14ac:dyDescent="0.25">
      <c r="A849" s="637"/>
      <c r="B849" s="138" t="s">
        <v>448</v>
      </c>
      <c r="C849" s="47" t="s">
        <v>447</v>
      </c>
      <c r="D849" s="146">
        <v>0.15</v>
      </c>
      <c r="E849" s="162">
        <v>8</v>
      </c>
      <c r="F849" s="162">
        <v>0.2</v>
      </c>
      <c r="G849" s="146">
        <f t="shared" si="31"/>
        <v>2.5000000000000001E-2</v>
      </c>
      <c r="H849" s="142" t="s">
        <v>405</v>
      </c>
      <c r="I849" s="189"/>
    </row>
    <row r="850" spans="1:9" ht="49.9" hidden="1" customHeight="1" outlineLevel="1" x14ac:dyDescent="0.25">
      <c r="A850" s="637"/>
      <c r="B850" s="138" t="s">
        <v>449</v>
      </c>
      <c r="C850" s="47" t="s">
        <v>447</v>
      </c>
      <c r="D850" s="146">
        <v>0.15</v>
      </c>
      <c r="E850" s="162">
        <v>2</v>
      </c>
      <c r="F850" s="162">
        <v>0.15</v>
      </c>
      <c r="G850" s="146">
        <f t="shared" si="31"/>
        <v>7.4999999999999997E-2</v>
      </c>
      <c r="H850" s="142" t="s">
        <v>406</v>
      </c>
      <c r="I850" s="189"/>
    </row>
    <row r="851" spans="1:9" ht="49.9" hidden="1" customHeight="1" outlineLevel="1" x14ac:dyDescent="0.25">
      <c r="A851" s="637"/>
      <c r="B851" s="138" t="s">
        <v>450</v>
      </c>
      <c r="C851" s="47" t="s">
        <v>447</v>
      </c>
      <c r="D851" s="146">
        <v>0.15</v>
      </c>
      <c r="E851" s="139">
        <v>362</v>
      </c>
      <c r="F851" s="139">
        <v>10</v>
      </c>
      <c r="G851" s="146">
        <f t="shared" si="31"/>
        <v>2.7624309392265192E-2</v>
      </c>
      <c r="H851" s="142" t="s">
        <v>407</v>
      </c>
      <c r="I851" s="189"/>
    </row>
    <row r="852" spans="1:9" ht="49.9" hidden="1" customHeight="1" outlineLevel="1" x14ac:dyDescent="0.25">
      <c r="A852" s="637"/>
      <c r="B852" s="138" t="s">
        <v>451</v>
      </c>
      <c r="C852" s="47" t="s">
        <v>447</v>
      </c>
      <c r="D852" s="146">
        <v>0.15</v>
      </c>
      <c r="E852" s="162">
        <v>1</v>
      </c>
      <c r="F852" s="162">
        <v>1</v>
      </c>
      <c r="G852" s="146">
        <f t="shared" si="31"/>
        <v>1</v>
      </c>
      <c r="H852" s="142" t="s">
        <v>408</v>
      </c>
      <c r="I852" s="189"/>
    </row>
    <row r="853" spans="1:9" ht="49.9" hidden="1" customHeight="1" outlineLevel="1" x14ac:dyDescent="0.25">
      <c r="A853" s="637"/>
      <c r="B853" s="138" t="s">
        <v>452</v>
      </c>
      <c r="C853" s="47" t="s">
        <v>447</v>
      </c>
      <c r="D853" s="146">
        <v>0.15</v>
      </c>
      <c r="E853" s="162">
        <v>759</v>
      </c>
      <c r="F853" s="162">
        <v>278</v>
      </c>
      <c r="G853" s="146">
        <f t="shared" si="31"/>
        <v>0.3662714097496706</v>
      </c>
      <c r="H853" s="142" t="s">
        <v>409</v>
      </c>
      <c r="I853" s="189"/>
    </row>
    <row r="854" spans="1:9" ht="49.9" hidden="1" customHeight="1" outlineLevel="1" x14ac:dyDescent="0.25">
      <c r="A854" s="638"/>
      <c r="B854" s="138" t="s">
        <v>453</v>
      </c>
      <c r="C854" s="47" t="s">
        <v>447</v>
      </c>
      <c r="D854" s="146">
        <v>0.1</v>
      </c>
      <c r="E854" s="162">
        <v>1</v>
      </c>
      <c r="F854" s="162">
        <v>1</v>
      </c>
      <c r="G854" s="146">
        <f t="shared" si="31"/>
        <v>1</v>
      </c>
      <c r="H854" s="142" t="s">
        <v>410</v>
      </c>
      <c r="I854" s="189"/>
    </row>
    <row r="855" spans="1:9" ht="49.9" hidden="1" customHeight="1" outlineLevel="1" x14ac:dyDescent="0.25">
      <c r="A855" s="598" t="s">
        <v>136</v>
      </c>
      <c r="B855" s="138" t="s">
        <v>446</v>
      </c>
      <c r="C855" s="47" t="s">
        <v>447</v>
      </c>
      <c r="D855" s="146">
        <v>0.15</v>
      </c>
      <c r="E855" s="139">
        <v>20</v>
      </c>
      <c r="F855" s="139">
        <v>20</v>
      </c>
      <c r="G855" s="146">
        <f t="shared" si="31"/>
        <v>1</v>
      </c>
      <c r="H855" s="142" t="s">
        <v>411</v>
      </c>
      <c r="I855" s="189"/>
    </row>
    <row r="856" spans="1:9" ht="49.9" hidden="1" customHeight="1" outlineLevel="1" x14ac:dyDescent="0.25">
      <c r="A856" s="599"/>
      <c r="B856" s="138" t="s">
        <v>448</v>
      </c>
      <c r="C856" s="47" t="s">
        <v>447</v>
      </c>
      <c r="D856" s="146">
        <v>0.15</v>
      </c>
      <c r="E856" s="162">
        <v>8</v>
      </c>
      <c r="F856" s="162">
        <v>0.45</v>
      </c>
      <c r="G856" s="146">
        <f t="shared" si="31"/>
        <v>5.6250000000000001E-2</v>
      </c>
      <c r="H856" s="142" t="s">
        <v>412</v>
      </c>
      <c r="I856" s="189"/>
    </row>
    <row r="857" spans="1:9" ht="49.9" hidden="1" customHeight="1" outlineLevel="1" x14ac:dyDescent="0.25">
      <c r="A857" s="599"/>
      <c r="B857" s="138" t="s">
        <v>449</v>
      </c>
      <c r="C857" s="47" t="s">
        <v>447</v>
      </c>
      <c r="D857" s="146">
        <v>0.15</v>
      </c>
      <c r="E857" s="162">
        <v>2</v>
      </c>
      <c r="F857" s="162">
        <v>0.26</v>
      </c>
      <c r="G857" s="146">
        <f t="shared" si="31"/>
        <v>0.13</v>
      </c>
      <c r="H857" s="142" t="s">
        <v>413</v>
      </c>
      <c r="I857" s="189"/>
    </row>
    <row r="858" spans="1:9" ht="49.9" hidden="1" customHeight="1" outlineLevel="1" x14ac:dyDescent="0.25">
      <c r="A858" s="599"/>
      <c r="B858" s="138" t="s">
        <v>450</v>
      </c>
      <c r="C858" s="47" t="s">
        <v>447</v>
      </c>
      <c r="D858" s="146">
        <v>0.15</v>
      </c>
      <c r="E858" s="139">
        <v>362</v>
      </c>
      <c r="F858" s="139">
        <v>16</v>
      </c>
      <c r="G858" s="146">
        <f t="shared" si="31"/>
        <v>4.4198895027624308E-2</v>
      </c>
      <c r="H858" s="142" t="s">
        <v>461</v>
      </c>
      <c r="I858" s="189"/>
    </row>
    <row r="859" spans="1:9" ht="49.9" hidden="1" customHeight="1" outlineLevel="1" x14ac:dyDescent="0.25">
      <c r="A859" s="599"/>
      <c r="B859" s="138" t="s">
        <v>451</v>
      </c>
      <c r="C859" s="47" t="s">
        <v>447</v>
      </c>
      <c r="D859" s="146">
        <v>0.15</v>
      </c>
      <c r="E859" s="162">
        <v>1</v>
      </c>
      <c r="F859" s="162">
        <v>1</v>
      </c>
      <c r="G859" s="146">
        <f t="shared" si="31"/>
        <v>1</v>
      </c>
      <c r="H859" s="142" t="s">
        <v>415</v>
      </c>
      <c r="I859" s="189"/>
    </row>
    <row r="860" spans="1:9" ht="49.9" hidden="1" customHeight="1" outlineLevel="1" x14ac:dyDescent="0.25">
      <c r="A860" s="599"/>
      <c r="B860" s="138" t="s">
        <v>452</v>
      </c>
      <c r="C860" s="47" t="s">
        <v>447</v>
      </c>
      <c r="D860" s="146">
        <v>0.15</v>
      </c>
      <c r="E860" s="162">
        <v>759</v>
      </c>
      <c r="F860" s="162">
        <v>489</v>
      </c>
      <c r="G860" s="146">
        <f t="shared" si="31"/>
        <v>0.64426877470355737</v>
      </c>
      <c r="H860" s="142" t="s">
        <v>416</v>
      </c>
      <c r="I860" s="189"/>
    </row>
    <row r="861" spans="1:9" ht="49.9" hidden="1" customHeight="1" outlineLevel="1" x14ac:dyDescent="0.25">
      <c r="A861" s="605"/>
      <c r="B861" s="138" t="s">
        <v>453</v>
      </c>
      <c r="C861" s="47" t="s">
        <v>447</v>
      </c>
      <c r="D861" s="146">
        <v>0.1</v>
      </c>
      <c r="E861" s="162">
        <v>1</v>
      </c>
      <c r="F861" s="162">
        <v>1</v>
      </c>
      <c r="G861" s="146">
        <f t="shared" si="31"/>
        <v>1</v>
      </c>
      <c r="H861" s="142" t="s">
        <v>417</v>
      </c>
      <c r="I861" s="189"/>
    </row>
    <row r="862" spans="1:9" ht="49.9" hidden="1" customHeight="1" outlineLevel="1" x14ac:dyDescent="0.25">
      <c r="A862" s="598" t="s">
        <v>137</v>
      </c>
      <c r="B862" s="138" t="s">
        <v>446</v>
      </c>
      <c r="C862" s="47" t="s">
        <v>447</v>
      </c>
      <c r="D862" s="146">
        <v>0.15</v>
      </c>
      <c r="E862" s="139">
        <v>20</v>
      </c>
      <c r="F862" s="139">
        <v>20</v>
      </c>
      <c r="G862" s="146">
        <f t="shared" si="31"/>
        <v>1</v>
      </c>
      <c r="H862" s="159" t="s">
        <v>418</v>
      </c>
      <c r="I862" s="189"/>
    </row>
    <row r="863" spans="1:9" ht="49.9" hidden="1" customHeight="1" outlineLevel="1" x14ac:dyDescent="0.25">
      <c r="A863" s="599"/>
      <c r="B863" s="138" t="s">
        <v>448</v>
      </c>
      <c r="C863" s="47" t="s">
        <v>447</v>
      </c>
      <c r="D863" s="146">
        <v>0.15</v>
      </c>
      <c r="E863" s="162">
        <v>8</v>
      </c>
      <c r="F863" s="162">
        <v>1</v>
      </c>
      <c r="G863" s="146">
        <f t="shared" si="31"/>
        <v>0.125</v>
      </c>
      <c r="H863" s="159" t="s">
        <v>419</v>
      </c>
      <c r="I863" s="189"/>
    </row>
    <row r="864" spans="1:9" ht="49.9" hidden="1" customHeight="1" outlineLevel="1" x14ac:dyDescent="0.25">
      <c r="A864" s="599"/>
      <c r="B864" s="138" t="s">
        <v>449</v>
      </c>
      <c r="C864" s="47" t="s">
        <v>447</v>
      </c>
      <c r="D864" s="146">
        <v>0.15</v>
      </c>
      <c r="E864" s="162">
        <v>2</v>
      </c>
      <c r="F864" s="162">
        <v>0.36</v>
      </c>
      <c r="G864" s="146">
        <f t="shared" si="31"/>
        <v>0.18</v>
      </c>
      <c r="H864" s="159" t="s">
        <v>420</v>
      </c>
      <c r="I864" s="189"/>
    </row>
    <row r="865" spans="1:9" ht="49.9" hidden="1" customHeight="1" outlineLevel="1" x14ac:dyDescent="0.25">
      <c r="A865" s="599"/>
      <c r="B865" s="138" t="s">
        <v>450</v>
      </c>
      <c r="C865" s="47" t="s">
        <v>447</v>
      </c>
      <c r="D865" s="146">
        <v>0.15</v>
      </c>
      <c r="E865" s="139">
        <v>362</v>
      </c>
      <c r="F865" s="139">
        <v>16</v>
      </c>
      <c r="G865" s="146">
        <f t="shared" si="31"/>
        <v>4.4198895027624308E-2</v>
      </c>
      <c r="H865" s="159" t="s">
        <v>421</v>
      </c>
      <c r="I865" s="189"/>
    </row>
    <row r="866" spans="1:9" ht="49.9" hidden="1" customHeight="1" outlineLevel="1" x14ac:dyDescent="0.25">
      <c r="A866" s="599"/>
      <c r="B866" s="138" t="s">
        <v>451</v>
      </c>
      <c r="C866" s="47" t="s">
        <v>447</v>
      </c>
      <c r="D866" s="146">
        <v>0.15</v>
      </c>
      <c r="E866" s="162">
        <v>1</v>
      </c>
      <c r="F866" s="162">
        <v>1</v>
      </c>
      <c r="G866" s="146">
        <f t="shared" si="31"/>
        <v>1</v>
      </c>
      <c r="H866" s="159" t="s">
        <v>422</v>
      </c>
      <c r="I866" s="189"/>
    </row>
    <row r="867" spans="1:9" ht="49.9" hidden="1" customHeight="1" outlineLevel="1" x14ac:dyDescent="0.25">
      <c r="A867" s="599"/>
      <c r="B867" s="138" t="s">
        <v>452</v>
      </c>
      <c r="C867" s="47" t="s">
        <v>447</v>
      </c>
      <c r="D867" s="146">
        <v>0.15</v>
      </c>
      <c r="E867" s="162">
        <v>4707</v>
      </c>
      <c r="F867" s="162">
        <v>1326</v>
      </c>
      <c r="G867" s="146">
        <f t="shared" si="31"/>
        <v>0.28170809432759719</v>
      </c>
      <c r="H867" s="159" t="s">
        <v>423</v>
      </c>
      <c r="I867" s="189"/>
    </row>
    <row r="868" spans="1:9" ht="49.9" hidden="1" customHeight="1" outlineLevel="1" x14ac:dyDescent="0.25">
      <c r="A868" s="605"/>
      <c r="B868" s="138" t="s">
        <v>453</v>
      </c>
      <c r="C868" s="47" t="s">
        <v>447</v>
      </c>
      <c r="D868" s="146">
        <v>0.1</v>
      </c>
      <c r="E868" s="162">
        <v>1</v>
      </c>
      <c r="F868" s="162">
        <v>1</v>
      </c>
      <c r="G868" s="146">
        <f t="shared" si="31"/>
        <v>1</v>
      </c>
      <c r="H868" s="159" t="s">
        <v>424</v>
      </c>
      <c r="I868" s="189"/>
    </row>
    <row r="869" spans="1:9" ht="49.9" hidden="1" customHeight="1" outlineLevel="1" x14ac:dyDescent="0.25">
      <c r="A869" s="598" t="s">
        <v>138</v>
      </c>
      <c r="B869" s="138" t="s">
        <v>446</v>
      </c>
      <c r="C869" s="47" t="s">
        <v>447</v>
      </c>
      <c r="D869" s="146">
        <v>0.15</v>
      </c>
      <c r="E869" s="139">
        <v>20</v>
      </c>
      <c r="F869" s="139">
        <v>20</v>
      </c>
      <c r="G869" s="146">
        <f t="shared" si="31"/>
        <v>1</v>
      </c>
      <c r="H869" s="159"/>
      <c r="I869" s="189"/>
    </row>
    <row r="870" spans="1:9" ht="49.9" hidden="1" customHeight="1" outlineLevel="1" x14ac:dyDescent="0.25">
      <c r="A870" s="599"/>
      <c r="B870" s="138" t="s">
        <v>448</v>
      </c>
      <c r="C870" s="47" t="s">
        <v>447</v>
      </c>
      <c r="D870" s="146">
        <v>0.15</v>
      </c>
      <c r="E870" s="162">
        <v>6</v>
      </c>
      <c r="F870" s="162">
        <v>1.6</v>
      </c>
      <c r="G870" s="146">
        <f t="shared" si="31"/>
        <v>0.26666666666666666</v>
      </c>
      <c r="H870" s="159"/>
      <c r="I870" s="189"/>
    </row>
    <row r="871" spans="1:9" ht="49.9" hidden="1" customHeight="1" outlineLevel="1" x14ac:dyDescent="0.25">
      <c r="A871" s="599"/>
      <c r="B871" s="138" t="s">
        <v>449</v>
      </c>
      <c r="C871" s="47" t="s">
        <v>447</v>
      </c>
      <c r="D871" s="146">
        <v>0.15</v>
      </c>
      <c r="E871" s="162">
        <v>1</v>
      </c>
      <c r="F871" s="162">
        <v>0.51</v>
      </c>
      <c r="G871" s="146">
        <f t="shared" si="31"/>
        <v>0.51</v>
      </c>
      <c r="H871" s="159"/>
      <c r="I871" s="189"/>
    </row>
    <row r="872" spans="1:9" ht="49.9" hidden="1" customHeight="1" outlineLevel="1" x14ac:dyDescent="0.25">
      <c r="A872" s="599"/>
      <c r="B872" s="138" t="s">
        <v>450</v>
      </c>
      <c r="C872" s="47" t="s">
        <v>447</v>
      </c>
      <c r="D872" s="146">
        <v>0.15</v>
      </c>
      <c r="E872" s="139">
        <v>362</v>
      </c>
      <c r="F872" s="139">
        <v>16</v>
      </c>
      <c r="G872" s="146">
        <f t="shared" si="31"/>
        <v>4.4198895027624308E-2</v>
      </c>
      <c r="H872" s="159"/>
      <c r="I872" s="189"/>
    </row>
    <row r="873" spans="1:9" ht="49.9" hidden="1" customHeight="1" outlineLevel="1" x14ac:dyDescent="0.25">
      <c r="A873" s="599"/>
      <c r="B873" s="138" t="s">
        <v>451</v>
      </c>
      <c r="C873" s="47" t="s">
        <v>447</v>
      </c>
      <c r="D873" s="146">
        <v>0.15</v>
      </c>
      <c r="E873" s="162">
        <v>1</v>
      </c>
      <c r="F873" s="162">
        <v>1</v>
      </c>
      <c r="G873" s="146">
        <f t="shared" si="31"/>
        <v>1</v>
      </c>
      <c r="H873" s="159"/>
      <c r="I873" s="189"/>
    </row>
    <row r="874" spans="1:9" ht="49.9" hidden="1" customHeight="1" outlineLevel="1" x14ac:dyDescent="0.25">
      <c r="A874" s="599"/>
      <c r="B874" s="138" t="s">
        <v>452</v>
      </c>
      <c r="C874" s="47" t="s">
        <v>447</v>
      </c>
      <c r="D874" s="146">
        <v>0.15</v>
      </c>
      <c r="E874" s="162">
        <v>4707</v>
      </c>
      <c r="F874" s="162">
        <v>1501</v>
      </c>
      <c r="G874" s="146">
        <f t="shared" si="31"/>
        <v>0.31888676439345653</v>
      </c>
      <c r="H874" s="159"/>
      <c r="I874" s="189"/>
    </row>
    <row r="875" spans="1:9" ht="49.9" hidden="1" customHeight="1" outlineLevel="1" x14ac:dyDescent="0.25">
      <c r="A875" s="605"/>
      <c r="B875" s="138" t="s">
        <v>453</v>
      </c>
      <c r="C875" s="47" t="s">
        <v>447</v>
      </c>
      <c r="D875" s="146">
        <v>0.1</v>
      </c>
      <c r="E875" s="162">
        <v>528678000</v>
      </c>
      <c r="F875" s="162">
        <v>516118000</v>
      </c>
      <c r="G875" s="146">
        <f t="shared" si="31"/>
        <v>0.97624262783773863</v>
      </c>
      <c r="H875" s="38"/>
      <c r="I875" s="189"/>
    </row>
    <row r="876" spans="1:9" ht="49.9" hidden="1" customHeight="1" outlineLevel="1" x14ac:dyDescent="0.25">
      <c r="A876" s="598" t="s">
        <v>139</v>
      </c>
      <c r="B876" s="138" t="s">
        <v>446</v>
      </c>
      <c r="C876" s="47" t="s">
        <v>447</v>
      </c>
      <c r="D876" s="146">
        <v>0.15</v>
      </c>
      <c r="E876" s="139">
        <v>20</v>
      </c>
      <c r="F876" s="139">
        <v>20</v>
      </c>
      <c r="G876" s="146">
        <f t="shared" si="31"/>
        <v>1</v>
      </c>
      <c r="H876" s="160" t="s">
        <v>462</v>
      </c>
      <c r="I876" s="189"/>
    </row>
    <row r="877" spans="1:9" ht="49.9" hidden="1" customHeight="1" outlineLevel="1" x14ac:dyDescent="0.25">
      <c r="A877" s="599"/>
      <c r="B877" s="138" t="s">
        <v>448</v>
      </c>
      <c r="C877" s="47" t="s">
        <v>447</v>
      </c>
      <c r="D877" s="146">
        <v>0.15</v>
      </c>
      <c r="E877" s="162">
        <v>8</v>
      </c>
      <c r="F877" s="162">
        <v>2.4</v>
      </c>
      <c r="G877" s="146">
        <f t="shared" ref="G877:G889" si="32">F877/E877</f>
        <v>0.3</v>
      </c>
      <c r="H877" s="160" t="s">
        <v>455</v>
      </c>
      <c r="I877" s="189"/>
    </row>
    <row r="878" spans="1:9" ht="49.9" hidden="1" customHeight="1" outlineLevel="1" x14ac:dyDescent="0.25">
      <c r="A878" s="599"/>
      <c r="B878" s="138" t="s">
        <v>449</v>
      </c>
      <c r="C878" s="47" t="s">
        <v>447</v>
      </c>
      <c r="D878" s="146">
        <v>0.15</v>
      </c>
      <c r="E878" s="162">
        <v>2</v>
      </c>
      <c r="F878" s="162">
        <v>0.65</v>
      </c>
      <c r="G878" s="146">
        <f t="shared" si="32"/>
        <v>0.32500000000000001</v>
      </c>
      <c r="H878" s="160" t="s">
        <v>463</v>
      </c>
      <c r="I878" s="189"/>
    </row>
    <row r="879" spans="1:9" ht="49.9" hidden="1" customHeight="1" outlineLevel="1" x14ac:dyDescent="0.25">
      <c r="A879" s="599"/>
      <c r="B879" s="138" t="s">
        <v>450</v>
      </c>
      <c r="C879" s="47" t="s">
        <v>447</v>
      </c>
      <c r="D879" s="146">
        <v>0.15</v>
      </c>
      <c r="E879" s="139">
        <v>766</v>
      </c>
      <c r="F879" s="139">
        <v>357</v>
      </c>
      <c r="G879" s="146">
        <f t="shared" si="32"/>
        <v>0.4660574412532637</v>
      </c>
      <c r="H879" s="160" t="s">
        <v>464</v>
      </c>
      <c r="I879" s="189"/>
    </row>
    <row r="880" spans="1:9" ht="49.9" hidden="1" customHeight="1" outlineLevel="1" x14ac:dyDescent="0.25">
      <c r="A880" s="599"/>
      <c r="B880" s="138" t="s">
        <v>451</v>
      </c>
      <c r="C880" s="47" t="s">
        <v>447</v>
      </c>
      <c r="D880" s="146">
        <v>0.15</v>
      </c>
      <c r="E880" s="162">
        <v>1</v>
      </c>
      <c r="F880" s="162">
        <v>1</v>
      </c>
      <c r="G880" s="146">
        <f t="shared" si="32"/>
        <v>1</v>
      </c>
      <c r="H880" s="160" t="s">
        <v>465</v>
      </c>
      <c r="I880" s="189"/>
    </row>
    <row r="881" spans="1:9" ht="49.9" hidden="1" customHeight="1" outlineLevel="1" x14ac:dyDescent="0.25">
      <c r="A881" s="599"/>
      <c r="B881" s="138" t="s">
        <v>452</v>
      </c>
      <c r="C881" s="47" t="s">
        <v>447</v>
      </c>
      <c r="D881" s="146">
        <v>0.15</v>
      </c>
      <c r="E881" s="162">
        <v>4707</v>
      </c>
      <c r="F881" s="162">
        <v>2706</v>
      </c>
      <c r="G881" s="146">
        <f t="shared" si="32"/>
        <v>0.57488846398980242</v>
      </c>
      <c r="H881" s="160" t="s">
        <v>466</v>
      </c>
      <c r="I881" s="189"/>
    </row>
    <row r="882" spans="1:9" ht="49.9" hidden="1" customHeight="1" outlineLevel="1" x14ac:dyDescent="0.25">
      <c r="A882" s="605"/>
      <c r="B882" s="138" t="s">
        <v>453</v>
      </c>
      <c r="C882" s="47" t="s">
        <v>447</v>
      </c>
      <c r="D882" s="146">
        <v>0.1</v>
      </c>
      <c r="E882" s="165">
        <v>1</v>
      </c>
      <c r="F882" s="165">
        <v>1</v>
      </c>
      <c r="G882" s="146">
        <f t="shared" si="32"/>
        <v>1</v>
      </c>
      <c r="H882" s="160" t="s">
        <v>460</v>
      </c>
      <c r="I882" s="189"/>
    </row>
    <row r="883" spans="1:9" ht="49.9" hidden="1" customHeight="1" outlineLevel="1" x14ac:dyDescent="0.25">
      <c r="A883" s="598" t="s">
        <v>140</v>
      </c>
      <c r="B883" s="138" t="s">
        <v>446</v>
      </c>
      <c r="C883" s="47" t="s">
        <v>447</v>
      </c>
      <c r="D883" s="146">
        <v>0.15</v>
      </c>
      <c r="E883" s="139">
        <v>20</v>
      </c>
      <c r="F883" s="139">
        <v>20</v>
      </c>
      <c r="G883" s="146">
        <f>F883/E883</f>
        <v>1</v>
      </c>
      <c r="H883" s="160" t="s">
        <v>473</v>
      </c>
    </row>
    <row r="884" spans="1:9" ht="49.9" hidden="1" customHeight="1" outlineLevel="1" x14ac:dyDescent="0.25">
      <c r="A884" s="599"/>
      <c r="B884" s="138" t="s">
        <v>448</v>
      </c>
      <c r="C884" s="47" t="s">
        <v>447</v>
      </c>
      <c r="D884" s="146">
        <v>0.15</v>
      </c>
      <c r="E884" s="162">
        <v>8</v>
      </c>
      <c r="F884" s="162">
        <v>3</v>
      </c>
      <c r="G884" s="146">
        <f t="shared" si="32"/>
        <v>0.375</v>
      </c>
      <c r="H884" s="160" t="s">
        <v>346</v>
      </c>
    </row>
    <row r="885" spans="1:9" ht="49.9" hidden="1" customHeight="1" outlineLevel="1" x14ac:dyDescent="0.25">
      <c r="A885" s="599"/>
      <c r="B885" s="138" t="s">
        <v>449</v>
      </c>
      <c r="C885" s="47" t="s">
        <v>447</v>
      </c>
      <c r="D885" s="146">
        <v>0.15</v>
      </c>
      <c r="E885" s="162">
        <v>2</v>
      </c>
      <c r="F885" s="162">
        <v>1</v>
      </c>
      <c r="G885" s="146">
        <f t="shared" si="32"/>
        <v>0.5</v>
      </c>
      <c r="H885" s="160" t="s">
        <v>474</v>
      </c>
    </row>
    <row r="886" spans="1:9" ht="49.9" hidden="1" customHeight="1" outlineLevel="1" x14ac:dyDescent="0.25">
      <c r="A886" s="599"/>
      <c r="B886" s="138" t="s">
        <v>450</v>
      </c>
      <c r="C886" s="47" t="s">
        <v>447</v>
      </c>
      <c r="D886" s="146">
        <v>0.15</v>
      </c>
      <c r="E886" s="139">
        <v>766</v>
      </c>
      <c r="F886" s="139">
        <v>463</v>
      </c>
      <c r="G886" s="146">
        <f t="shared" si="32"/>
        <v>0.6044386422976501</v>
      </c>
      <c r="H886" s="160" t="s">
        <v>475</v>
      </c>
    </row>
    <row r="887" spans="1:9" ht="49.9" hidden="1" customHeight="1" outlineLevel="1" x14ac:dyDescent="0.25">
      <c r="A887" s="599"/>
      <c r="B887" s="138" t="s">
        <v>451</v>
      </c>
      <c r="C887" s="47" t="s">
        <v>447</v>
      </c>
      <c r="D887" s="146">
        <v>0.15</v>
      </c>
      <c r="E887" s="162">
        <v>1</v>
      </c>
      <c r="F887" s="162">
        <v>1</v>
      </c>
      <c r="G887" s="146">
        <f t="shared" si="32"/>
        <v>1</v>
      </c>
      <c r="H887" s="160" t="s">
        <v>470</v>
      </c>
    </row>
    <row r="888" spans="1:9" ht="49.9" hidden="1" customHeight="1" outlineLevel="1" x14ac:dyDescent="0.25">
      <c r="A888" s="599"/>
      <c r="B888" s="138" t="s">
        <v>452</v>
      </c>
      <c r="C888" s="47" t="s">
        <v>447</v>
      </c>
      <c r="D888" s="146">
        <v>0.15</v>
      </c>
      <c r="E888" s="162">
        <v>4707</v>
      </c>
      <c r="F888" s="162">
        <v>3504</v>
      </c>
      <c r="G888" s="146">
        <f t="shared" si="32"/>
        <v>0.74442319949012115</v>
      </c>
      <c r="H888" s="160" t="s">
        <v>471</v>
      </c>
    </row>
    <row r="889" spans="1:9" ht="49.9" hidden="1" customHeight="1" outlineLevel="1" x14ac:dyDescent="0.25">
      <c r="A889" s="605"/>
      <c r="B889" s="138" t="s">
        <v>453</v>
      </c>
      <c r="C889" s="47" t="s">
        <v>447</v>
      </c>
      <c r="D889" s="146">
        <v>0.1</v>
      </c>
      <c r="E889" s="165">
        <v>1</v>
      </c>
      <c r="F889" s="165">
        <v>0.92</v>
      </c>
      <c r="G889" s="146">
        <f t="shared" si="32"/>
        <v>0.92</v>
      </c>
      <c r="H889" s="160" t="s">
        <v>472</v>
      </c>
    </row>
    <row r="890" spans="1:9" ht="49.9" hidden="1" customHeight="1" outlineLevel="1" x14ac:dyDescent="0.25">
      <c r="A890" s="598" t="s">
        <v>128</v>
      </c>
      <c r="B890" s="138" t="s">
        <v>446</v>
      </c>
      <c r="C890" s="47" t="s">
        <v>447</v>
      </c>
      <c r="D890" s="146">
        <v>0.15</v>
      </c>
      <c r="E890" s="139">
        <v>20</v>
      </c>
      <c r="F890" s="139">
        <v>20</v>
      </c>
      <c r="G890" s="146">
        <f>F890/E890</f>
        <v>1</v>
      </c>
      <c r="H890" s="171" t="s">
        <v>481</v>
      </c>
    </row>
    <row r="891" spans="1:9" ht="49.9" hidden="1" customHeight="1" outlineLevel="1" x14ac:dyDescent="0.25">
      <c r="A891" s="599"/>
      <c r="B891" s="138" t="s">
        <v>448</v>
      </c>
      <c r="C891" s="47" t="s">
        <v>447</v>
      </c>
      <c r="D891" s="146">
        <v>0.15</v>
      </c>
      <c r="E891" s="162">
        <v>8</v>
      </c>
      <c r="F891" s="162">
        <v>3.8</v>
      </c>
      <c r="G891" s="146">
        <f t="shared" ref="G891:G896" si="33">F891/E891</f>
        <v>0.47499999999999998</v>
      </c>
      <c r="H891" s="171" t="s">
        <v>482</v>
      </c>
    </row>
    <row r="892" spans="1:9" ht="49.9" hidden="1" customHeight="1" outlineLevel="1" x14ac:dyDescent="0.25">
      <c r="A892" s="599"/>
      <c r="B892" s="138" t="s">
        <v>449</v>
      </c>
      <c r="C892" s="47" t="s">
        <v>447</v>
      </c>
      <c r="D892" s="146">
        <v>0.15</v>
      </c>
      <c r="E892" s="162">
        <v>2</v>
      </c>
      <c r="F892" s="162">
        <v>1.26</v>
      </c>
      <c r="G892" s="146">
        <f t="shared" si="33"/>
        <v>0.63</v>
      </c>
      <c r="H892" s="171" t="s">
        <v>483</v>
      </c>
    </row>
    <row r="893" spans="1:9" ht="49.9" hidden="1" customHeight="1" outlineLevel="1" x14ac:dyDescent="0.25">
      <c r="A893" s="599"/>
      <c r="B893" s="138" t="s">
        <v>450</v>
      </c>
      <c r="C893" s="47" t="s">
        <v>447</v>
      </c>
      <c r="D893" s="146">
        <v>0.15</v>
      </c>
      <c r="E893" s="139">
        <v>766</v>
      </c>
      <c r="F893" s="139">
        <v>440</v>
      </c>
      <c r="G893" s="146">
        <f t="shared" si="33"/>
        <v>0.5744125326370757</v>
      </c>
      <c r="H893" s="160" t="s">
        <v>488</v>
      </c>
    </row>
    <row r="894" spans="1:9" ht="49.9" hidden="1" customHeight="1" outlineLevel="1" x14ac:dyDescent="0.25">
      <c r="A894" s="599"/>
      <c r="B894" s="138" t="s">
        <v>451</v>
      </c>
      <c r="C894" s="47" t="s">
        <v>447</v>
      </c>
      <c r="D894" s="146">
        <v>0.15</v>
      </c>
      <c r="E894" s="162">
        <v>1</v>
      </c>
      <c r="F894" s="162">
        <v>1.17</v>
      </c>
      <c r="G894" s="146">
        <f t="shared" si="33"/>
        <v>1.17</v>
      </c>
      <c r="H894" s="171" t="s">
        <v>484</v>
      </c>
    </row>
    <row r="895" spans="1:9" ht="49.9" hidden="1" customHeight="1" outlineLevel="1" x14ac:dyDescent="0.25">
      <c r="A895" s="599"/>
      <c r="B895" s="138" t="s">
        <v>452</v>
      </c>
      <c r="C895" s="47" t="s">
        <v>447</v>
      </c>
      <c r="D895" s="146">
        <v>0.15</v>
      </c>
      <c r="E895" s="162">
        <v>4707</v>
      </c>
      <c r="F895" s="162">
        <v>3769</v>
      </c>
      <c r="G895" s="146">
        <f t="shared" si="33"/>
        <v>0.80072232844699387</v>
      </c>
      <c r="H895" s="171" t="s">
        <v>485</v>
      </c>
    </row>
    <row r="896" spans="1:9" ht="49.9" hidden="1" customHeight="1" outlineLevel="1" x14ac:dyDescent="0.25">
      <c r="A896" s="605"/>
      <c r="B896" s="138" t="s">
        <v>453</v>
      </c>
      <c r="C896" s="47" t="s">
        <v>447</v>
      </c>
      <c r="D896" s="146">
        <v>0.1</v>
      </c>
      <c r="E896" s="165">
        <v>1</v>
      </c>
      <c r="F896" s="165">
        <v>1</v>
      </c>
      <c r="G896" s="146">
        <f t="shared" si="33"/>
        <v>1</v>
      </c>
      <c r="H896" s="171" t="s">
        <v>486</v>
      </c>
    </row>
    <row r="897" spans="1:8" ht="40.15" hidden="1" customHeight="1" outlineLevel="1" x14ac:dyDescent="0.25">
      <c r="A897" s="598" t="s">
        <v>129</v>
      </c>
      <c r="B897" s="138" t="s">
        <v>446</v>
      </c>
      <c r="C897" s="47" t="s">
        <v>447</v>
      </c>
      <c r="D897" s="146">
        <v>0.15</v>
      </c>
      <c r="E897" s="139">
        <v>20</v>
      </c>
      <c r="F897" s="139">
        <v>20</v>
      </c>
      <c r="G897" s="146">
        <f>F897/E897</f>
        <v>1</v>
      </c>
      <c r="H897" s="171" t="s">
        <v>481</v>
      </c>
    </row>
    <row r="898" spans="1:8" ht="40.15" hidden="1" customHeight="1" outlineLevel="1" x14ac:dyDescent="0.25">
      <c r="A898" s="599"/>
      <c r="B898" s="138" t="s">
        <v>448</v>
      </c>
      <c r="C898" s="47" t="s">
        <v>447</v>
      </c>
      <c r="D898" s="146">
        <v>0.15</v>
      </c>
      <c r="E898" s="162">
        <v>8</v>
      </c>
      <c r="F898" s="162">
        <v>4.5999999999999996</v>
      </c>
      <c r="G898" s="146">
        <f t="shared" ref="G898:G903" si="34">F898/E898</f>
        <v>0.57499999999999996</v>
      </c>
      <c r="H898" s="171" t="s">
        <v>482</v>
      </c>
    </row>
    <row r="899" spans="1:8" ht="40.15" hidden="1" customHeight="1" outlineLevel="1" x14ac:dyDescent="0.25">
      <c r="A899" s="599"/>
      <c r="B899" s="138" t="s">
        <v>449</v>
      </c>
      <c r="C899" s="47" t="s">
        <v>447</v>
      </c>
      <c r="D899" s="146">
        <v>0.15</v>
      </c>
      <c r="E899" s="162">
        <v>2</v>
      </c>
      <c r="F899" s="162">
        <v>1.39</v>
      </c>
      <c r="G899" s="146">
        <f t="shared" si="34"/>
        <v>0.69499999999999995</v>
      </c>
      <c r="H899" s="171" t="s">
        <v>483</v>
      </c>
    </row>
    <row r="900" spans="1:8" ht="40.15" hidden="1" customHeight="1" outlineLevel="1" x14ac:dyDescent="0.25">
      <c r="A900" s="599"/>
      <c r="B900" s="138" t="s">
        <v>450</v>
      </c>
      <c r="C900" s="47" t="s">
        <v>447</v>
      </c>
      <c r="D900" s="146">
        <v>0.15</v>
      </c>
      <c r="E900" s="139">
        <v>766</v>
      </c>
      <c r="F900" s="139">
        <v>529</v>
      </c>
      <c r="G900" s="146">
        <f t="shared" si="34"/>
        <v>0.69060052219321144</v>
      </c>
      <c r="H900" s="160" t="s">
        <v>488</v>
      </c>
    </row>
    <row r="901" spans="1:8" ht="40.15" hidden="1" customHeight="1" outlineLevel="1" x14ac:dyDescent="0.25">
      <c r="A901" s="599"/>
      <c r="B901" s="138" t="s">
        <v>451</v>
      </c>
      <c r="C901" s="47" t="s">
        <v>447</v>
      </c>
      <c r="D901" s="146">
        <v>0.15</v>
      </c>
      <c r="E901" s="162">
        <v>1</v>
      </c>
      <c r="F901" s="162">
        <v>1.67</v>
      </c>
      <c r="G901" s="146">
        <f t="shared" si="34"/>
        <v>1.67</v>
      </c>
      <c r="H901" s="171" t="s">
        <v>484</v>
      </c>
    </row>
    <row r="902" spans="1:8" ht="40.15" hidden="1" customHeight="1" outlineLevel="1" x14ac:dyDescent="0.25">
      <c r="A902" s="599"/>
      <c r="B902" s="138" t="s">
        <v>452</v>
      </c>
      <c r="C902" s="47" t="s">
        <v>447</v>
      </c>
      <c r="D902" s="146">
        <v>0.15</v>
      </c>
      <c r="E902" s="162">
        <v>4707</v>
      </c>
      <c r="F902" s="162">
        <v>3972</v>
      </c>
      <c r="G902" s="146">
        <f t="shared" si="34"/>
        <v>0.84384958572339075</v>
      </c>
      <c r="H902" s="171" t="s">
        <v>485</v>
      </c>
    </row>
    <row r="903" spans="1:8" ht="40.15" hidden="1" customHeight="1" outlineLevel="1" x14ac:dyDescent="0.25">
      <c r="A903" s="605"/>
      <c r="B903" s="138" t="s">
        <v>453</v>
      </c>
      <c r="C903" s="47" t="s">
        <v>447</v>
      </c>
      <c r="D903" s="146">
        <v>0.1</v>
      </c>
      <c r="E903" s="165">
        <v>1</v>
      </c>
      <c r="F903" s="165">
        <v>1</v>
      </c>
      <c r="G903" s="146">
        <f t="shared" si="34"/>
        <v>1</v>
      </c>
      <c r="H903" s="171" t="s">
        <v>486</v>
      </c>
    </row>
    <row r="904" spans="1:8" ht="40.15" hidden="1" customHeight="1" outlineLevel="1" x14ac:dyDescent="0.25">
      <c r="A904" s="598" t="s">
        <v>130</v>
      </c>
      <c r="B904" s="138" t="s">
        <v>446</v>
      </c>
      <c r="C904" s="47" t="s">
        <v>447</v>
      </c>
      <c r="D904" s="146">
        <v>0.15</v>
      </c>
      <c r="E904" s="139">
        <v>20</v>
      </c>
      <c r="F904" s="139">
        <v>20</v>
      </c>
      <c r="G904" s="146">
        <f>F904/E904</f>
        <v>1</v>
      </c>
      <c r="H904" s="191" t="s">
        <v>501</v>
      </c>
    </row>
    <row r="905" spans="1:8" ht="40.15" hidden="1" customHeight="1" outlineLevel="1" x14ac:dyDescent="0.25">
      <c r="A905" s="599"/>
      <c r="B905" s="138" t="s">
        <v>448</v>
      </c>
      <c r="C905" s="47" t="s">
        <v>447</v>
      </c>
      <c r="D905" s="146">
        <v>0.15</v>
      </c>
      <c r="E905" s="162">
        <v>8</v>
      </c>
      <c r="F905" s="162">
        <v>5.65</v>
      </c>
      <c r="G905" s="146">
        <f t="shared" ref="G905:G924" si="35">F905/E905</f>
        <v>0.70625000000000004</v>
      </c>
      <c r="H905" s="191" t="s">
        <v>499</v>
      </c>
    </row>
    <row r="906" spans="1:8" ht="40.15" hidden="1" customHeight="1" outlineLevel="1" x14ac:dyDescent="0.25">
      <c r="A906" s="599"/>
      <c r="B906" s="138" t="s">
        <v>449</v>
      </c>
      <c r="C906" s="47" t="s">
        <v>447</v>
      </c>
      <c r="D906" s="146">
        <v>0.15</v>
      </c>
      <c r="E906" s="162">
        <v>2</v>
      </c>
      <c r="F906" s="162">
        <v>1.56</v>
      </c>
      <c r="G906" s="146">
        <f t="shared" si="35"/>
        <v>0.78</v>
      </c>
      <c r="H906" s="191" t="s">
        <v>500</v>
      </c>
    </row>
    <row r="907" spans="1:8" ht="40.15" hidden="1" customHeight="1" outlineLevel="1" x14ac:dyDescent="0.25">
      <c r="A907" s="599"/>
      <c r="B907" s="138" t="s">
        <v>450</v>
      </c>
      <c r="C907" s="47" t="s">
        <v>447</v>
      </c>
      <c r="D907" s="146">
        <v>0.15</v>
      </c>
      <c r="E907" s="139">
        <v>766</v>
      </c>
      <c r="F907" s="139">
        <v>622</v>
      </c>
      <c r="G907" s="146">
        <f t="shared" si="35"/>
        <v>0.81201044386422971</v>
      </c>
      <c r="H907" s="191" t="s">
        <v>497</v>
      </c>
    </row>
    <row r="908" spans="1:8" ht="40.15" hidden="1" customHeight="1" outlineLevel="1" x14ac:dyDescent="0.25">
      <c r="A908" s="599"/>
      <c r="B908" s="138" t="s">
        <v>451</v>
      </c>
      <c r="C908" s="47" t="s">
        <v>447</v>
      </c>
      <c r="D908" s="146">
        <v>0.15</v>
      </c>
      <c r="E908" s="162">
        <v>1</v>
      </c>
      <c r="F908" s="162">
        <v>1</v>
      </c>
      <c r="G908" s="146">
        <f t="shared" si="35"/>
        <v>1</v>
      </c>
      <c r="H908" s="191" t="s">
        <v>498</v>
      </c>
    </row>
    <row r="909" spans="1:8" ht="40.15" hidden="1" customHeight="1" outlineLevel="1" x14ac:dyDescent="0.25">
      <c r="A909" s="599"/>
      <c r="B909" s="138" t="s">
        <v>452</v>
      </c>
      <c r="C909" s="47" t="s">
        <v>447</v>
      </c>
      <c r="D909" s="146">
        <v>0.15</v>
      </c>
      <c r="E909" s="162">
        <v>4707</v>
      </c>
      <c r="F909" s="162">
        <v>3972</v>
      </c>
      <c r="G909" s="146">
        <f t="shared" si="35"/>
        <v>0.84384958572339075</v>
      </c>
      <c r="H909" s="191" t="s">
        <v>496</v>
      </c>
    </row>
    <row r="910" spans="1:8" ht="40.15" hidden="1" customHeight="1" outlineLevel="1" x14ac:dyDescent="0.25">
      <c r="A910" s="605"/>
      <c r="B910" s="138" t="s">
        <v>453</v>
      </c>
      <c r="C910" s="47" t="s">
        <v>447</v>
      </c>
      <c r="D910" s="146">
        <v>0.1</v>
      </c>
      <c r="E910" s="165">
        <v>1</v>
      </c>
      <c r="F910" s="165">
        <v>1</v>
      </c>
      <c r="G910" s="146">
        <f t="shared" si="35"/>
        <v>1</v>
      </c>
      <c r="H910" s="191" t="s">
        <v>502</v>
      </c>
    </row>
    <row r="911" spans="1:8" ht="49.9" hidden="1" customHeight="1" outlineLevel="1" x14ac:dyDescent="0.25">
      <c r="A911" s="598" t="s">
        <v>131</v>
      </c>
      <c r="B911" s="138" t="s">
        <v>446</v>
      </c>
      <c r="C911" s="47" t="s">
        <v>447</v>
      </c>
      <c r="D911" s="146">
        <v>0.15</v>
      </c>
      <c r="E911" s="139">
        <v>20</v>
      </c>
      <c r="F911" s="139">
        <v>20</v>
      </c>
      <c r="G911" s="146">
        <f>F911/E911</f>
        <v>1</v>
      </c>
      <c r="H911" s="191" t="s">
        <v>528</v>
      </c>
    </row>
    <row r="912" spans="1:8" ht="49.9" hidden="1" customHeight="1" outlineLevel="1" x14ac:dyDescent="0.25">
      <c r="A912" s="599"/>
      <c r="B912" s="138" t="s">
        <v>448</v>
      </c>
      <c r="C912" s="47" t="s">
        <v>447</v>
      </c>
      <c r="D912" s="146">
        <v>0.15</v>
      </c>
      <c r="E912" s="162">
        <v>8</v>
      </c>
      <c r="F912" s="162">
        <v>6.5</v>
      </c>
      <c r="G912" s="146">
        <f t="shared" si="35"/>
        <v>0.8125</v>
      </c>
      <c r="H912" s="191" t="s">
        <v>512</v>
      </c>
    </row>
    <row r="913" spans="1:8" ht="49.9" hidden="1" customHeight="1" outlineLevel="1" x14ac:dyDescent="0.25">
      <c r="A913" s="599"/>
      <c r="B913" s="138" t="s">
        <v>449</v>
      </c>
      <c r="C913" s="47" t="s">
        <v>447</v>
      </c>
      <c r="D913" s="146">
        <v>0.15</v>
      </c>
      <c r="E913" s="162">
        <v>2</v>
      </c>
      <c r="F913" s="162">
        <v>1.77</v>
      </c>
      <c r="G913" s="146">
        <f>F913/E913</f>
        <v>0.88500000000000001</v>
      </c>
      <c r="H913" s="191" t="s">
        <v>513</v>
      </c>
    </row>
    <row r="914" spans="1:8" ht="49.9" hidden="1" customHeight="1" outlineLevel="1" x14ac:dyDescent="0.25">
      <c r="A914" s="599"/>
      <c r="B914" s="138" t="s">
        <v>450</v>
      </c>
      <c r="C914" s="47" t="s">
        <v>447</v>
      </c>
      <c r="D914" s="146">
        <v>0.15</v>
      </c>
      <c r="E914" s="139">
        <v>766</v>
      </c>
      <c r="F914" s="139">
        <v>691</v>
      </c>
      <c r="G914" s="146">
        <f t="shared" si="35"/>
        <v>0.90208877284595301</v>
      </c>
      <c r="H914" s="191" t="s">
        <v>514</v>
      </c>
    </row>
    <row r="915" spans="1:8" ht="49.9" hidden="1" customHeight="1" outlineLevel="1" x14ac:dyDescent="0.25">
      <c r="A915" s="599"/>
      <c r="B915" s="138" t="s">
        <v>451</v>
      </c>
      <c r="C915" s="47" t="s">
        <v>447</v>
      </c>
      <c r="D915" s="146">
        <v>0.15</v>
      </c>
      <c r="E915" s="162">
        <v>1</v>
      </c>
      <c r="F915" s="162">
        <v>1</v>
      </c>
      <c r="G915" s="146">
        <f t="shared" si="35"/>
        <v>1</v>
      </c>
      <c r="H915" s="160" t="s">
        <v>504</v>
      </c>
    </row>
    <row r="916" spans="1:8" ht="49.9" hidden="1" customHeight="1" outlineLevel="1" x14ac:dyDescent="0.25">
      <c r="A916" s="599"/>
      <c r="B916" s="138" t="s">
        <v>452</v>
      </c>
      <c r="C916" s="47" t="s">
        <v>447</v>
      </c>
      <c r="D916" s="146">
        <v>0.15</v>
      </c>
      <c r="E916" s="162">
        <v>4707</v>
      </c>
      <c r="F916" s="162">
        <v>4841</v>
      </c>
      <c r="G916" s="146">
        <f t="shared" si="35"/>
        <v>1.0284682387932866</v>
      </c>
      <c r="H916" s="160" t="s">
        <v>510</v>
      </c>
    </row>
    <row r="917" spans="1:8" ht="49.9" hidden="1" customHeight="1" outlineLevel="1" x14ac:dyDescent="0.25">
      <c r="A917" s="605"/>
      <c r="B917" s="138" t="s">
        <v>453</v>
      </c>
      <c r="C917" s="47" t="s">
        <v>447</v>
      </c>
      <c r="D917" s="146">
        <v>0.1</v>
      </c>
      <c r="E917" s="165">
        <v>1</v>
      </c>
      <c r="F917" s="165">
        <v>1</v>
      </c>
      <c r="G917" s="146">
        <f t="shared" si="35"/>
        <v>1</v>
      </c>
      <c r="H917" s="191" t="s">
        <v>502</v>
      </c>
    </row>
    <row r="918" spans="1:8" ht="49.9" hidden="1" customHeight="1" outlineLevel="1" x14ac:dyDescent="0.25">
      <c r="A918" s="639" t="s">
        <v>132</v>
      </c>
      <c r="B918" s="138" t="s">
        <v>446</v>
      </c>
      <c r="C918" s="47" t="s">
        <v>447</v>
      </c>
      <c r="D918" s="146">
        <v>0.15</v>
      </c>
      <c r="E918" s="139">
        <v>20</v>
      </c>
      <c r="F918" s="139">
        <v>20</v>
      </c>
      <c r="G918" s="146">
        <f>F918/E918</f>
        <v>1</v>
      </c>
      <c r="H918" s="191" t="s">
        <v>525</v>
      </c>
    </row>
    <row r="919" spans="1:8" ht="49.9" hidden="1" customHeight="1" outlineLevel="1" x14ac:dyDescent="0.25">
      <c r="A919" s="640"/>
      <c r="B919" s="138" t="s">
        <v>448</v>
      </c>
      <c r="C919" s="47" t="s">
        <v>447</v>
      </c>
      <c r="D919" s="146">
        <v>0.15</v>
      </c>
      <c r="E919" s="162">
        <v>8</v>
      </c>
      <c r="F919" s="162">
        <v>7.1</v>
      </c>
      <c r="G919" s="146">
        <f t="shared" si="35"/>
        <v>0.88749999999999996</v>
      </c>
      <c r="H919" s="191" t="s">
        <v>522</v>
      </c>
    </row>
    <row r="920" spans="1:8" ht="49.9" hidden="1" customHeight="1" outlineLevel="1" x14ac:dyDescent="0.25">
      <c r="A920" s="640"/>
      <c r="B920" s="138" t="s">
        <v>449</v>
      </c>
      <c r="C920" s="47" t="s">
        <v>447</v>
      </c>
      <c r="D920" s="146">
        <v>0.15</v>
      </c>
      <c r="E920" s="162">
        <v>2</v>
      </c>
      <c r="F920" s="162">
        <v>1.94</v>
      </c>
      <c r="G920" s="146">
        <f>F920/E920</f>
        <v>0.97</v>
      </c>
      <c r="H920" s="191" t="s">
        <v>527</v>
      </c>
    </row>
    <row r="921" spans="1:8" ht="49.9" hidden="1" customHeight="1" outlineLevel="1" x14ac:dyDescent="0.25">
      <c r="A921" s="640"/>
      <c r="B921" s="138" t="s">
        <v>450</v>
      </c>
      <c r="C921" s="47" t="s">
        <v>447</v>
      </c>
      <c r="D921" s="146">
        <v>0.15</v>
      </c>
      <c r="E921" s="139">
        <v>766</v>
      </c>
      <c r="F921" s="139">
        <v>756</v>
      </c>
      <c r="G921" s="146">
        <f t="shared" si="35"/>
        <v>0.98694516971279378</v>
      </c>
      <c r="H921" s="191" t="s">
        <v>529</v>
      </c>
    </row>
    <row r="922" spans="1:8" ht="49.9" hidden="1" customHeight="1" outlineLevel="1" x14ac:dyDescent="0.25">
      <c r="A922" s="640"/>
      <c r="B922" s="138" t="s">
        <v>451</v>
      </c>
      <c r="C922" s="47" t="s">
        <v>447</v>
      </c>
      <c r="D922" s="146">
        <v>0.15</v>
      </c>
      <c r="E922" s="162">
        <v>1</v>
      </c>
      <c r="F922" s="162">
        <v>1</v>
      </c>
      <c r="G922" s="146">
        <f t="shared" si="35"/>
        <v>1</v>
      </c>
      <c r="H922" s="191" t="s">
        <v>523</v>
      </c>
    </row>
    <row r="923" spans="1:8" ht="49.9" hidden="1" customHeight="1" outlineLevel="1" x14ac:dyDescent="0.25">
      <c r="A923" s="640"/>
      <c r="B923" s="138" t="s">
        <v>452</v>
      </c>
      <c r="C923" s="47" t="s">
        <v>447</v>
      </c>
      <c r="D923" s="146">
        <v>0.15</v>
      </c>
      <c r="E923" s="162">
        <v>4707</v>
      </c>
      <c r="F923" s="162">
        <v>4898</v>
      </c>
      <c r="G923" s="146">
        <f t="shared" si="35"/>
        <v>1.040577862757595</v>
      </c>
      <c r="H923" s="191" t="s">
        <v>526</v>
      </c>
    </row>
    <row r="924" spans="1:8" ht="49.9" hidden="1" customHeight="1" outlineLevel="1" x14ac:dyDescent="0.25">
      <c r="A924" s="641"/>
      <c r="B924" s="138" t="s">
        <v>453</v>
      </c>
      <c r="C924" s="47" t="s">
        <v>447</v>
      </c>
      <c r="D924" s="146">
        <v>0.1</v>
      </c>
      <c r="E924" s="165">
        <v>1</v>
      </c>
      <c r="F924" s="165">
        <v>1</v>
      </c>
      <c r="G924" s="146">
        <f t="shared" si="35"/>
        <v>1</v>
      </c>
      <c r="H924" s="191" t="s">
        <v>524</v>
      </c>
    </row>
    <row r="925" spans="1:8" hidden="1" outlineLevel="1" x14ac:dyDescent="0.25">
      <c r="A925" s="38" t="s">
        <v>133</v>
      </c>
      <c r="B925" s="203"/>
      <c r="C925" s="203"/>
      <c r="D925" s="203"/>
      <c r="E925" s="203"/>
      <c r="F925" s="203"/>
      <c r="G925" s="203" t="e">
        <f>F925/E925</f>
        <v>#DIV/0!</v>
      </c>
      <c r="H925" s="203"/>
    </row>
    <row r="926" spans="1:8" collapsed="1" x14ac:dyDescent="0.25"/>
    <row r="927" spans="1:8" ht="20.25" x14ac:dyDescent="0.3">
      <c r="A927" s="614" t="s">
        <v>186</v>
      </c>
      <c r="B927" s="615"/>
      <c r="C927" s="615"/>
      <c r="D927" s="615"/>
      <c r="E927" s="615"/>
      <c r="F927" s="615"/>
      <c r="G927" s="615"/>
      <c r="H927" s="616"/>
    </row>
    <row r="928" spans="1:8" ht="54.75" customHeight="1" x14ac:dyDescent="0.25">
      <c r="A928" s="140" t="s">
        <v>61</v>
      </c>
      <c r="B928" s="37" t="s">
        <v>182</v>
      </c>
      <c r="C928" s="41" t="s">
        <v>148</v>
      </c>
      <c r="D928" s="41" t="s">
        <v>159</v>
      </c>
      <c r="E928" s="41" t="s">
        <v>187</v>
      </c>
      <c r="F928" s="41" t="s">
        <v>188</v>
      </c>
      <c r="G928" s="41" t="s">
        <v>189</v>
      </c>
      <c r="H928" s="37" t="s">
        <v>171</v>
      </c>
    </row>
    <row r="929" spans="1:8" ht="49.9" customHeight="1" x14ac:dyDescent="0.25">
      <c r="A929" s="598" t="s">
        <v>135</v>
      </c>
      <c r="B929" s="138" t="s">
        <v>446</v>
      </c>
      <c r="C929" s="47" t="s">
        <v>447</v>
      </c>
      <c r="D929" s="146">
        <v>0.15</v>
      </c>
      <c r="E929" s="139">
        <v>20</v>
      </c>
      <c r="F929" s="139">
        <v>20</v>
      </c>
      <c r="G929" s="146">
        <f>F929/E929</f>
        <v>1</v>
      </c>
      <c r="H929" s="214" t="s">
        <v>557</v>
      </c>
    </row>
    <row r="930" spans="1:8" ht="49.9" customHeight="1" x14ac:dyDescent="0.25">
      <c r="A930" s="599"/>
      <c r="B930" s="138" t="s">
        <v>448</v>
      </c>
      <c r="C930" s="47" t="s">
        <v>447</v>
      </c>
      <c r="D930" s="146">
        <v>0.15</v>
      </c>
      <c r="E930" s="162">
        <v>6</v>
      </c>
      <c r="F930" s="162">
        <v>0</v>
      </c>
      <c r="G930" s="146">
        <f t="shared" ref="G930:G935" si="36">F930/E930</f>
        <v>0</v>
      </c>
      <c r="H930" s="214" t="s">
        <v>581</v>
      </c>
    </row>
    <row r="931" spans="1:8" ht="49.9" customHeight="1" x14ac:dyDescent="0.25">
      <c r="A931" s="599"/>
      <c r="B931" s="138" t="s">
        <v>449</v>
      </c>
      <c r="C931" s="47" t="s">
        <v>447</v>
      </c>
      <c r="D931" s="146">
        <v>0.15</v>
      </c>
      <c r="E931" s="162">
        <v>2</v>
      </c>
      <c r="F931" s="162">
        <v>0</v>
      </c>
      <c r="G931" s="146">
        <f t="shared" si="36"/>
        <v>0</v>
      </c>
      <c r="H931" s="214" t="s">
        <v>582</v>
      </c>
    </row>
    <row r="932" spans="1:8" ht="49.9" customHeight="1" x14ac:dyDescent="0.25">
      <c r="A932" s="599"/>
      <c r="B932" s="138" t="s">
        <v>450</v>
      </c>
      <c r="C932" s="47" t="s">
        <v>447</v>
      </c>
      <c r="D932" s="146">
        <v>0.15</v>
      </c>
      <c r="E932" s="139">
        <v>1072</v>
      </c>
      <c r="F932" s="139">
        <v>11</v>
      </c>
      <c r="G932" s="146">
        <f t="shared" si="36"/>
        <v>1.0261194029850746E-2</v>
      </c>
      <c r="H932" s="214" t="s">
        <v>565</v>
      </c>
    </row>
    <row r="933" spans="1:8" ht="49.9" customHeight="1" x14ac:dyDescent="0.25">
      <c r="A933" s="599"/>
      <c r="B933" s="138" t="s">
        <v>451</v>
      </c>
      <c r="C933" s="47" t="s">
        <v>447</v>
      </c>
      <c r="D933" s="146">
        <v>0.15</v>
      </c>
      <c r="E933" s="162">
        <v>1</v>
      </c>
      <c r="F933" s="162">
        <v>1</v>
      </c>
      <c r="G933" s="146">
        <f t="shared" si="36"/>
        <v>1</v>
      </c>
      <c r="H933" s="214" t="s">
        <v>586</v>
      </c>
    </row>
    <row r="934" spans="1:8" ht="49.9" customHeight="1" x14ac:dyDescent="0.25">
      <c r="A934" s="599"/>
      <c r="B934" s="138" t="s">
        <v>452</v>
      </c>
      <c r="C934" s="47" t="s">
        <v>447</v>
      </c>
      <c r="D934" s="146">
        <v>0.15</v>
      </c>
      <c r="E934" s="162">
        <v>1097</v>
      </c>
      <c r="F934" s="162">
        <v>0</v>
      </c>
      <c r="G934" s="146">
        <f t="shared" si="36"/>
        <v>0</v>
      </c>
      <c r="H934" s="214" t="s">
        <v>583</v>
      </c>
    </row>
    <row r="935" spans="1:8" ht="49.9" customHeight="1" x14ac:dyDescent="0.25">
      <c r="A935" s="605"/>
      <c r="B935" s="138" t="s">
        <v>453</v>
      </c>
      <c r="C935" s="47" t="s">
        <v>447</v>
      </c>
      <c r="D935" s="146">
        <v>0.1</v>
      </c>
      <c r="E935" s="165">
        <v>1</v>
      </c>
      <c r="F935" s="165">
        <v>1</v>
      </c>
      <c r="G935" s="146">
        <f t="shared" si="36"/>
        <v>1</v>
      </c>
      <c r="H935" s="214" t="s">
        <v>584</v>
      </c>
    </row>
    <row r="936" spans="1:8" ht="49.9" customHeight="1" x14ac:dyDescent="0.25">
      <c r="A936" s="598" t="s">
        <v>136</v>
      </c>
      <c r="B936" s="138" t="s">
        <v>446</v>
      </c>
      <c r="C936" s="47" t="s">
        <v>447</v>
      </c>
      <c r="D936" s="146">
        <v>0.15</v>
      </c>
      <c r="E936" s="139">
        <v>20</v>
      </c>
      <c r="F936" s="139">
        <v>20</v>
      </c>
      <c r="G936" s="229">
        <f>F936/E936</f>
        <v>1</v>
      </c>
      <c r="H936" s="160" t="s">
        <v>594</v>
      </c>
    </row>
    <row r="937" spans="1:8" ht="49.9" customHeight="1" x14ac:dyDescent="0.25">
      <c r="A937" s="599"/>
      <c r="B937" s="138" t="s">
        <v>448</v>
      </c>
      <c r="C937" s="47" t="s">
        <v>447</v>
      </c>
      <c r="D937" s="146">
        <v>0.15</v>
      </c>
      <c r="E937" s="162">
        <v>6</v>
      </c>
      <c r="F937" s="162">
        <v>0.45</v>
      </c>
      <c r="G937" s="229">
        <f t="shared" ref="G937:G942" si="37">F937/E937</f>
        <v>7.4999999999999997E-2</v>
      </c>
      <c r="H937" s="160" t="s">
        <v>589</v>
      </c>
    </row>
    <row r="938" spans="1:8" ht="49.9" customHeight="1" x14ac:dyDescent="0.25">
      <c r="A938" s="599"/>
      <c r="B938" s="138" t="s">
        <v>449</v>
      </c>
      <c r="C938" s="47" t="s">
        <v>447</v>
      </c>
      <c r="D938" s="146">
        <v>0.15</v>
      </c>
      <c r="E938" s="162">
        <v>2</v>
      </c>
      <c r="F938" s="162">
        <v>0.34</v>
      </c>
      <c r="G938" s="229">
        <f t="shared" si="37"/>
        <v>0.17</v>
      </c>
      <c r="H938" s="160" t="s">
        <v>590</v>
      </c>
    </row>
    <row r="939" spans="1:8" ht="49.9" customHeight="1" x14ac:dyDescent="0.25">
      <c r="A939" s="599"/>
      <c r="B939" s="138" t="s">
        <v>450</v>
      </c>
      <c r="C939" s="47" t="s">
        <v>447</v>
      </c>
      <c r="D939" s="146">
        <v>0.15</v>
      </c>
      <c r="E939" s="139">
        <v>1072</v>
      </c>
      <c r="F939" s="139">
        <v>110</v>
      </c>
      <c r="G939" s="229">
        <f t="shared" si="37"/>
        <v>0.10261194029850747</v>
      </c>
      <c r="H939" s="160" t="s">
        <v>595</v>
      </c>
    </row>
    <row r="940" spans="1:8" ht="49.9" customHeight="1" x14ac:dyDescent="0.25">
      <c r="A940" s="599"/>
      <c r="B940" s="138" t="s">
        <v>451</v>
      </c>
      <c r="C940" s="47" t="s">
        <v>447</v>
      </c>
      <c r="D940" s="146">
        <v>0.15</v>
      </c>
      <c r="E940" s="162">
        <v>1</v>
      </c>
      <c r="F940" s="162">
        <v>1</v>
      </c>
      <c r="G940" s="229">
        <f t="shared" si="37"/>
        <v>1</v>
      </c>
      <c r="H940" s="160" t="s">
        <v>592</v>
      </c>
    </row>
    <row r="941" spans="1:8" ht="49.9" customHeight="1" x14ac:dyDescent="0.25">
      <c r="A941" s="599"/>
      <c r="B941" s="138" t="s">
        <v>452</v>
      </c>
      <c r="C941" s="47" t="s">
        <v>447</v>
      </c>
      <c r="D941" s="146">
        <v>0.15</v>
      </c>
      <c r="E941" s="162">
        <v>1097</v>
      </c>
      <c r="F941" s="162">
        <v>32</v>
      </c>
      <c r="G941" s="229">
        <f t="shared" si="37"/>
        <v>2.9170464904284411E-2</v>
      </c>
      <c r="H941" s="160" t="s">
        <v>588</v>
      </c>
    </row>
    <row r="942" spans="1:8" ht="49.9" customHeight="1" x14ac:dyDescent="0.25">
      <c r="A942" s="605"/>
      <c r="B942" s="138" t="s">
        <v>453</v>
      </c>
      <c r="C942" s="47" t="s">
        <v>447</v>
      </c>
      <c r="D942" s="146">
        <v>0.1</v>
      </c>
      <c r="E942" s="165">
        <v>1</v>
      </c>
      <c r="F942" s="122">
        <v>1</v>
      </c>
      <c r="G942" s="229">
        <f t="shared" si="37"/>
        <v>1</v>
      </c>
      <c r="H942" s="160" t="s">
        <v>593</v>
      </c>
    </row>
    <row r="943" spans="1:8" ht="49.9" customHeight="1" x14ac:dyDescent="0.25">
      <c r="A943" s="598" t="s">
        <v>137</v>
      </c>
      <c r="B943" s="138" t="s">
        <v>446</v>
      </c>
      <c r="C943" s="47" t="s">
        <v>447</v>
      </c>
      <c r="D943" s="146">
        <v>0.15</v>
      </c>
      <c r="E943" s="139">
        <v>20</v>
      </c>
      <c r="F943" s="139">
        <v>20</v>
      </c>
      <c r="G943" s="146">
        <f>F943/E943</f>
        <v>1</v>
      </c>
      <c r="H943" s="160" t="s">
        <v>598</v>
      </c>
    </row>
    <row r="944" spans="1:8" ht="49.9" customHeight="1" x14ac:dyDescent="0.25">
      <c r="A944" s="599"/>
      <c r="B944" s="138" t="s">
        <v>448</v>
      </c>
      <c r="C944" s="47" t="s">
        <v>447</v>
      </c>
      <c r="D944" s="146">
        <v>0.15</v>
      </c>
      <c r="E944" s="162">
        <v>6</v>
      </c>
      <c r="F944" s="162">
        <v>1</v>
      </c>
      <c r="G944" s="146">
        <f t="shared" ref="G944:G949" si="38">F944/E944</f>
        <v>0.16666666666666666</v>
      </c>
      <c r="H944" s="160" t="s">
        <v>599</v>
      </c>
    </row>
    <row r="945" spans="1:8" ht="49.9" customHeight="1" x14ac:dyDescent="0.25">
      <c r="A945" s="599"/>
      <c r="B945" s="138" t="s">
        <v>449</v>
      </c>
      <c r="C945" s="47" t="s">
        <v>447</v>
      </c>
      <c r="D945" s="146">
        <v>0.15</v>
      </c>
      <c r="E945" s="162">
        <v>2</v>
      </c>
      <c r="F945" s="162">
        <v>0.5</v>
      </c>
      <c r="G945" s="146">
        <f t="shared" si="38"/>
        <v>0.25</v>
      </c>
      <c r="H945" s="160" t="s">
        <v>600</v>
      </c>
    </row>
    <row r="946" spans="1:8" ht="49.9" customHeight="1" x14ac:dyDescent="0.25">
      <c r="A946" s="599"/>
      <c r="B946" s="138" t="s">
        <v>450</v>
      </c>
      <c r="C946" s="47" t="s">
        <v>447</v>
      </c>
      <c r="D946" s="146">
        <v>0.15</v>
      </c>
      <c r="E946" s="139">
        <v>1072</v>
      </c>
      <c r="F946" s="139">
        <v>196</v>
      </c>
      <c r="G946" s="146">
        <f t="shared" si="38"/>
        <v>0.18283582089552239</v>
      </c>
      <c r="H946" s="160" t="s">
        <v>602</v>
      </c>
    </row>
    <row r="947" spans="1:8" ht="49.9" customHeight="1" x14ac:dyDescent="0.25">
      <c r="A947" s="599"/>
      <c r="B947" s="138" t="s">
        <v>451</v>
      </c>
      <c r="C947" s="47" t="s">
        <v>447</v>
      </c>
      <c r="D947" s="146">
        <v>0.15</v>
      </c>
      <c r="E947" s="162">
        <v>1</v>
      </c>
      <c r="F947" s="162">
        <v>1</v>
      </c>
      <c r="G947" s="146">
        <f t="shared" si="38"/>
        <v>1</v>
      </c>
      <c r="H947" s="160" t="s">
        <v>601</v>
      </c>
    </row>
    <row r="948" spans="1:8" ht="49.9" customHeight="1" x14ac:dyDescent="0.25">
      <c r="A948" s="599"/>
      <c r="B948" s="138" t="s">
        <v>452</v>
      </c>
      <c r="C948" s="47" t="s">
        <v>447</v>
      </c>
      <c r="D948" s="146">
        <v>0.15</v>
      </c>
      <c r="E948" s="162">
        <v>1097</v>
      </c>
      <c r="F948" s="162">
        <v>87</v>
      </c>
      <c r="G948" s="146">
        <f t="shared" si="38"/>
        <v>7.9307201458523241E-2</v>
      </c>
      <c r="H948" s="160" t="s">
        <v>603</v>
      </c>
    </row>
    <row r="949" spans="1:8" ht="49.9" customHeight="1" x14ac:dyDescent="0.25">
      <c r="A949" s="605"/>
      <c r="B949" s="138" t="s">
        <v>453</v>
      </c>
      <c r="C949" s="47" t="s">
        <v>447</v>
      </c>
      <c r="D949" s="146">
        <v>0.1</v>
      </c>
      <c r="E949" s="165">
        <v>1</v>
      </c>
      <c r="F949" s="122">
        <v>1</v>
      </c>
      <c r="G949" s="146">
        <f t="shared" si="38"/>
        <v>1</v>
      </c>
      <c r="H949" s="160" t="s">
        <v>604</v>
      </c>
    </row>
    <row r="950" spans="1:8" ht="49.9" customHeight="1" x14ac:dyDescent="0.25">
      <c r="A950" s="598" t="s">
        <v>138</v>
      </c>
      <c r="B950" s="138" t="s">
        <v>446</v>
      </c>
      <c r="C950" s="47" t="s">
        <v>447</v>
      </c>
      <c r="D950" s="146">
        <v>0.15</v>
      </c>
      <c r="E950" s="139">
        <v>20</v>
      </c>
      <c r="F950" s="139">
        <v>20</v>
      </c>
      <c r="G950" s="146">
        <f>F950/E950</f>
        <v>1</v>
      </c>
      <c r="H950" s="160">
        <v>0</v>
      </c>
    </row>
    <row r="951" spans="1:8" ht="49.9" customHeight="1" x14ac:dyDescent="0.25">
      <c r="A951" s="599"/>
      <c r="B951" s="138" t="s">
        <v>448</v>
      </c>
      <c r="C951" s="47" t="s">
        <v>447</v>
      </c>
      <c r="D951" s="146">
        <v>0.15</v>
      </c>
      <c r="E951" s="162">
        <v>6</v>
      </c>
      <c r="F951" s="162">
        <v>1.6</v>
      </c>
      <c r="G951" s="146">
        <f t="shared" ref="G951:G956" si="39">F951/E951</f>
        <v>0.26666666666666666</v>
      </c>
      <c r="H951" s="160" t="s">
        <v>608</v>
      </c>
    </row>
    <row r="952" spans="1:8" ht="49.9" customHeight="1" x14ac:dyDescent="0.25">
      <c r="A952" s="599"/>
      <c r="B952" s="138" t="s">
        <v>449</v>
      </c>
      <c r="C952" s="47" t="s">
        <v>447</v>
      </c>
      <c r="D952" s="146">
        <v>0.15</v>
      </c>
      <c r="E952" s="162">
        <v>2</v>
      </c>
      <c r="F952" s="162">
        <v>0.5</v>
      </c>
      <c r="G952" s="146">
        <f t="shared" si="39"/>
        <v>0.25</v>
      </c>
      <c r="H952" s="160" t="s">
        <v>610</v>
      </c>
    </row>
    <row r="953" spans="1:8" ht="49.9" customHeight="1" x14ac:dyDescent="0.25">
      <c r="A953" s="599"/>
      <c r="B953" s="138" t="s">
        <v>450</v>
      </c>
      <c r="C953" s="47" t="s">
        <v>447</v>
      </c>
      <c r="D953" s="146">
        <v>0.15</v>
      </c>
      <c r="E953" s="139">
        <v>1072</v>
      </c>
      <c r="F953" s="139">
        <v>196</v>
      </c>
      <c r="G953" s="146">
        <f t="shared" si="39"/>
        <v>0.18283582089552239</v>
      </c>
      <c r="H953" s="160" t="s">
        <v>609</v>
      </c>
    </row>
    <row r="954" spans="1:8" ht="49.9" customHeight="1" x14ac:dyDescent="0.25">
      <c r="A954" s="599"/>
      <c r="B954" s="138" t="s">
        <v>451</v>
      </c>
      <c r="C954" s="47" t="s">
        <v>447</v>
      </c>
      <c r="D954" s="146">
        <v>0.15</v>
      </c>
      <c r="E954" s="162">
        <v>1</v>
      </c>
      <c r="F954" s="162">
        <v>1</v>
      </c>
      <c r="G954" s="146">
        <f t="shared" si="39"/>
        <v>1</v>
      </c>
      <c r="H954" s="160" t="s">
        <v>607</v>
      </c>
    </row>
    <row r="955" spans="1:8" ht="49.9" customHeight="1" x14ac:dyDescent="0.25">
      <c r="A955" s="599"/>
      <c r="B955" s="138" t="s">
        <v>452</v>
      </c>
      <c r="C955" s="47" t="s">
        <v>447</v>
      </c>
      <c r="D955" s="146">
        <v>0.15</v>
      </c>
      <c r="E955" s="162">
        <v>1097</v>
      </c>
      <c r="F955" s="162">
        <v>87</v>
      </c>
      <c r="G955" s="146">
        <f t="shared" si="39"/>
        <v>7.9307201458523241E-2</v>
      </c>
      <c r="H955" s="160" t="s">
        <v>611</v>
      </c>
    </row>
    <row r="956" spans="1:8" ht="49.9" customHeight="1" x14ac:dyDescent="0.25">
      <c r="A956" s="605" t="s">
        <v>139</v>
      </c>
      <c r="B956" s="138" t="s">
        <v>453</v>
      </c>
      <c r="C956" s="47" t="s">
        <v>447</v>
      </c>
      <c r="D956" s="146">
        <v>0.1</v>
      </c>
      <c r="E956" s="165">
        <v>1</v>
      </c>
      <c r="F956" s="122">
        <v>1</v>
      </c>
      <c r="G956" s="146">
        <f t="shared" si="39"/>
        <v>1</v>
      </c>
      <c r="H956" s="160" t="s">
        <v>605</v>
      </c>
    </row>
    <row r="957" spans="1:8" ht="49.9" customHeight="1" x14ac:dyDescent="0.25">
      <c r="A957" s="598" t="s">
        <v>139</v>
      </c>
      <c r="B957" s="138" t="s">
        <v>446</v>
      </c>
      <c r="C957" s="47" t="s">
        <v>447</v>
      </c>
      <c r="D957" s="146">
        <v>0.15</v>
      </c>
      <c r="E957" s="139">
        <v>20</v>
      </c>
      <c r="F957" s="139">
        <v>20</v>
      </c>
      <c r="G957" s="146">
        <f>F957/E957</f>
        <v>1</v>
      </c>
      <c r="H957" s="160" t="s">
        <v>616</v>
      </c>
    </row>
    <row r="958" spans="1:8" ht="49.9" customHeight="1" x14ac:dyDescent="0.25">
      <c r="A958" s="599"/>
      <c r="B958" s="138" t="s">
        <v>448</v>
      </c>
      <c r="C958" s="47" t="s">
        <v>447</v>
      </c>
      <c r="D958" s="146">
        <v>0.15</v>
      </c>
      <c r="E958" s="162">
        <v>6</v>
      </c>
      <c r="F958" s="162">
        <v>2.2999999999999998</v>
      </c>
      <c r="G958" s="146">
        <f t="shared" ref="G958:G963" si="40">F958/E958</f>
        <v>0.3833333333333333</v>
      </c>
      <c r="H958" s="160" t="s">
        <v>615</v>
      </c>
    </row>
    <row r="959" spans="1:8" ht="49.9" customHeight="1" x14ac:dyDescent="0.25">
      <c r="A959" s="599"/>
      <c r="B959" s="138" t="s">
        <v>449</v>
      </c>
      <c r="C959" s="47" t="s">
        <v>447</v>
      </c>
      <c r="D959" s="146">
        <v>0.15</v>
      </c>
      <c r="E959" s="162">
        <v>2</v>
      </c>
      <c r="F959" s="162">
        <v>0.81</v>
      </c>
      <c r="G959" s="146">
        <f t="shared" si="40"/>
        <v>0.40500000000000003</v>
      </c>
      <c r="H959" s="160" t="s">
        <v>617</v>
      </c>
    </row>
    <row r="960" spans="1:8" ht="49.9" customHeight="1" x14ac:dyDescent="0.25">
      <c r="A960" s="599"/>
      <c r="B960" s="138" t="s">
        <v>450</v>
      </c>
      <c r="C960" s="47" t="s">
        <v>447</v>
      </c>
      <c r="D960" s="146">
        <v>0.15</v>
      </c>
      <c r="E960" s="139">
        <v>1072</v>
      </c>
      <c r="F960" s="139">
        <v>466</v>
      </c>
      <c r="G960" s="146">
        <f t="shared" si="40"/>
        <v>0.43470149253731344</v>
      </c>
      <c r="H960" s="160" t="s">
        <v>613</v>
      </c>
    </row>
    <row r="961" spans="1:8" ht="49.9" customHeight="1" x14ac:dyDescent="0.25">
      <c r="A961" s="599"/>
      <c r="B961" s="138" t="s">
        <v>451</v>
      </c>
      <c r="C961" s="47" t="s">
        <v>447</v>
      </c>
      <c r="D961" s="146">
        <v>0.15</v>
      </c>
      <c r="E961" s="162">
        <v>1</v>
      </c>
      <c r="F961" s="162">
        <v>1</v>
      </c>
      <c r="G961" s="146">
        <f t="shared" si="40"/>
        <v>1</v>
      </c>
      <c r="H961" s="160" t="s">
        <v>614</v>
      </c>
    </row>
    <row r="962" spans="1:8" ht="49.9" customHeight="1" x14ac:dyDescent="0.25">
      <c r="A962" s="599"/>
      <c r="B962" s="138" t="s">
        <v>452</v>
      </c>
      <c r="C962" s="47" t="s">
        <v>447</v>
      </c>
      <c r="D962" s="146">
        <v>0.15</v>
      </c>
      <c r="E962" s="162">
        <v>1097</v>
      </c>
      <c r="F962" s="162">
        <v>460</v>
      </c>
      <c r="G962" s="146">
        <f t="shared" si="40"/>
        <v>0.41932543299908842</v>
      </c>
      <c r="H962" s="160" t="s">
        <v>612</v>
      </c>
    </row>
    <row r="963" spans="1:8" ht="49.9" customHeight="1" x14ac:dyDescent="0.25">
      <c r="A963" s="605"/>
      <c r="B963" s="138" t="s">
        <v>453</v>
      </c>
      <c r="C963" s="47" t="s">
        <v>447</v>
      </c>
      <c r="D963" s="146">
        <v>0.1</v>
      </c>
      <c r="E963" s="165">
        <v>1</v>
      </c>
      <c r="F963" s="122">
        <v>1</v>
      </c>
      <c r="G963" s="146">
        <f t="shared" si="40"/>
        <v>1</v>
      </c>
      <c r="H963" s="160" t="s">
        <v>618</v>
      </c>
    </row>
    <row r="964" spans="1:8" ht="49.9" customHeight="1" x14ac:dyDescent="0.25">
      <c r="A964" s="598" t="s">
        <v>140</v>
      </c>
      <c r="B964" s="138" t="s">
        <v>446</v>
      </c>
      <c r="C964" s="47" t="s">
        <v>447</v>
      </c>
      <c r="D964" s="146">
        <v>0.15</v>
      </c>
      <c r="E964" s="139">
        <v>20</v>
      </c>
      <c r="F964" s="139">
        <v>20</v>
      </c>
      <c r="G964" s="146">
        <f>F964/E964</f>
        <v>1</v>
      </c>
      <c r="H964" s="160" t="s">
        <v>626</v>
      </c>
    </row>
    <row r="965" spans="1:8" ht="49.9" customHeight="1" x14ac:dyDescent="0.25">
      <c r="A965" s="599"/>
      <c r="B965" s="138" t="s">
        <v>448</v>
      </c>
      <c r="C965" s="47" t="s">
        <v>447</v>
      </c>
      <c r="D965" s="146">
        <v>0.15</v>
      </c>
      <c r="E965" s="162">
        <v>6</v>
      </c>
      <c r="F965" s="162">
        <v>3</v>
      </c>
      <c r="G965" s="146">
        <f t="shared" ref="G965:G970" si="41">F965/E965</f>
        <v>0.5</v>
      </c>
      <c r="H965" s="160" t="s">
        <v>622</v>
      </c>
    </row>
    <row r="966" spans="1:8" ht="49.9" customHeight="1" x14ac:dyDescent="0.25">
      <c r="A966" s="599"/>
      <c r="B966" s="138" t="s">
        <v>449</v>
      </c>
      <c r="C966" s="47" t="s">
        <v>447</v>
      </c>
      <c r="D966" s="146">
        <v>0.15</v>
      </c>
      <c r="E966" s="162">
        <v>2</v>
      </c>
      <c r="F966" s="162">
        <v>1</v>
      </c>
      <c r="G966" s="146">
        <f t="shared" si="41"/>
        <v>0.5</v>
      </c>
      <c r="H966" s="160" t="s">
        <v>625</v>
      </c>
    </row>
    <row r="967" spans="1:8" ht="49.9" customHeight="1" x14ac:dyDescent="0.25">
      <c r="A967" s="599"/>
      <c r="B967" s="138" t="s">
        <v>450</v>
      </c>
      <c r="C967" s="47" t="s">
        <v>447</v>
      </c>
      <c r="D967" s="146">
        <v>0.15</v>
      </c>
      <c r="E967" s="139">
        <v>1072</v>
      </c>
      <c r="F967" s="139">
        <v>579</v>
      </c>
      <c r="G967" s="146">
        <f t="shared" si="41"/>
        <v>0.54011194029850751</v>
      </c>
      <c r="H967" s="160" t="s">
        <v>621</v>
      </c>
    </row>
    <row r="968" spans="1:8" ht="49.9" customHeight="1" x14ac:dyDescent="0.25">
      <c r="A968" s="599"/>
      <c r="B968" s="138" t="s">
        <v>451</v>
      </c>
      <c r="C968" s="47" t="s">
        <v>447</v>
      </c>
      <c r="D968" s="146">
        <v>0.15</v>
      </c>
      <c r="E968" s="162">
        <v>1</v>
      </c>
      <c r="F968" s="162">
        <v>1</v>
      </c>
      <c r="G968" s="146">
        <f t="shared" si="41"/>
        <v>1</v>
      </c>
      <c r="H968" s="160" t="s">
        <v>624</v>
      </c>
    </row>
    <row r="969" spans="1:8" ht="49.9" customHeight="1" x14ac:dyDescent="0.25">
      <c r="A969" s="599"/>
      <c r="B969" s="138" t="s">
        <v>452</v>
      </c>
      <c r="C969" s="47" t="s">
        <v>447</v>
      </c>
      <c r="D969" s="146">
        <v>0.15</v>
      </c>
      <c r="E969" s="162">
        <v>1097</v>
      </c>
      <c r="F969" s="162">
        <v>547</v>
      </c>
      <c r="G969" s="146">
        <f t="shared" si="41"/>
        <v>0.49863263445761169</v>
      </c>
      <c r="H969" s="160" t="s">
        <v>623</v>
      </c>
    </row>
    <row r="970" spans="1:8" ht="49.9" customHeight="1" x14ac:dyDescent="0.25">
      <c r="A970" s="605"/>
      <c r="B970" s="138" t="s">
        <v>453</v>
      </c>
      <c r="C970" s="47" t="s">
        <v>447</v>
      </c>
      <c r="D970" s="146">
        <v>0.1</v>
      </c>
      <c r="E970" s="165">
        <v>1</v>
      </c>
      <c r="F970" s="122">
        <v>1</v>
      </c>
      <c r="G970" s="146">
        <f t="shared" si="41"/>
        <v>1</v>
      </c>
      <c r="H970" s="160" t="s">
        <v>620</v>
      </c>
    </row>
    <row r="971" spans="1:8" ht="49.9" customHeight="1" x14ac:dyDescent="0.25">
      <c r="A971" s="598" t="s">
        <v>128</v>
      </c>
      <c r="B971" s="138" t="s">
        <v>446</v>
      </c>
      <c r="C971" s="47" t="s">
        <v>447</v>
      </c>
      <c r="D971" s="146">
        <v>0.15</v>
      </c>
      <c r="E971" s="139">
        <v>20</v>
      </c>
      <c r="F971" s="139">
        <v>20</v>
      </c>
      <c r="G971" s="146">
        <f>F971/E971</f>
        <v>1</v>
      </c>
      <c r="H971" s="160" t="s">
        <v>630</v>
      </c>
    </row>
    <row r="972" spans="1:8" ht="49.9" customHeight="1" x14ac:dyDescent="0.25">
      <c r="A972" s="599"/>
      <c r="B972" s="138" t="s">
        <v>448</v>
      </c>
      <c r="C972" s="47" t="s">
        <v>447</v>
      </c>
      <c r="D972" s="146">
        <v>0.15</v>
      </c>
      <c r="E972" s="162">
        <v>6</v>
      </c>
      <c r="F972" s="162">
        <v>3.3</v>
      </c>
      <c r="G972" s="146">
        <f t="shared" ref="G972:G977" si="42">F972/E972</f>
        <v>0.54999999999999993</v>
      </c>
      <c r="H972" s="160" t="s">
        <v>631</v>
      </c>
    </row>
    <row r="973" spans="1:8" ht="49.9" customHeight="1" x14ac:dyDescent="0.25">
      <c r="A973" s="599"/>
      <c r="B973" s="138" t="s">
        <v>449</v>
      </c>
      <c r="C973" s="47" t="s">
        <v>447</v>
      </c>
      <c r="D973" s="146">
        <v>0.15</v>
      </c>
      <c r="E973" s="162">
        <v>2</v>
      </c>
      <c r="F973" s="162">
        <v>1.17</v>
      </c>
      <c r="G973" s="146">
        <f t="shared" si="42"/>
        <v>0.58499999999999996</v>
      </c>
      <c r="H973" s="160" t="s">
        <v>632</v>
      </c>
    </row>
    <row r="974" spans="1:8" ht="49.9" customHeight="1" x14ac:dyDescent="0.25">
      <c r="A974" s="599"/>
      <c r="B974" s="138" t="s">
        <v>450</v>
      </c>
      <c r="C974" s="47" t="s">
        <v>447</v>
      </c>
      <c r="D974" s="146">
        <v>0.15</v>
      </c>
      <c r="E974" s="139">
        <v>1072</v>
      </c>
      <c r="F974" s="139">
        <v>699</v>
      </c>
      <c r="G974" s="146">
        <f t="shared" si="42"/>
        <v>0.65205223880597019</v>
      </c>
      <c r="H974" s="160" t="s">
        <v>628</v>
      </c>
    </row>
    <row r="975" spans="1:8" ht="49.9" customHeight="1" x14ac:dyDescent="0.25">
      <c r="A975" s="599"/>
      <c r="B975" s="138" t="s">
        <v>451</v>
      </c>
      <c r="C975" s="47" t="s">
        <v>447</v>
      </c>
      <c r="D975" s="146">
        <v>0.15</v>
      </c>
      <c r="E975" s="162">
        <v>1</v>
      </c>
      <c r="F975" s="162">
        <v>1</v>
      </c>
      <c r="G975" s="146">
        <f t="shared" si="42"/>
        <v>1</v>
      </c>
      <c r="H975" s="160" t="s">
        <v>629</v>
      </c>
    </row>
    <row r="976" spans="1:8" ht="49.9" customHeight="1" x14ac:dyDescent="0.25">
      <c r="A976" s="599"/>
      <c r="B976" s="138" t="s">
        <v>452</v>
      </c>
      <c r="C976" s="47" t="s">
        <v>447</v>
      </c>
      <c r="D976" s="146">
        <v>0.15</v>
      </c>
      <c r="E976" s="162">
        <v>1097</v>
      </c>
      <c r="F976" s="162">
        <v>612</v>
      </c>
      <c r="G976" s="146">
        <f t="shared" si="42"/>
        <v>0.55788514129443934</v>
      </c>
      <c r="H976" s="160" t="s">
        <v>627</v>
      </c>
    </row>
    <row r="977" spans="1:8" ht="49.9" customHeight="1" x14ac:dyDescent="0.25">
      <c r="A977" s="605"/>
      <c r="B977" s="138" t="s">
        <v>453</v>
      </c>
      <c r="C977" s="47" t="s">
        <v>447</v>
      </c>
      <c r="D977" s="146">
        <v>0.1</v>
      </c>
      <c r="E977" s="165">
        <v>1</v>
      </c>
      <c r="F977" s="122">
        <v>1</v>
      </c>
      <c r="G977" s="146">
        <f t="shared" si="42"/>
        <v>1</v>
      </c>
      <c r="H977" s="160" t="s">
        <v>633</v>
      </c>
    </row>
    <row r="978" spans="1:8" ht="49.9" customHeight="1" x14ac:dyDescent="0.25">
      <c r="A978" s="598" t="s">
        <v>129</v>
      </c>
      <c r="B978" s="138" t="s">
        <v>446</v>
      </c>
      <c r="C978" s="47" t="s">
        <v>447</v>
      </c>
      <c r="D978" s="146">
        <v>0.15</v>
      </c>
      <c r="E978" s="139">
        <v>20</v>
      </c>
      <c r="F978" s="139">
        <v>20</v>
      </c>
      <c r="G978" s="146">
        <f>F978/E978</f>
        <v>1</v>
      </c>
      <c r="H978" s="214" t="s">
        <v>641</v>
      </c>
    </row>
    <row r="979" spans="1:8" ht="49.9" customHeight="1" x14ac:dyDescent="0.25">
      <c r="A979" s="599"/>
      <c r="B979" s="138" t="s">
        <v>448</v>
      </c>
      <c r="C979" s="47" t="s">
        <v>447</v>
      </c>
      <c r="D979" s="146">
        <v>0.15</v>
      </c>
      <c r="E979" s="162">
        <v>6</v>
      </c>
      <c r="F979" s="162"/>
      <c r="G979" s="146">
        <f t="shared" ref="G979:G984" si="43">F979/E979</f>
        <v>0</v>
      </c>
      <c r="H979" s="214" t="s">
        <v>637</v>
      </c>
    </row>
    <row r="980" spans="1:8" ht="49.9" customHeight="1" x14ac:dyDescent="0.25">
      <c r="A980" s="599"/>
      <c r="B980" s="138" t="s">
        <v>449</v>
      </c>
      <c r="C980" s="47" t="s">
        <v>447</v>
      </c>
      <c r="D980" s="146">
        <v>0.15</v>
      </c>
      <c r="E980" s="162">
        <v>2</v>
      </c>
      <c r="F980" s="162"/>
      <c r="G980" s="146">
        <f t="shared" si="43"/>
        <v>0</v>
      </c>
      <c r="H980" s="214" t="s">
        <v>640</v>
      </c>
    </row>
    <row r="981" spans="1:8" ht="49.9" customHeight="1" x14ac:dyDescent="0.25">
      <c r="A981" s="599"/>
      <c r="B981" s="138" t="s">
        <v>450</v>
      </c>
      <c r="C981" s="47" t="s">
        <v>447</v>
      </c>
      <c r="D981" s="146">
        <v>0.15</v>
      </c>
      <c r="E981" s="139">
        <v>1072</v>
      </c>
      <c r="F981" s="139"/>
      <c r="G981" s="146">
        <f t="shared" si="43"/>
        <v>0</v>
      </c>
      <c r="H981" s="214" t="s">
        <v>636</v>
      </c>
    </row>
    <row r="982" spans="1:8" ht="49.9" customHeight="1" x14ac:dyDescent="0.25">
      <c r="A982" s="599"/>
      <c r="B982" s="138" t="s">
        <v>451</v>
      </c>
      <c r="C982" s="47" t="s">
        <v>447</v>
      </c>
      <c r="D982" s="146">
        <v>0.15</v>
      </c>
      <c r="E982" s="162">
        <v>1</v>
      </c>
      <c r="F982" s="162">
        <v>1</v>
      </c>
      <c r="G982" s="146">
        <f t="shared" si="43"/>
        <v>1</v>
      </c>
      <c r="H982" s="214" t="s">
        <v>638</v>
      </c>
    </row>
    <row r="983" spans="1:8" ht="49.9" customHeight="1" x14ac:dyDescent="0.25">
      <c r="A983" s="599"/>
      <c r="B983" s="138" t="s">
        <v>452</v>
      </c>
      <c r="C983" s="47" t="s">
        <v>447</v>
      </c>
      <c r="D983" s="146">
        <v>0.15</v>
      </c>
      <c r="E983" s="162">
        <v>1097</v>
      </c>
      <c r="F983" s="162"/>
      <c r="G983" s="146">
        <f t="shared" si="43"/>
        <v>0</v>
      </c>
      <c r="H983" s="214" t="s">
        <v>635</v>
      </c>
    </row>
    <row r="984" spans="1:8" ht="49.9" customHeight="1" x14ac:dyDescent="0.25">
      <c r="A984" s="605"/>
      <c r="B984" s="138" t="s">
        <v>453</v>
      </c>
      <c r="C984" s="47" t="s">
        <v>447</v>
      </c>
      <c r="D984" s="146">
        <v>0.1</v>
      </c>
      <c r="E984" s="165">
        <v>1</v>
      </c>
      <c r="F984" s="122">
        <v>1</v>
      </c>
      <c r="G984" s="146">
        <f t="shared" si="43"/>
        <v>1</v>
      </c>
      <c r="H984" s="214" t="s">
        <v>639</v>
      </c>
    </row>
    <row r="985" spans="1:8" ht="49.9" customHeight="1" x14ac:dyDescent="0.25">
      <c r="A985" s="598" t="s">
        <v>130</v>
      </c>
      <c r="B985" s="138" t="s">
        <v>446</v>
      </c>
      <c r="C985" s="47" t="s">
        <v>447</v>
      </c>
      <c r="D985" s="146">
        <v>0.15</v>
      </c>
      <c r="E985" s="139">
        <v>20</v>
      </c>
      <c r="F985" s="139">
        <v>20</v>
      </c>
      <c r="G985" s="146">
        <f>F985/E985</f>
        <v>1</v>
      </c>
      <c r="H985" s="214" t="s">
        <v>667</v>
      </c>
    </row>
    <row r="986" spans="1:8" ht="49.9" customHeight="1" x14ac:dyDescent="0.25">
      <c r="A986" s="599"/>
      <c r="B986" s="138" t="s">
        <v>448</v>
      </c>
      <c r="C986" s="47" t="s">
        <v>447</v>
      </c>
      <c r="D986" s="146">
        <v>0.15</v>
      </c>
      <c r="E986" s="162">
        <v>6</v>
      </c>
      <c r="F986" s="162">
        <v>4.0999999999999996</v>
      </c>
      <c r="G986" s="146">
        <f t="shared" ref="G986:G991" si="44">F986/E986</f>
        <v>0.68333333333333324</v>
      </c>
      <c r="H986" s="214" t="s">
        <v>658</v>
      </c>
    </row>
    <row r="987" spans="1:8" ht="49.9" customHeight="1" x14ac:dyDescent="0.25">
      <c r="A987" s="599"/>
      <c r="B987" s="138" t="s">
        <v>449</v>
      </c>
      <c r="C987" s="47" t="s">
        <v>447</v>
      </c>
      <c r="D987" s="146">
        <v>0.15</v>
      </c>
      <c r="E987" s="162">
        <v>2</v>
      </c>
      <c r="F987" s="162">
        <v>1.51</v>
      </c>
      <c r="G987" s="146">
        <f t="shared" si="44"/>
        <v>0.755</v>
      </c>
      <c r="H987" s="214" t="s">
        <v>668</v>
      </c>
    </row>
    <row r="988" spans="1:8" ht="49.9" customHeight="1" x14ac:dyDescent="0.25">
      <c r="A988" s="599"/>
      <c r="B988" s="138" t="s">
        <v>450</v>
      </c>
      <c r="C988" s="47" t="s">
        <v>447</v>
      </c>
      <c r="D988" s="146">
        <v>0.15</v>
      </c>
      <c r="E988" s="139">
        <v>1072</v>
      </c>
      <c r="F988" s="139">
        <v>1082</v>
      </c>
      <c r="G988" s="146">
        <f t="shared" si="44"/>
        <v>1.0093283582089552</v>
      </c>
      <c r="H988" s="214" t="s">
        <v>655</v>
      </c>
    </row>
    <row r="989" spans="1:8" ht="49.9" customHeight="1" x14ac:dyDescent="0.25">
      <c r="A989" s="599"/>
      <c r="B989" s="138" t="s">
        <v>451</v>
      </c>
      <c r="C989" s="47" t="s">
        <v>447</v>
      </c>
      <c r="D989" s="146">
        <v>0.15</v>
      </c>
      <c r="E989" s="162">
        <v>1</v>
      </c>
      <c r="F989" s="162">
        <v>1</v>
      </c>
      <c r="G989" s="146">
        <f t="shared" si="44"/>
        <v>1</v>
      </c>
      <c r="H989" s="214" t="s">
        <v>638</v>
      </c>
    </row>
    <row r="990" spans="1:8" ht="49.9" customHeight="1" x14ac:dyDescent="0.25">
      <c r="A990" s="599"/>
      <c r="B990" s="138" t="s">
        <v>452</v>
      </c>
      <c r="C990" s="47" t="s">
        <v>447</v>
      </c>
      <c r="D990" s="146">
        <v>0.15</v>
      </c>
      <c r="E990" s="162">
        <v>1097</v>
      </c>
      <c r="F990" s="162">
        <v>882</v>
      </c>
      <c r="G990" s="146">
        <f t="shared" si="44"/>
        <v>0.80401093892433906</v>
      </c>
      <c r="H990" s="214" t="s">
        <v>648</v>
      </c>
    </row>
    <row r="991" spans="1:8" ht="49.9" customHeight="1" x14ac:dyDescent="0.25">
      <c r="A991" s="605"/>
      <c r="B991" s="138" t="s">
        <v>453</v>
      </c>
      <c r="C991" s="47" t="s">
        <v>447</v>
      </c>
      <c r="D991" s="146">
        <v>0.1</v>
      </c>
      <c r="E991" s="165">
        <v>1</v>
      </c>
      <c r="F991" s="122">
        <v>1</v>
      </c>
      <c r="G991" s="146">
        <f t="shared" si="44"/>
        <v>1</v>
      </c>
      <c r="H991" s="214" t="s">
        <v>642</v>
      </c>
    </row>
    <row r="992" spans="1:8" x14ac:dyDescent="0.25">
      <c r="A992" s="38" t="s">
        <v>131</v>
      </c>
      <c r="B992" s="38"/>
      <c r="C992" s="38"/>
      <c r="D992" s="38"/>
      <c r="E992" s="38"/>
      <c r="F992" s="38"/>
      <c r="G992" s="38" t="e">
        <f t="shared" ref="G992:G994" si="45">F992/E992</f>
        <v>#DIV/0!</v>
      </c>
      <c r="H992" s="38"/>
    </row>
    <row r="993" spans="1:8" x14ac:dyDescent="0.25">
      <c r="A993" s="38" t="s">
        <v>132</v>
      </c>
      <c r="B993" s="38"/>
      <c r="C993" s="38"/>
      <c r="D993" s="38"/>
      <c r="E993" s="38"/>
      <c r="F993" s="38"/>
      <c r="G993" s="38" t="e">
        <f t="shared" si="45"/>
        <v>#DIV/0!</v>
      </c>
      <c r="H993" s="38"/>
    </row>
    <row r="994" spans="1:8" x14ac:dyDescent="0.25">
      <c r="A994" s="38" t="s">
        <v>133</v>
      </c>
      <c r="B994" s="38"/>
      <c r="C994" s="38"/>
      <c r="D994" s="38"/>
      <c r="E994" s="38"/>
      <c r="F994" s="38"/>
      <c r="G994" s="38" t="e">
        <f t="shared" si="45"/>
        <v>#DIV/0!</v>
      </c>
      <c r="H994" s="38"/>
    </row>
    <row r="996" spans="1:8" ht="20.25" hidden="1" x14ac:dyDescent="0.3">
      <c r="A996" s="614" t="s">
        <v>190</v>
      </c>
      <c r="B996" s="615"/>
      <c r="C996" s="615"/>
      <c r="D996" s="615"/>
      <c r="E996" s="615"/>
      <c r="F996" s="615"/>
      <c r="G996" s="615"/>
      <c r="H996" s="616"/>
    </row>
    <row r="997" spans="1:8" ht="52.5" hidden="1" customHeight="1" x14ac:dyDescent="0.25">
      <c r="A997" s="140" t="s">
        <v>62</v>
      </c>
      <c r="B997" s="37" t="s">
        <v>182</v>
      </c>
      <c r="C997" s="41" t="s">
        <v>148</v>
      </c>
      <c r="D997" s="41" t="s">
        <v>162</v>
      </c>
      <c r="E997" s="41" t="s">
        <v>191</v>
      </c>
      <c r="F997" s="41" t="s">
        <v>192</v>
      </c>
      <c r="G997" s="41" t="s">
        <v>193</v>
      </c>
      <c r="H997" s="37" t="s">
        <v>171</v>
      </c>
    </row>
    <row r="998" spans="1:8" ht="16.5" hidden="1" customHeight="1" x14ac:dyDescent="0.25">
      <c r="A998" s="38" t="s">
        <v>135</v>
      </c>
      <c r="B998" s="38"/>
      <c r="C998" s="38"/>
      <c r="D998" s="38"/>
      <c r="E998" s="38"/>
      <c r="F998" s="38"/>
      <c r="G998" s="38" t="e">
        <f>F998/E998</f>
        <v>#DIV/0!</v>
      </c>
      <c r="H998" s="38"/>
    </row>
    <row r="999" spans="1:8" ht="16.5" hidden="1" customHeight="1" x14ac:dyDescent="0.25">
      <c r="A999" s="38" t="s">
        <v>136</v>
      </c>
      <c r="B999" s="38"/>
      <c r="C999" s="38"/>
      <c r="D999" s="38"/>
      <c r="E999" s="38"/>
      <c r="F999" s="38"/>
      <c r="G999" s="38" t="e">
        <f t="shared" ref="G999:G1009" si="46">F999/E999</f>
        <v>#DIV/0!</v>
      </c>
      <c r="H999" s="38"/>
    </row>
    <row r="1000" spans="1:8" ht="16.5" hidden="1" customHeight="1" x14ac:dyDescent="0.25">
      <c r="A1000" s="38" t="s">
        <v>137</v>
      </c>
      <c r="B1000" s="38"/>
      <c r="C1000" s="38"/>
      <c r="D1000" s="38"/>
      <c r="E1000" s="38"/>
      <c r="F1000" s="38"/>
      <c r="G1000" s="38" t="e">
        <f t="shared" si="46"/>
        <v>#DIV/0!</v>
      </c>
      <c r="H1000" s="38"/>
    </row>
    <row r="1001" spans="1:8" ht="16.5" hidden="1" customHeight="1" x14ac:dyDescent="0.25">
      <c r="A1001" s="38" t="s">
        <v>138</v>
      </c>
      <c r="B1001" s="38"/>
      <c r="C1001" s="38"/>
      <c r="D1001" s="38"/>
      <c r="E1001" s="38"/>
      <c r="F1001" s="38"/>
      <c r="G1001" s="38" t="e">
        <f t="shared" si="46"/>
        <v>#DIV/0!</v>
      </c>
      <c r="H1001" s="38"/>
    </row>
    <row r="1002" spans="1:8" ht="16.5" hidden="1" customHeight="1" x14ac:dyDescent="0.25">
      <c r="A1002" s="38" t="s">
        <v>139</v>
      </c>
      <c r="B1002" s="38"/>
      <c r="C1002" s="38"/>
      <c r="D1002" s="38"/>
      <c r="E1002" s="38"/>
      <c r="F1002" s="38"/>
      <c r="G1002" s="38" t="e">
        <f t="shared" si="46"/>
        <v>#DIV/0!</v>
      </c>
      <c r="H1002" s="38"/>
    </row>
    <row r="1003" spans="1:8" ht="16.5" hidden="1" customHeight="1" x14ac:dyDescent="0.25">
      <c r="A1003" s="38" t="s">
        <v>140</v>
      </c>
      <c r="B1003" s="38"/>
      <c r="C1003" s="38"/>
      <c r="D1003" s="38"/>
      <c r="E1003" s="38"/>
      <c r="F1003" s="38"/>
      <c r="G1003" s="38" t="e">
        <f t="shared" si="46"/>
        <v>#DIV/0!</v>
      </c>
      <c r="H1003" s="38"/>
    </row>
    <row r="1004" spans="1:8" hidden="1" x14ac:dyDescent="0.25">
      <c r="A1004" s="38" t="s">
        <v>128</v>
      </c>
      <c r="B1004" s="38"/>
      <c r="C1004" s="38"/>
      <c r="D1004" s="38"/>
      <c r="E1004" s="38"/>
      <c r="F1004" s="38"/>
      <c r="G1004" s="38" t="e">
        <f t="shared" si="46"/>
        <v>#DIV/0!</v>
      </c>
      <c r="H1004" s="38"/>
    </row>
    <row r="1005" spans="1:8" hidden="1" x14ac:dyDescent="0.25">
      <c r="A1005" s="38" t="s">
        <v>129</v>
      </c>
      <c r="B1005" s="38"/>
      <c r="C1005" s="38"/>
      <c r="D1005" s="38"/>
      <c r="E1005" s="38"/>
      <c r="F1005" s="38"/>
      <c r="G1005" s="38" t="e">
        <f t="shared" si="46"/>
        <v>#DIV/0!</v>
      </c>
      <c r="H1005" s="38"/>
    </row>
    <row r="1006" spans="1:8" hidden="1" x14ac:dyDescent="0.25">
      <c r="A1006" s="38" t="s">
        <v>130</v>
      </c>
      <c r="B1006" s="38"/>
      <c r="C1006" s="38"/>
      <c r="D1006" s="38"/>
      <c r="E1006" s="38"/>
      <c r="F1006" s="38"/>
      <c r="G1006" s="38" t="e">
        <f t="shared" si="46"/>
        <v>#DIV/0!</v>
      </c>
      <c r="H1006" s="38"/>
    </row>
    <row r="1007" spans="1:8" hidden="1" x14ac:dyDescent="0.25">
      <c r="A1007" s="38" t="s">
        <v>131</v>
      </c>
      <c r="B1007" s="38"/>
      <c r="C1007" s="38"/>
      <c r="D1007" s="38"/>
      <c r="E1007" s="38"/>
      <c r="F1007" s="38"/>
      <c r="G1007" s="38" t="e">
        <f t="shared" si="46"/>
        <v>#DIV/0!</v>
      </c>
      <c r="H1007" s="38"/>
    </row>
    <row r="1008" spans="1:8" hidden="1" x14ac:dyDescent="0.25">
      <c r="A1008" s="38" t="s">
        <v>132</v>
      </c>
      <c r="B1008" s="38"/>
      <c r="C1008" s="38"/>
      <c r="D1008" s="38"/>
      <c r="E1008" s="38"/>
      <c r="F1008" s="38"/>
      <c r="G1008" s="38" t="e">
        <f t="shared" si="46"/>
        <v>#DIV/0!</v>
      </c>
      <c r="H1008" s="38"/>
    </row>
    <row r="1009" spans="1:8" hidden="1" x14ac:dyDescent="0.25">
      <c r="A1009" s="38" t="s">
        <v>133</v>
      </c>
      <c r="B1009" s="38"/>
      <c r="C1009" s="38"/>
      <c r="D1009" s="38"/>
      <c r="E1009" s="38"/>
      <c r="F1009" s="38"/>
      <c r="G1009" s="38" t="e">
        <f t="shared" si="46"/>
        <v>#DIV/0!</v>
      </c>
      <c r="H1009" s="38"/>
    </row>
    <row r="1010" spans="1:8" hidden="1" x14ac:dyDescent="0.25"/>
    <row r="1011" spans="1:8" ht="20.25" hidden="1" x14ac:dyDescent="0.3">
      <c r="A1011" s="614" t="s">
        <v>194</v>
      </c>
      <c r="B1011" s="615"/>
      <c r="C1011" s="615"/>
      <c r="D1011" s="615"/>
      <c r="E1011" s="615"/>
      <c r="F1011" s="615"/>
      <c r="G1011" s="615"/>
      <c r="H1011" s="616"/>
    </row>
    <row r="1012" spans="1:8" ht="63.75" hidden="1" customHeight="1" x14ac:dyDescent="0.25">
      <c r="A1012" s="140" t="s">
        <v>63</v>
      </c>
      <c r="B1012" s="37" t="s">
        <v>182</v>
      </c>
      <c r="C1012" s="41" t="s">
        <v>148</v>
      </c>
      <c r="D1012" s="41" t="s">
        <v>165</v>
      </c>
      <c r="E1012" s="41" t="s">
        <v>195</v>
      </c>
      <c r="F1012" s="41" t="s">
        <v>196</v>
      </c>
      <c r="G1012" s="41" t="s">
        <v>197</v>
      </c>
      <c r="H1012" s="37" t="s">
        <v>171</v>
      </c>
    </row>
    <row r="1013" spans="1:8" hidden="1" x14ac:dyDescent="0.25">
      <c r="A1013" s="38" t="s">
        <v>135</v>
      </c>
      <c r="B1013" s="38"/>
      <c r="C1013" s="38"/>
      <c r="D1013" s="38"/>
      <c r="E1013" s="38"/>
      <c r="F1013" s="38"/>
      <c r="G1013" s="38" t="e">
        <f>F1013/E1013</f>
        <v>#DIV/0!</v>
      </c>
      <c r="H1013" s="38"/>
    </row>
    <row r="1014" spans="1:8" hidden="1" x14ac:dyDescent="0.25">
      <c r="A1014" s="38" t="s">
        <v>136</v>
      </c>
      <c r="B1014" s="38"/>
      <c r="C1014" s="38"/>
      <c r="D1014" s="38"/>
      <c r="E1014" s="38"/>
      <c r="F1014" s="38"/>
      <c r="G1014" s="38" t="e">
        <f t="shared" ref="G1014:G1024" si="47">F1014/E1014</f>
        <v>#DIV/0!</v>
      </c>
      <c r="H1014" s="38"/>
    </row>
    <row r="1015" spans="1:8" hidden="1" x14ac:dyDescent="0.25">
      <c r="A1015" s="38" t="s">
        <v>137</v>
      </c>
      <c r="B1015" s="38"/>
      <c r="C1015" s="38"/>
      <c r="D1015" s="38"/>
      <c r="E1015" s="38"/>
      <c r="F1015" s="38"/>
      <c r="G1015" s="38" t="e">
        <f t="shared" si="47"/>
        <v>#DIV/0!</v>
      </c>
      <c r="H1015" s="38"/>
    </row>
    <row r="1016" spans="1:8" hidden="1" x14ac:dyDescent="0.25">
      <c r="A1016" s="38" t="s">
        <v>138</v>
      </c>
      <c r="B1016" s="38"/>
      <c r="C1016" s="38"/>
      <c r="D1016" s="38"/>
      <c r="E1016" s="38"/>
      <c r="F1016" s="38"/>
      <c r="G1016" s="38" t="e">
        <f t="shared" si="47"/>
        <v>#DIV/0!</v>
      </c>
      <c r="H1016" s="38"/>
    </row>
    <row r="1017" spans="1:8" hidden="1" x14ac:dyDescent="0.25">
      <c r="A1017" s="38" t="s">
        <v>139</v>
      </c>
      <c r="B1017" s="38"/>
      <c r="C1017" s="38"/>
      <c r="D1017" s="38"/>
      <c r="E1017" s="38"/>
      <c r="F1017" s="38"/>
      <c r="G1017" s="38" t="e">
        <f t="shared" si="47"/>
        <v>#DIV/0!</v>
      </c>
      <c r="H1017" s="38"/>
    </row>
    <row r="1018" spans="1:8" hidden="1" x14ac:dyDescent="0.25">
      <c r="A1018" s="38" t="s">
        <v>140</v>
      </c>
      <c r="B1018" s="38"/>
      <c r="C1018" s="38"/>
      <c r="D1018" s="38"/>
      <c r="E1018" s="38"/>
      <c r="F1018" s="38"/>
      <c r="G1018" s="38" t="e">
        <f t="shared" si="47"/>
        <v>#DIV/0!</v>
      </c>
      <c r="H1018" s="38"/>
    </row>
    <row r="1019" spans="1:8" hidden="1" x14ac:dyDescent="0.25">
      <c r="A1019" s="38" t="s">
        <v>128</v>
      </c>
      <c r="B1019" s="38"/>
      <c r="C1019" s="38"/>
      <c r="D1019" s="38"/>
      <c r="E1019" s="38"/>
      <c r="F1019" s="38"/>
      <c r="G1019" s="38" t="e">
        <f t="shared" si="47"/>
        <v>#DIV/0!</v>
      </c>
      <c r="H1019" s="38"/>
    </row>
    <row r="1020" spans="1:8" hidden="1" x14ac:dyDescent="0.25">
      <c r="A1020" s="38" t="s">
        <v>129</v>
      </c>
      <c r="B1020" s="38"/>
      <c r="C1020" s="38"/>
      <c r="D1020" s="38"/>
      <c r="E1020" s="38"/>
      <c r="F1020" s="38"/>
      <c r="G1020" s="38" t="e">
        <f t="shared" si="47"/>
        <v>#DIV/0!</v>
      </c>
      <c r="H1020" s="38"/>
    </row>
    <row r="1021" spans="1:8" hidden="1" x14ac:dyDescent="0.25">
      <c r="A1021" s="38" t="s">
        <v>130</v>
      </c>
      <c r="B1021" s="38"/>
      <c r="C1021" s="38"/>
      <c r="D1021" s="38"/>
      <c r="E1021" s="38"/>
      <c r="F1021" s="38"/>
      <c r="G1021" s="38" t="e">
        <f t="shared" si="47"/>
        <v>#DIV/0!</v>
      </c>
      <c r="H1021" s="38"/>
    </row>
    <row r="1022" spans="1:8" hidden="1" x14ac:dyDescent="0.25">
      <c r="A1022" s="38" t="s">
        <v>131</v>
      </c>
      <c r="B1022" s="38"/>
      <c r="C1022" s="38"/>
      <c r="D1022" s="38"/>
      <c r="E1022" s="38"/>
      <c r="F1022" s="38"/>
      <c r="G1022" s="38" t="e">
        <f t="shared" si="47"/>
        <v>#DIV/0!</v>
      </c>
      <c r="H1022" s="38"/>
    </row>
    <row r="1023" spans="1:8" hidden="1" x14ac:dyDescent="0.25">
      <c r="A1023" s="38" t="s">
        <v>132</v>
      </c>
      <c r="B1023" s="38"/>
      <c r="C1023" s="38"/>
      <c r="D1023" s="38"/>
      <c r="E1023" s="38"/>
      <c r="F1023" s="38"/>
      <c r="G1023" s="38" t="e">
        <f t="shared" si="47"/>
        <v>#DIV/0!</v>
      </c>
      <c r="H1023" s="38"/>
    </row>
    <row r="1024" spans="1:8" ht="22.15" hidden="1" customHeight="1" x14ac:dyDescent="0.25">
      <c r="A1024" s="38" t="s">
        <v>133</v>
      </c>
      <c r="B1024" s="38"/>
      <c r="C1024" s="38"/>
      <c r="D1024" s="38"/>
      <c r="E1024" s="38"/>
      <c r="F1024" s="38"/>
      <c r="G1024" s="38" t="e">
        <f t="shared" si="47"/>
        <v>#DIV/0!</v>
      </c>
      <c r="H1024" s="38"/>
    </row>
    <row r="1025" spans="1:38" ht="26.25" customHeight="1" x14ac:dyDescent="0.25">
      <c r="A1025" s="22" t="s">
        <v>34</v>
      </c>
      <c r="B1025" s="20"/>
      <c r="C1025" s="20"/>
      <c r="D1025" s="21"/>
      <c r="E1025" s="53"/>
      <c r="F1025" s="21"/>
      <c r="G1025" s="21"/>
      <c r="H1025" s="21"/>
      <c r="I1025" s="21"/>
      <c r="J1025" s="21"/>
      <c r="K1025" s="21"/>
      <c r="L1025" s="21"/>
      <c r="M1025" s="21"/>
      <c r="N1025" s="21"/>
      <c r="O1025" s="21"/>
      <c r="P1025" s="20"/>
      <c r="Q1025" s="20"/>
      <c r="R1025" s="20"/>
      <c r="S1025" s="20"/>
      <c r="T1025" s="20"/>
      <c r="U1025" s="20"/>
      <c r="V1025" s="20"/>
      <c r="W1025" s="20"/>
      <c r="X1025" s="23"/>
      <c r="Y1025" s="23"/>
      <c r="Z1025" s="23"/>
      <c r="AA1025" s="23"/>
      <c r="AB1025" s="23"/>
      <c r="AC1025" s="23"/>
      <c r="AD1025" s="36"/>
      <c r="AE1025" s="36"/>
      <c r="AF1025" s="23"/>
      <c r="AG1025" s="23"/>
      <c r="AH1025" s="23"/>
      <c r="AI1025" s="23"/>
      <c r="AJ1025" s="23"/>
      <c r="AK1025" s="23"/>
      <c r="AL1025" s="36"/>
    </row>
    <row r="1026" spans="1:38" ht="17.25" customHeight="1" x14ac:dyDescent="0.25">
      <c r="A1026" s="198" t="s">
        <v>35</v>
      </c>
      <c r="B1026" s="443" t="s">
        <v>36</v>
      </c>
      <c r="C1026" s="444"/>
      <c r="D1026" s="444"/>
      <c r="E1026" s="444"/>
      <c r="F1026" s="444"/>
      <c r="G1026" s="444"/>
      <c r="H1026" s="445"/>
      <c r="I1026" s="446" t="s">
        <v>37</v>
      </c>
      <c r="J1026" s="447"/>
      <c r="K1026" s="447"/>
      <c r="L1026" s="447"/>
      <c r="M1026" s="447"/>
      <c r="N1026" s="447"/>
      <c r="O1026" s="448"/>
      <c r="P1026" s="20"/>
      <c r="Q1026" s="20"/>
      <c r="R1026" s="20"/>
      <c r="S1026" s="20"/>
      <c r="T1026" s="20"/>
      <c r="U1026" s="20"/>
      <c r="V1026" s="20"/>
      <c r="W1026" s="20"/>
      <c r="X1026" s="20"/>
      <c r="Y1026" s="20"/>
      <c r="Z1026" s="20"/>
      <c r="AA1026" s="20"/>
      <c r="AB1026" s="20"/>
      <c r="AC1026" s="20"/>
      <c r="AD1026" s="35"/>
      <c r="AE1026" s="35"/>
      <c r="AF1026" s="20"/>
      <c r="AG1026" s="20"/>
      <c r="AH1026" s="20"/>
      <c r="AI1026" s="20"/>
      <c r="AJ1026" s="20"/>
      <c r="AK1026" s="20"/>
      <c r="AL1026" s="35"/>
    </row>
    <row r="1027" spans="1:38" ht="15" customHeight="1" x14ac:dyDescent="0.25">
      <c r="A1027" s="199">
        <v>13</v>
      </c>
      <c r="B1027" s="449" t="s">
        <v>89</v>
      </c>
      <c r="C1027" s="449"/>
      <c r="D1027" s="449"/>
      <c r="E1027" s="449"/>
      <c r="F1027" s="449"/>
      <c r="G1027" s="449"/>
      <c r="H1027" s="449"/>
      <c r="I1027" s="449" t="s">
        <v>80</v>
      </c>
      <c r="J1027" s="449"/>
      <c r="K1027" s="449"/>
      <c r="L1027" s="449"/>
      <c r="M1027" s="449"/>
      <c r="N1027" s="449"/>
      <c r="O1027" s="449"/>
    </row>
    <row r="1028" spans="1:38" x14ac:dyDescent="0.25">
      <c r="A1028" s="199">
        <v>14</v>
      </c>
      <c r="B1028" s="449" t="s">
        <v>258</v>
      </c>
      <c r="C1028" s="449"/>
      <c r="D1028" s="449"/>
      <c r="E1028" s="449"/>
      <c r="F1028" s="449"/>
      <c r="G1028" s="449"/>
      <c r="H1028" s="449"/>
      <c r="I1028" s="450" t="s">
        <v>530</v>
      </c>
      <c r="J1028" s="450"/>
      <c r="K1028" s="450"/>
      <c r="L1028" s="450"/>
      <c r="M1028" s="450"/>
      <c r="N1028" s="450"/>
      <c r="O1028" s="450"/>
    </row>
  </sheetData>
  <mergeCells count="580">
    <mergeCell ref="A985:A991"/>
    <mergeCell ref="B535:B537"/>
    <mergeCell ref="C535:C537"/>
    <mergeCell ref="C739:C741"/>
    <mergeCell ref="B744:B745"/>
    <mergeCell ref="A978:A984"/>
    <mergeCell ref="A848:A854"/>
    <mergeCell ref="A918:A924"/>
    <mergeCell ref="A801:H801"/>
    <mergeCell ref="A855:A861"/>
    <mergeCell ref="A746:A752"/>
    <mergeCell ref="B746:B748"/>
    <mergeCell ref="C746:C748"/>
    <mergeCell ref="B751:B752"/>
    <mergeCell ref="C751:C752"/>
    <mergeCell ref="A971:A977"/>
    <mergeCell ref="A957:A963"/>
    <mergeCell ref="A803:A809"/>
    <mergeCell ref="C732:C734"/>
    <mergeCell ref="C718:C720"/>
    <mergeCell ref="B684:B685"/>
    <mergeCell ref="C684:C685"/>
    <mergeCell ref="B691:B692"/>
    <mergeCell ref="A725:A731"/>
    <mergeCell ref="B758:B759"/>
    <mergeCell ref="C758:C759"/>
    <mergeCell ref="A753:A759"/>
    <mergeCell ref="A672:A678"/>
    <mergeCell ref="B760:B762"/>
    <mergeCell ref="C760:C762"/>
    <mergeCell ref="B765:B766"/>
    <mergeCell ref="C765:C766"/>
    <mergeCell ref="A760:A766"/>
    <mergeCell ref="C711:C713"/>
    <mergeCell ref="B716:B717"/>
    <mergeCell ref="C716:C717"/>
    <mergeCell ref="C677:C678"/>
    <mergeCell ref="A704:A710"/>
    <mergeCell ref="D365:D366"/>
    <mergeCell ref="A964:A970"/>
    <mergeCell ref="C672:C674"/>
    <mergeCell ref="C737:C738"/>
    <mergeCell ref="B711:B713"/>
    <mergeCell ref="B723:B724"/>
    <mergeCell ref="C723:C724"/>
    <mergeCell ref="B739:B741"/>
    <mergeCell ref="C744:C745"/>
    <mergeCell ref="A739:A745"/>
    <mergeCell ref="A702:G702"/>
    <mergeCell ref="A810:A816"/>
    <mergeCell ref="A817:A823"/>
    <mergeCell ref="A786:G786"/>
    <mergeCell ref="A771:G771"/>
    <mergeCell ref="B753:B755"/>
    <mergeCell ref="C753:C755"/>
    <mergeCell ref="A904:A910"/>
    <mergeCell ref="A869:A875"/>
    <mergeCell ref="A862:A868"/>
    <mergeCell ref="A831:A837"/>
    <mergeCell ref="A838:A844"/>
    <mergeCell ref="A846:H846"/>
    <mergeCell ref="B665:B667"/>
    <mergeCell ref="C658:C660"/>
    <mergeCell ref="B649:B650"/>
    <mergeCell ref="B651:B653"/>
    <mergeCell ref="B704:B706"/>
    <mergeCell ref="C730:C731"/>
    <mergeCell ref="C693:C695"/>
    <mergeCell ref="C649:C650"/>
    <mergeCell ref="B725:B727"/>
    <mergeCell ref="C725:C727"/>
    <mergeCell ref="B730:B731"/>
    <mergeCell ref="B693:B695"/>
    <mergeCell ref="C704:C706"/>
    <mergeCell ref="C709:C710"/>
    <mergeCell ref="B663:B664"/>
    <mergeCell ref="B658:B660"/>
    <mergeCell ref="C665:C667"/>
    <mergeCell ref="B718:B720"/>
    <mergeCell ref="F358:F359"/>
    <mergeCell ref="F360:F362"/>
    <mergeCell ref="F367:F369"/>
    <mergeCell ref="D379:D380"/>
    <mergeCell ref="E379:E380"/>
    <mergeCell ref="F379:F380"/>
    <mergeCell ref="B372:B373"/>
    <mergeCell ref="E358:E359"/>
    <mergeCell ref="E372:E373"/>
    <mergeCell ref="F372:F373"/>
    <mergeCell ref="C372:C373"/>
    <mergeCell ref="D372:D373"/>
    <mergeCell ref="B374:B376"/>
    <mergeCell ref="D374:D376"/>
    <mergeCell ref="E374:E376"/>
    <mergeCell ref="D367:D369"/>
    <mergeCell ref="E367:E369"/>
    <mergeCell ref="C360:C362"/>
    <mergeCell ref="B367:B369"/>
    <mergeCell ref="C367:C369"/>
    <mergeCell ref="E365:E366"/>
    <mergeCell ref="F365:F366"/>
    <mergeCell ref="D358:D359"/>
    <mergeCell ref="F374:F376"/>
    <mergeCell ref="A535:A541"/>
    <mergeCell ref="A630:A636"/>
    <mergeCell ref="A606:A612"/>
    <mergeCell ref="B618:B619"/>
    <mergeCell ref="B623:B625"/>
    <mergeCell ref="A613:A619"/>
    <mergeCell ref="B604:B605"/>
    <mergeCell ref="C592:C594"/>
    <mergeCell ref="B597:B598"/>
    <mergeCell ref="C597:C598"/>
    <mergeCell ref="A576:G576"/>
    <mergeCell ref="B613:B615"/>
    <mergeCell ref="F540:F541"/>
    <mergeCell ref="C613:C615"/>
    <mergeCell ref="B533:B534"/>
    <mergeCell ref="B507:B509"/>
    <mergeCell ref="C635:C636"/>
    <mergeCell ref="B642:B643"/>
    <mergeCell ref="C623:C625"/>
    <mergeCell ref="B630:B632"/>
    <mergeCell ref="C630:C632"/>
    <mergeCell ref="C540:C541"/>
    <mergeCell ref="E526:E527"/>
    <mergeCell ref="F526:F527"/>
    <mergeCell ref="E533:E534"/>
    <mergeCell ref="F533:F534"/>
    <mergeCell ref="C519:C520"/>
    <mergeCell ref="F466:F467"/>
    <mergeCell ref="F468:F470"/>
    <mergeCell ref="F484:F485"/>
    <mergeCell ref="B505:B506"/>
    <mergeCell ref="C505:C506"/>
    <mergeCell ref="B512:B513"/>
    <mergeCell ref="C512:C513"/>
    <mergeCell ref="B637:B639"/>
    <mergeCell ref="E505:E506"/>
    <mergeCell ref="F505:F506"/>
    <mergeCell ref="D507:D509"/>
    <mergeCell ref="E507:E509"/>
    <mergeCell ref="F507:F509"/>
    <mergeCell ref="D535:D537"/>
    <mergeCell ref="D505:D506"/>
    <mergeCell ref="E514:E516"/>
    <mergeCell ref="C507:C509"/>
    <mergeCell ref="C583:C584"/>
    <mergeCell ref="D526:D527"/>
    <mergeCell ref="B526:B527"/>
    <mergeCell ref="B606:B608"/>
    <mergeCell ref="C606:C608"/>
    <mergeCell ref="B599:B601"/>
    <mergeCell ref="F535:F537"/>
    <mergeCell ref="D433:D435"/>
    <mergeCell ref="E433:E435"/>
    <mergeCell ref="E424:E425"/>
    <mergeCell ref="B484:B485"/>
    <mergeCell ref="A461:A467"/>
    <mergeCell ref="B473:B474"/>
    <mergeCell ref="A468:A474"/>
    <mergeCell ref="D459:D460"/>
    <mergeCell ref="E459:E460"/>
    <mergeCell ref="B452:B453"/>
    <mergeCell ref="E438:E439"/>
    <mergeCell ref="B424:B425"/>
    <mergeCell ref="C424:C425"/>
    <mergeCell ref="D424:D425"/>
    <mergeCell ref="E447:E449"/>
    <mergeCell ref="B447:B449"/>
    <mergeCell ref="D431:D432"/>
    <mergeCell ref="C431:C432"/>
    <mergeCell ref="D438:D439"/>
    <mergeCell ref="B459:B460"/>
    <mergeCell ref="D410:D411"/>
    <mergeCell ref="E410:E411"/>
    <mergeCell ref="F410:F411"/>
    <mergeCell ref="E417:E418"/>
    <mergeCell ref="F445:F446"/>
    <mergeCell ref="D484:D485"/>
    <mergeCell ref="E484:E485"/>
    <mergeCell ref="E468:E470"/>
    <mergeCell ref="D473:D474"/>
    <mergeCell ref="D426:D428"/>
    <mergeCell ref="E431:E432"/>
    <mergeCell ref="F447:F449"/>
    <mergeCell ref="F461:F463"/>
    <mergeCell ref="F452:F453"/>
    <mergeCell ref="F438:F439"/>
    <mergeCell ref="F454:F456"/>
    <mergeCell ref="F419:F421"/>
    <mergeCell ref="F440:F442"/>
    <mergeCell ref="F426:F428"/>
    <mergeCell ref="F424:F425"/>
    <mergeCell ref="E419:E421"/>
    <mergeCell ref="F431:F432"/>
    <mergeCell ref="E479:E481"/>
    <mergeCell ref="D468:D470"/>
    <mergeCell ref="B1028:H1028"/>
    <mergeCell ref="I1028:O1028"/>
    <mergeCell ref="B1026:H1026"/>
    <mergeCell ref="I1026:O1026"/>
    <mergeCell ref="B1027:H1027"/>
    <mergeCell ref="I1027:O1027"/>
    <mergeCell ref="E473:E474"/>
    <mergeCell ref="F473:F474"/>
    <mergeCell ref="A477:L477"/>
    <mergeCell ref="A546:L546"/>
    <mergeCell ref="A996:H996"/>
    <mergeCell ref="A1011:H1011"/>
    <mergeCell ref="A876:A882"/>
    <mergeCell ref="A883:A889"/>
    <mergeCell ref="A897:A903"/>
    <mergeCell ref="A890:A896"/>
    <mergeCell ref="A911:A917"/>
    <mergeCell ref="A929:A935"/>
    <mergeCell ref="A936:A942"/>
    <mergeCell ref="A943:A949"/>
    <mergeCell ref="A927:H927"/>
    <mergeCell ref="A950:A956"/>
    <mergeCell ref="C484:C485"/>
    <mergeCell ref="A479:A485"/>
    <mergeCell ref="A824:A830"/>
    <mergeCell ref="C628:C629"/>
    <mergeCell ref="A182:A193"/>
    <mergeCell ref="B182:B183"/>
    <mergeCell ref="B185:B187"/>
    <mergeCell ref="B188:B189"/>
    <mergeCell ref="B191:B192"/>
    <mergeCell ref="B468:B470"/>
    <mergeCell ref="C468:C470"/>
    <mergeCell ref="C374:C376"/>
    <mergeCell ref="B379:B380"/>
    <mergeCell ref="C379:C380"/>
    <mergeCell ref="A388:A394"/>
    <mergeCell ref="B388:B390"/>
    <mergeCell ref="C388:C390"/>
    <mergeCell ref="B410:B411"/>
    <mergeCell ref="C410:C411"/>
    <mergeCell ref="C656:C657"/>
    <mergeCell ref="A686:A692"/>
    <mergeCell ref="B686:B688"/>
    <mergeCell ref="C398:C400"/>
    <mergeCell ref="A396:L396"/>
    <mergeCell ref="A398:A404"/>
    <mergeCell ref="B398:B400"/>
    <mergeCell ref="F388:F390"/>
    <mergeCell ref="F417:F418"/>
    <mergeCell ref="D419:D421"/>
    <mergeCell ref="E412:E414"/>
    <mergeCell ref="F412:F414"/>
    <mergeCell ref="D417:D418"/>
    <mergeCell ref="E426:E428"/>
    <mergeCell ref="D447:D449"/>
    <mergeCell ref="A59:A68"/>
    <mergeCell ref="B60:B61"/>
    <mergeCell ref="B63:B64"/>
    <mergeCell ref="F393:F394"/>
    <mergeCell ref="D405:D407"/>
    <mergeCell ref="E405:E407"/>
    <mergeCell ref="F405:F407"/>
    <mergeCell ref="F398:F400"/>
    <mergeCell ref="B403:B404"/>
    <mergeCell ref="F403:F404"/>
    <mergeCell ref="D393:D394"/>
    <mergeCell ref="C403:C404"/>
    <mergeCell ref="D403:D404"/>
    <mergeCell ref="E403:E404"/>
    <mergeCell ref="E393:E394"/>
    <mergeCell ref="E398:E400"/>
    <mergeCell ref="E445:E446"/>
    <mergeCell ref="B585:B587"/>
    <mergeCell ref="C585:C587"/>
    <mergeCell ref="B590:B591"/>
    <mergeCell ref="C590:C591"/>
    <mergeCell ref="A592:A598"/>
    <mergeCell ref="F459:F460"/>
    <mergeCell ref="E452:E453"/>
    <mergeCell ref="C452:C453"/>
    <mergeCell ref="D454:D456"/>
    <mergeCell ref="A486:A492"/>
    <mergeCell ref="B486:B488"/>
    <mergeCell ref="B500:B502"/>
    <mergeCell ref="C500:C502"/>
    <mergeCell ref="C493:C495"/>
    <mergeCell ref="E500:E502"/>
    <mergeCell ref="F500:F502"/>
    <mergeCell ref="E498:E499"/>
    <mergeCell ref="F498:F499"/>
    <mergeCell ref="D500:D502"/>
    <mergeCell ref="D498:D499"/>
    <mergeCell ref="E493:E495"/>
    <mergeCell ref="F479:F481"/>
    <mergeCell ref="B491:B492"/>
    <mergeCell ref="B218:B220"/>
    <mergeCell ref="B222:B223"/>
    <mergeCell ref="A211:A223"/>
    <mergeCell ref="A224:A236"/>
    <mergeCell ref="B227:B230"/>
    <mergeCell ref="B231:B233"/>
    <mergeCell ref="B235:B236"/>
    <mergeCell ref="A237:A249"/>
    <mergeCell ref="B240:B243"/>
    <mergeCell ref="B244:B246"/>
    <mergeCell ref="B248:B249"/>
    <mergeCell ref="A198:A210"/>
    <mergeCell ref="B201:B204"/>
    <mergeCell ref="B205:B207"/>
    <mergeCell ref="B209:B210"/>
    <mergeCell ref="A196:H196"/>
    <mergeCell ref="A148:A158"/>
    <mergeCell ref="B150:B152"/>
    <mergeCell ref="B153:B154"/>
    <mergeCell ref="B214:B217"/>
    <mergeCell ref="B156:B157"/>
    <mergeCell ref="A159:A169"/>
    <mergeCell ref="B161:B163"/>
    <mergeCell ref="B164:B165"/>
    <mergeCell ref="B167:B168"/>
    <mergeCell ref="A170:A181"/>
    <mergeCell ref="A1:B3"/>
    <mergeCell ref="C1:L1"/>
    <mergeCell ref="C2:L2"/>
    <mergeCell ref="C3:G3"/>
    <mergeCell ref="H3:L3"/>
    <mergeCell ref="A4:B4"/>
    <mergeCell ref="C4:L4"/>
    <mergeCell ref="A39:A48"/>
    <mergeCell ref="B40:B41"/>
    <mergeCell ref="B43:B44"/>
    <mergeCell ref="B45:B46"/>
    <mergeCell ref="A19:A28"/>
    <mergeCell ref="B20:B21"/>
    <mergeCell ref="B23:B24"/>
    <mergeCell ref="B25:B26"/>
    <mergeCell ref="A29:A38"/>
    <mergeCell ref="B30:B31"/>
    <mergeCell ref="B33:B34"/>
    <mergeCell ref="B13:B14"/>
    <mergeCell ref="B15:B16"/>
    <mergeCell ref="B35:B36"/>
    <mergeCell ref="A5:B5"/>
    <mergeCell ref="C5:L5"/>
    <mergeCell ref="A7:H7"/>
    <mergeCell ref="A9:A18"/>
    <mergeCell ref="B10:B11"/>
    <mergeCell ref="A104:A114"/>
    <mergeCell ref="B106:B108"/>
    <mergeCell ref="B109:B110"/>
    <mergeCell ref="B112:B113"/>
    <mergeCell ref="A93:A103"/>
    <mergeCell ref="B95:B97"/>
    <mergeCell ref="B98:B99"/>
    <mergeCell ref="B101:B102"/>
    <mergeCell ref="B65:B66"/>
    <mergeCell ref="A70:H70"/>
    <mergeCell ref="A72:A81"/>
    <mergeCell ref="B73:B74"/>
    <mergeCell ref="B75:B76"/>
    <mergeCell ref="B77:B78"/>
    <mergeCell ref="A49:A58"/>
    <mergeCell ref="B50:B51"/>
    <mergeCell ref="B53:B54"/>
    <mergeCell ref="B55:B56"/>
    <mergeCell ref="A82:A92"/>
    <mergeCell ref="B84:B86"/>
    <mergeCell ref="B87:B88"/>
    <mergeCell ref="B90:B91"/>
    <mergeCell ref="A115:A125"/>
    <mergeCell ref="A126:A136"/>
    <mergeCell ref="B117:B119"/>
    <mergeCell ref="B120:B121"/>
    <mergeCell ref="B123:B124"/>
    <mergeCell ref="A137:A147"/>
    <mergeCell ref="B139:B141"/>
    <mergeCell ref="B142:B143"/>
    <mergeCell ref="B145:B146"/>
    <mergeCell ref="B128:B130"/>
    <mergeCell ref="B131:B132"/>
    <mergeCell ref="B134:B135"/>
    <mergeCell ref="A507:A513"/>
    <mergeCell ref="C521:C523"/>
    <mergeCell ref="B461:B463"/>
    <mergeCell ref="C461:C463"/>
    <mergeCell ref="D461:D463"/>
    <mergeCell ref="D514:D516"/>
    <mergeCell ref="E454:E456"/>
    <mergeCell ref="C454:C456"/>
    <mergeCell ref="B466:B467"/>
    <mergeCell ref="C466:C467"/>
    <mergeCell ref="E521:E523"/>
    <mergeCell ref="B498:B499"/>
    <mergeCell ref="B514:B516"/>
    <mergeCell ref="C514:C516"/>
    <mergeCell ref="D512:D513"/>
    <mergeCell ref="A514:A520"/>
    <mergeCell ref="C459:C460"/>
    <mergeCell ref="E461:E463"/>
    <mergeCell ref="D486:D488"/>
    <mergeCell ref="D466:D467"/>
    <mergeCell ref="E466:E467"/>
    <mergeCell ref="C473:C474"/>
    <mergeCell ref="B698:B699"/>
    <mergeCell ref="C637:C639"/>
    <mergeCell ref="C642:C643"/>
    <mergeCell ref="C618:C619"/>
    <mergeCell ref="A621:G621"/>
    <mergeCell ref="A578:A584"/>
    <mergeCell ref="B578:B580"/>
    <mergeCell ref="C679:C681"/>
    <mergeCell ref="C691:C692"/>
    <mergeCell ref="C686:C688"/>
    <mergeCell ref="C663:C664"/>
    <mergeCell ref="C651:C653"/>
    <mergeCell ref="B679:B681"/>
    <mergeCell ref="B670:B671"/>
    <mergeCell ref="C670:C671"/>
    <mergeCell ref="C698:C699"/>
    <mergeCell ref="A644:A650"/>
    <mergeCell ref="A693:A699"/>
    <mergeCell ref="C644:C646"/>
    <mergeCell ref="B672:B674"/>
    <mergeCell ref="B677:B678"/>
    <mergeCell ref="B611:B612"/>
    <mergeCell ref="C611:C612"/>
    <mergeCell ref="A585:A591"/>
    <mergeCell ref="A658:A664"/>
    <mergeCell ref="A637:A643"/>
    <mergeCell ref="C526:C527"/>
    <mergeCell ref="A528:A534"/>
    <mergeCell ref="B528:B530"/>
    <mergeCell ref="B737:B738"/>
    <mergeCell ref="B583:B584"/>
    <mergeCell ref="A521:A527"/>
    <mergeCell ref="B519:B520"/>
    <mergeCell ref="B732:B734"/>
    <mergeCell ref="B709:B710"/>
    <mergeCell ref="A599:A605"/>
    <mergeCell ref="B635:B636"/>
    <mergeCell ref="B628:B629"/>
    <mergeCell ref="A679:A685"/>
    <mergeCell ref="B656:B657"/>
    <mergeCell ref="A732:A738"/>
    <mergeCell ref="B521:B523"/>
    <mergeCell ref="B540:B541"/>
    <mergeCell ref="A718:A724"/>
    <mergeCell ref="B592:B594"/>
    <mergeCell ref="A651:A657"/>
    <mergeCell ref="A623:A629"/>
    <mergeCell ref="A665:A671"/>
    <mergeCell ref="B644:B646"/>
    <mergeCell ref="A711:A717"/>
    <mergeCell ref="F514:F516"/>
    <mergeCell ref="F519:F520"/>
    <mergeCell ref="D519:D520"/>
    <mergeCell ref="E519:E520"/>
    <mergeCell ref="F486:F488"/>
    <mergeCell ref="E491:E492"/>
    <mergeCell ref="F491:F492"/>
    <mergeCell ref="F493:F495"/>
    <mergeCell ref="F521:F523"/>
    <mergeCell ref="C498:C499"/>
    <mergeCell ref="C604:C605"/>
    <mergeCell ref="C578:C580"/>
    <mergeCell ref="C486:C488"/>
    <mergeCell ref="E486:E488"/>
    <mergeCell ref="C599:C601"/>
    <mergeCell ref="D521:D523"/>
    <mergeCell ref="C528:C530"/>
    <mergeCell ref="D528:D530"/>
    <mergeCell ref="E528:E530"/>
    <mergeCell ref="F528:F530"/>
    <mergeCell ref="C533:C534"/>
    <mergeCell ref="D533:D534"/>
    <mergeCell ref="B289:B290"/>
    <mergeCell ref="B479:B481"/>
    <mergeCell ref="C479:C481"/>
    <mergeCell ref="D479:D481"/>
    <mergeCell ref="B386:B387"/>
    <mergeCell ref="E386:E387"/>
    <mergeCell ref="B426:B428"/>
    <mergeCell ref="C426:C428"/>
    <mergeCell ref="B433:B435"/>
    <mergeCell ref="C445:C446"/>
    <mergeCell ref="D452:D453"/>
    <mergeCell ref="B445:B446"/>
    <mergeCell ref="C440:C442"/>
    <mergeCell ref="D440:D442"/>
    <mergeCell ref="E440:E442"/>
    <mergeCell ref="C358:C359"/>
    <mergeCell ref="E360:E362"/>
    <mergeCell ref="A336:H336"/>
    <mergeCell ref="A351:L351"/>
    <mergeCell ref="D398:D400"/>
    <mergeCell ref="C419:C421"/>
    <mergeCell ref="F386:F387"/>
    <mergeCell ref="F433:F435"/>
    <mergeCell ref="D445:D446"/>
    <mergeCell ref="E512:E513"/>
    <mergeCell ref="F512:F513"/>
    <mergeCell ref="A561:L561"/>
    <mergeCell ref="B493:B495"/>
    <mergeCell ref="C491:C492"/>
    <mergeCell ref="D491:D492"/>
    <mergeCell ref="D493:D495"/>
    <mergeCell ref="D386:D387"/>
    <mergeCell ref="D412:D414"/>
    <mergeCell ref="C447:C449"/>
    <mergeCell ref="A405:A411"/>
    <mergeCell ref="B405:B407"/>
    <mergeCell ref="B393:B394"/>
    <mergeCell ref="A419:A425"/>
    <mergeCell ref="A426:A432"/>
    <mergeCell ref="B431:B432"/>
    <mergeCell ref="C386:C387"/>
    <mergeCell ref="E388:E390"/>
    <mergeCell ref="D388:D390"/>
    <mergeCell ref="E535:E537"/>
    <mergeCell ref="D540:D541"/>
    <mergeCell ref="E540:E541"/>
    <mergeCell ref="A500:A506"/>
    <mergeCell ref="A493:A499"/>
    <mergeCell ref="C365:C366"/>
    <mergeCell ref="D360:D362"/>
    <mergeCell ref="B353:B355"/>
    <mergeCell ref="C353:C355"/>
    <mergeCell ref="B274:B275"/>
    <mergeCell ref="A321:H321"/>
    <mergeCell ref="F381:F383"/>
    <mergeCell ref="E381:E383"/>
    <mergeCell ref="B365:B366"/>
    <mergeCell ref="D381:D383"/>
    <mergeCell ref="D353:D355"/>
    <mergeCell ref="E353:E355"/>
    <mergeCell ref="F353:F355"/>
    <mergeCell ref="B358:B359"/>
    <mergeCell ref="B276:B277"/>
    <mergeCell ref="B281:B284"/>
    <mergeCell ref="A291:A303"/>
    <mergeCell ref="A263:A275"/>
    <mergeCell ref="B266:B269"/>
    <mergeCell ref="B270:B272"/>
    <mergeCell ref="A304:A316"/>
    <mergeCell ref="B307:B310"/>
    <mergeCell ref="A381:A387"/>
    <mergeCell ref="B381:B383"/>
    <mergeCell ref="C381:C383"/>
    <mergeCell ref="A412:A418"/>
    <mergeCell ref="B412:B414"/>
    <mergeCell ref="C412:C414"/>
    <mergeCell ref="C405:C407"/>
    <mergeCell ref="C393:C394"/>
    <mergeCell ref="C417:C418"/>
    <mergeCell ref="C438:C439"/>
    <mergeCell ref="B417:B418"/>
    <mergeCell ref="C433:C435"/>
    <mergeCell ref="A367:A373"/>
    <mergeCell ref="A250:A262"/>
    <mergeCell ref="B419:B421"/>
    <mergeCell ref="B454:B456"/>
    <mergeCell ref="A440:A446"/>
    <mergeCell ref="B438:B439"/>
    <mergeCell ref="B440:B442"/>
    <mergeCell ref="B253:B256"/>
    <mergeCell ref="B257:B259"/>
    <mergeCell ref="B261:B262"/>
    <mergeCell ref="A447:A453"/>
    <mergeCell ref="B294:B297"/>
    <mergeCell ref="B298:B300"/>
    <mergeCell ref="B302:B303"/>
    <mergeCell ref="A433:A439"/>
    <mergeCell ref="A454:A460"/>
    <mergeCell ref="A360:A366"/>
    <mergeCell ref="B360:B362"/>
    <mergeCell ref="A276:A288"/>
    <mergeCell ref="A353:A359"/>
    <mergeCell ref="B311:B313"/>
    <mergeCell ref="B315:B316"/>
    <mergeCell ref="A374:A380"/>
    <mergeCell ref="B285:B287"/>
  </mergeCells>
  <phoneticPr fontId="69" type="noConversion"/>
  <pageMargins left="0.7" right="0.7" top="0.75" bottom="0.75" header="0.3" footer="0.3"/>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GESTIÓN</vt:lpstr>
      <vt:lpstr>INVERSIÓN</vt:lpstr>
      <vt:lpstr>ACTIVIDADES</vt:lpstr>
      <vt:lpstr>TERRITORIALIZACIÓN</vt:lpstr>
      <vt:lpstr>SPI</vt:lpstr>
      <vt:lpstr>ACTIVIDADES!Área_de_impresión</vt:lpstr>
      <vt:lpstr>GESTIÓN!Área_de_impresión</vt:lpstr>
      <vt:lpstr>INVERSIÓN!Área_de_impresión</vt:lpstr>
      <vt:lpstr>ce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YULIED.PENARANDA</cp:lastModifiedBy>
  <cp:lastPrinted>2020-01-27T23:43:22Z</cp:lastPrinted>
  <dcterms:created xsi:type="dcterms:W3CDTF">2010-03-25T16:40:43Z</dcterms:created>
  <dcterms:modified xsi:type="dcterms:W3CDTF">2022-12-01T03:37:16Z</dcterms:modified>
</cp:coreProperties>
</file>